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ed Data" sheetId="1" r:id="rId4"/>
    <sheet state="visible" name="early stage Sn" sheetId="2" r:id="rId5"/>
    <sheet state="visible" name="early stage Sb" sheetId="3" r:id="rId6"/>
    <sheet state="visible" name="advanced stage U" sheetId="4" r:id="rId7"/>
    <sheet state="visible" name="early stage U" sheetId="5" r:id="rId8"/>
    <sheet state="visible" name="early stage REE" sheetId="6" r:id="rId9"/>
    <sheet state="visible" name="advanced stage Li" sheetId="7" r:id="rId10"/>
    <sheet state="visible" name="early stage Li" sheetId="8" r:id="rId11"/>
    <sheet state="visible" name="Early stage Cu" sheetId="9" r:id="rId12"/>
    <sheet state="visible" name="advanced Cu" sheetId="10" r:id="rId13"/>
    <sheet state="visible" name="early stage Au" sheetId="11" r:id="rId14"/>
    <sheet state="visible" name="advanced Au" sheetId="12" r:id="rId15"/>
  </sheets>
  <definedNames/>
  <calcPr/>
</workbook>
</file>

<file path=xl/sharedStrings.xml><?xml version="1.0" encoding="utf-8"?>
<sst xmlns="http://schemas.openxmlformats.org/spreadsheetml/2006/main" count="8132" uniqueCount="2442">
  <si>
    <t>Operator Company</t>
  </si>
  <si>
    <t>Exchange</t>
  </si>
  <si>
    <t>Project Ownership</t>
  </si>
  <si>
    <t>Project Name</t>
  </si>
  <si>
    <t>Commodities</t>
  </si>
  <si>
    <t>Resource</t>
  </si>
  <si>
    <t>Stage</t>
  </si>
  <si>
    <t>Project Country</t>
  </si>
  <si>
    <t>Project State Or Province</t>
  </si>
  <si>
    <t>Longitude</t>
  </si>
  <si>
    <t>Latitude</t>
  </si>
  <si>
    <t>Mineral District</t>
  </si>
  <si>
    <t>Project Area Ha</t>
  </si>
  <si>
    <t>Project Transaction Details</t>
  </si>
  <si>
    <t>Verified Project Area Ha</t>
  </si>
  <si>
    <t>Article Link</t>
  </si>
  <si>
    <t>Contact/CEO</t>
  </si>
  <si>
    <t>Aggregate Deal Value ($)</t>
  </si>
  <si>
    <t>Interest Acquired %</t>
  </si>
  <si>
    <t>Acquisition Details</t>
  </si>
  <si>
    <t>Option Period (y)</t>
  </si>
  <si>
    <t>Aggregate deal value ($)</t>
  </si>
  <si>
    <t>Sum of Cash Payments ($)</t>
  </si>
  <si>
    <t>Exploration commitments ($)</t>
  </si>
  <si>
    <t>Cash + Shares ($)</t>
  </si>
  <si>
    <t>Calculated Cash + Share value column ($)</t>
  </si>
  <si>
    <t>Share Value ($)</t>
  </si>
  <si>
    <t>sum of Cash + Calculated Share value ($)</t>
  </si>
  <si>
    <t>Calculated Share Value ($)</t>
  </si>
  <si>
    <t>Number of Shares sold</t>
  </si>
  <si>
    <t>Share Price ($)</t>
  </si>
  <si>
    <t>NSR %</t>
  </si>
  <si>
    <t>Article Date</t>
  </si>
  <si>
    <t>Errawarra Resources Ltd</t>
  </si>
  <si>
    <t>ASX:MM8</t>
  </si>
  <si>
    <t>Operator: Errawarra Resources Ltd 
Owner: Alien Metals Ltd (100%)
Optioner: Alien Metals Ltd, Optionee: Errawarra Resources Ltd</t>
  </si>
  <si>
    <t>Elizabeth Hill</t>
  </si>
  <si>
    <t>Ag</t>
  </si>
  <si>
    <t>Advanced Exploration</t>
  </si>
  <si>
    <t>Australia</t>
  </si>
  <si>
    <t>Western Australia</t>
  </si>
  <si>
    <t/>
  </si>
  <si>
    <t>18739.44</t>
  </si>
  <si>
    <t>4056228.39</t>
  </si>
  <si>
    <t>Acquisition of Elizabeth Hill Silver Project &amp; $3M Placement</t>
  </si>
  <si>
    <t>Joint Venture,Project Acquisition</t>
  </si>
  <si>
    <t>https://app.mininghub.com/article/92185</t>
  </si>
  <si>
    <t>Thomas Reddicliffe, Executive Chairman</t>
  </si>
  <si>
    <t>Acquisition of 70% of Elizabeth Hill Silver Project &amp; related silver rights/tenements (by Errawarra)</t>
  </si>
  <si>
    <t>Taruga Minerals Limited</t>
  </si>
  <si>
    <t>ASX:CUL</t>
  </si>
  <si>
    <t>Operator: Taruga Minerals Limited 
Owner: Western Silver Pty Ltd  (100%)
Optioner: Western Silver Pty Ltd , Optionee: Taruga Minerals Limited</t>
  </si>
  <si>
    <t>Thowagee</t>
  </si>
  <si>
    <t>Ag,Au,Pb,Cu</t>
  </si>
  <si>
    <t>35 g/t</t>
  </si>
  <si>
    <t>3154.90</t>
  </si>
  <si>
    <t>6354241.065</t>
  </si>
  <si>
    <t>Option to acquire strategic tenement - Gascoyne WA</t>
  </si>
  <si>
    <t>Project Acquisition</t>
  </si>
  <si>
    <t>https://app.mininghub.com/article/79329</t>
  </si>
  <si>
    <t>David Chapman, Director</t>
  </si>
  <si>
    <t>Option to acquire 100% of granted tenement E08/3245 (Thowagee) (by Taruga from Western Silver)</t>
  </si>
  <si>
    <t>Adelong Gold Limited</t>
  </si>
  <si>
    <t>ASX:ADG</t>
  </si>
  <si>
    <t>Operator: Adelong Gold Limited 
Owner: Adelong Gold Limited (100%)
Optioner: Adelong Gold Limited, Optionee: Great Divide Mining Ltd</t>
  </si>
  <si>
    <t>Adelong</t>
  </si>
  <si>
    <t>Au</t>
  </si>
  <si>
    <t>1,820,000 Tonnes @ 3.21 g/t Au, 188,000 oz Gold</t>
  </si>
  <si>
    <t>New South Wales</t>
  </si>
  <si>
    <t>7008.94</t>
  </si>
  <si>
    <t>6987430.99</t>
  </si>
  <si>
    <t>Agreement Executed with GDM for Adelong Project</t>
  </si>
  <si>
    <t>https://app.mininghub.com/article/90687</t>
  </si>
  <si>
    <t>Ian Holland, Adelong Gold’s Managing Director</t>
  </si>
  <si>
    <t>51% (GDM to earn initial 15%, increasing to 51%)</t>
  </si>
  <si>
    <t>Bubalus Resources Limited</t>
  </si>
  <si>
    <t>ASX:BUS</t>
  </si>
  <si>
    <t>Operator: Bubalus Resources Limited 
Owner: Providence Gold and Minerals Pty Ltd (100%)
Optioner: Providence Gold and Minerals Pty Ltd, Optionee: Bubalus Resources Limited</t>
  </si>
  <si>
    <t>Avon Plains</t>
  </si>
  <si>
    <t>Victoria</t>
  </si>
  <si>
    <t>58135.24</t>
  </si>
  <si>
    <t>6857639.86</t>
  </si>
  <si>
    <t>Option to Acquire Historical High-Grade Gold Project</t>
  </si>
  <si>
    <t>https://app.mininghub.com/article/92632</t>
  </si>
  <si>
    <t>Alec Pismiris, Executive Chairman</t>
  </si>
  <si>
    <t>(Option to acquire EL007115, EL007370, EL007542 - Avon Plains Gold Project)</t>
  </si>
  <si>
    <t>Novo Resources Corp.</t>
  </si>
  <si>
    <t>NVO:CA</t>
  </si>
  <si>
    <t>Operator: Novo Resources Corp. 
Owner: Novo Resources Corp. (100%)</t>
  </si>
  <si>
    <t>Bamboo Creek</t>
  </si>
  <si>
    <t>31916725</t>
  </si>
  <si>
    <t>https://www.novoresources.com</t>
  </si>
  <si>
    <t>Novo Reaches Second and Final Completion Milestone With Creasy Group</t>
  </si>
  <si>
    <t>https://app.mininghub.com/article/30145</t>
  </si>
  <si>
    <t>Mike Spreadborough, Executive Co-Chairman and Acting Chief Executive Officer</t>
  </si>
  <si>
    <t>Flynn Gold Limited</t>
  </si>
  <si>
    <t>ASX:FG1</t>
  </si>
  <si>
    <t>Operator: Flynn Gold Limited 
Owner: Flynn Gold Limited (100%)</t>
  </si>
  <si>
    <t>Beaconsfield</t>
  </si>
  <si>
    <t>3.785Mt @ 14.51g/t Au (1,774koz Au)</t>
  </si>
  <si>
    <t>Tasmania</t>
  </si>
  <si>
    <t>4000.48</t>
  </si>
  <si>
    <t>8351753.02</t>
  </si>
  <si>
    <t>FG1 Secures Strategic EL Application at Beaconsfield NE Tas</t>
  </si>
  <si>
    <t>https://app.mininghub.com/article/69140</t>
  </si>
  <si>
    <t>Neil Marston, Flynn Gold Managing Director &amp; CEO</t>
  </si>
  <si>
    <t>(of granted EL13/2024)</t>
  </si>
  <si>
    <t>Zijin Mining Group Co. Ltd.</t>
  </si>
  <si>
    <t>ASX:MI6</t>
  </si>
  <si>
    <t xml:space="preserve">Operator: Zijin Mining Group Co. Ltd. 
Owner: Zijin Mining Group Co. Ltd. (100%)
Optioner: Zijin Mining Group Co. Ltd., Optionee: Minerals 260 Limited
NSR: VOX Royalty Corp. </t>
  </si>
  <si>
    <t>Bullabulling</t>
  </si>
  <si>
    <t>60 Mt @ 1.2 g/t Au containing 2,300 Koz Au</t>
  </si>
  <si>
    <t>13819.15</t>
  </si>
  <si>
    <t>30420000</t>
  </si>
  <si>
    <t>Acquisition of the Bullabulling Gold Project Completed</t>
  </si>
  <si>
    <t>https://app.mininghub.com/article/98825</t>
  </si>
  <si>
    <t>Luke McFadyen, Managing Director</t>
  </si>
  <si>
    <t>WIN Metals Ltd.</t>
  </si>
  <si>
    <t>ASX:WIN</t>
  </si>
  <si>
    <t>Operator: WIN Metals Ltd. 
Owner: WIN Metals Ltd. (100%)</t>
  </si>
  <si>
    <t>Butcher's Creek</t>
  </si>
  <si>
    <t>22522.92</t>
  </si>
  <si>
    <t>144885492.484</t>
  </si>
  <si>
    <t>8250871.395</t>
  </si>
  <si>
    <t>Completion of Sale of Palm Springs Project</t>
  </si>
  <si>
    <t>https://app.mininghub.com/article/79533</t>
  </si>
  <si>
    <t>Nicholas Holthouse, Chief Executive Officer</t>
  </si>
  <si>
    <t>100% of M80/418 and other specified ELs/PLs; 97% of M80/315 and M80/416 (WIN Metals acquiring these interests from Meteoric)</t>
  </si>
  <si>
    <t>Orion Resources Pty Ltd</t>
  </si>
  <si>
    <t>ASX:AKN</t>
  </si>
  <si>
    <t>Operator: Orion Resources Pty Ltd 
Owner: Orion Resources Pty Ltd (85%)
Owner: Auking Mining Limited (15%)
Optioner: Auking Mining Limited, Optionee: Orion Resources Pty Ltd</t>
  </si>
  <si>
    <t>Cloncurry</t>
  </si>
  <si>
    <t>Queensland</t>
  </si>
  <si>
    <t>13036.04</t>
  </si>
  <si>
    <t>2873893.84</t>
  </si>
  <si>
    <t>AKN secures right to acquire 50% of Cloncurry Gold Project</t>
  </si>
  <si>
    <t>https://app.mininghub.com/article/89911</t>
  </si>
  <si>
    <t>Paul Williams, Managing Director</t>
  </si>
  <si>
    <t>(Auking's shareholding interest in Orion Resources Pty Ltd, proposed new owner of Cloncurry Gold Project)</t>
  </si>
  <si>
    <t>Capricorn Metals Ltd</t>
  </si>
  <si>
    <t>ASX:CMM</t>
  </si>
  <si>
    <t>Operator: Capricorn Metals Ltd 
Owner: Capricorn Metals Ltd (100%)
NSR: Peregrine Gold Ltd (1%)
NSR: Peregrine Gold Ltd (1.5%)</t>
  </si>
  <si>
    <t>Deadmans Flat</t>
  </si>
  <si>
    <t>27278.68</t>
  </si>
  <si>
    <t>3356776989.09</t>
  </si>
  <si>
    <t>PGD: Sale of Deadman Flat Project to Capricorn Complete</t>
  </si>
  <si>
    <t>https://app.mininghub.com/article/87941</t>
  </si>
  <si>
    <t>Mark Clark, Executive Chairman</t>
  </si>
  <si>
    <t>Acquisition of 100% of Deadman Flat Project tenements (by Capricorn Metals)</t>
  </si>
  <si>
    <t xml:space="preserve">Qld Aus Graphite Pty Ltd </t>
  </si>
  <si>
    <t>ASX:KOR</t>
  </si>
  <si>
    <t xml:space="preserve">Operator: Qld Aus Graphite Pty Ltd  
Owner: Moho Resources Limited (100%)
Optioner: Moho Resources Limited, Optionee: Qld Aus Graphite Pty Ltd </t>
  </si>
  <si>
    <t>Empress Springs</t>
  </si>
  <si>
    <t>340362.00</t>
  </si>
  <si>
    <t>2923498.296</t>
  </si>
  <si>
    <t>Sale of Empress Springs</t>
  </si>
  <si>
    <t>https://app.mininghub.com/article/87188</t>
  </si>
  <si>
    <t>Peter Christie, Chairman</t>
  </si>
  <si>
    <t>Sale of its interest in Empress Springs Project (by Moho, previously earned up to 70%)</t>
  </si>
  <si>
    <t>Javelin Minerals Limited</t>
  </si>
  <si>
    <t>GPAC:CA</t>
  </si>
  <si>
    <t>Operator: Javelin Minerals Limited 
Owner: Javelin Minerals Limited (100%)</t>
  </si>
  <si>
    <t>Eureka</t>
  </si>
  <si>
    <t>2,452,000 t @ 1.42 g/t Au containing 112,000 Oz Gold</t>
  </si>
  <si>
    <t>720.74</t>
  </si>
  <si>
    <t>18138447.492</t>
  </si>
  <si>
    <t>Completion of Eureka Acquisition and Board Appointment</t>
  </si>
  <si>
    <t>Management Changes,Project Acquisition</t>
  </si>
  <si>
    <t>https://app.mininghub.com/article/81865</t>
  </si>
  <si>
    <t>Brett Mitchell, Executive Chairman</t>
  </si>
  <si>
    <t>Completion of 100% acquisition of Eureka Gold Project (by Javelin)</t>
  </si>
  <si>
    <t>Benz Mining Corp.</t>
  </si>
  <si>
    <t>ASX:OD6</t>
  </si>
  <si>
    <t>Operator: Benz Mining Corp. 
Owner: Benz Mining Corp. (100%)
Optioner: Mining Equities Pty Ltd , Optionee: Benz Mining Corp.</t>
  </si>
  <si>
    <t>Glenburgh</t>
  </si>
  <si>
    <t>39.15 Mt @ 2.62 g/t Au, 3,302.0 Koz Au</t>
  </si>
  <si>
    <t>94482.63</t>
  </si>
  <si>
    <t>54322978</t>
  </si>
  <si>
    <t>http://www.benzmining.com</t>
  </si>
  <si>
    <t>Benz Exercises Option over Strategic Ground Along Strike from the Glenburgh Gold Project</t>
  </si>
  <si>
    <t>https://app.mininghub.com/article/87841</t>
  </si>
  <si>
    <t>Evan Cranston, Benz Executive Chairman</t>
  </si>
  <si>
    <t>Sale of 100% of Glenburgh and Egerton Gold Projects (by Spartan to Benz Mining)</t>
  </si>
  <si>
    <t>Warriedar Resources Limited</t>
  </si>
  <si>
    <t>ASX:COB</t>
  </si>
  <si>
    <t>Operator: Warriedar Resources Limited 
Owner: Warriedar Resources Limited (100%)</t>
  </si>
  <si>
    <t>Golden Range</t>
  </si>
  <si>
    <t>45499.49</t>
  </si>
  <si>
    <t>49757864.468</t>
  </si>
  <si>
    <t>WA8: A$2M Cash From Non-Core Asset Sale</t>
  </si>
  <si>
    <t>https://app.mininghub.com/article/65770</t>
  </si>
  <si>
    <t>Dr Amanda Buckingham, Warriedar Managing Director and CEO</t>
  </si>
  <si>
    <t>Sale of 100% of Golden Range camp assets (by Warriedar)</t>
  </si>
  <si>
    <t>Iceni Gold Limited</t>
  </si>
  <si>
    <t>ASX:KAU</t>
  </si>
  <si>
    <t>Operator: Iceni Gold Limited 
Owner: Iceni Gold Limited (100%)
Optioner: Iceni Gold Limited, Optionee: Gold Road Resources Limited</t>
  </si>
  <si>
    <t>Guyer</t>
  </si>
  <si>
    <t>15409.76</t>
  </si>
  <si>
    <t>22475639.967</t>
  </si>
  <si>
    <t>Farm-in Deal with Gold Road for a Value up to A$44 million</t>
  </si>
  <si>
    <t>https://app.mininghub.com/article/82295</t>
  </si>
  <si>
    <t>Wade Johnson, Iceni Gold Managing Director</t>
  </si>
  <si>
    <t>Farm-out to Gold Road, GOR to earn up to 80% of Guyer Project (from Iceni)</t>
  </si>
  <si>
    <t>Loded Dog Prospecting Pty. Ltd.</t>
  </si>
  <si>
    <t>ASX: ORP</t>
  </si>
  <si>
    <t>Operator: Loded Dog Prospecting Pty. Ltd. 
Owner: Loded Dog Prospecting Pty. Ltd. (100%)</t>
  </si>
  <si>
    <t>Higginsville</t>
  </si>
  <si>
    <t>2720.96</t>
  </si>
  <si>
    <t>6169650.968</t>
  </si>
  <si>
    <t>Sale of Interest in Western Australian Higginsville JV</t>
  </si>
  <si>
    <t>https://app.mininghub.com/article/82897</t>
  </si>
  <si>
    <t>Clinton Dubieniecki, Chief Executive Officer</t>
  </si>
  <si>
    <t>Sale of 80% interest in Higginsville JV (by Orpheus to Loded Dog Prospecting)</t>
  </si>
  <si>
    <t>Aureka Limited</t>
  </si>
  <si>
    <t>ASX:AUC</t>
  </si>
  <si>
    <t>Operator: Aureka Limited 
Owner: Aureka Limited (100%)</t>
  </si>
  <si>
    <t>Irvine</t>
  </si>
  <si>
    <t>5.2 Mt @ 3.0 g/t Au containing 420 kOz</t>
  </si>
  <si>
    <t>129441.77</t>
  </si>
  <si>
    <t>14340885.44</t>
  </si>
  <si>
    <t>Strategic Land Purchase at Irvine Project</t>
  </si>
  <si>
    <t>https://app.mininghub.com/article/92179</t>
  </si>
  <si>
    <t>James Gurry, Managing Director</t>
  </si>
  <si>
    <t>Acquisition of 100% of 97 hectares of land (by Aureka)</t>
  </si>
  <si>
    <t>Cosmo Metals Limited</t>
  </si>
  <si>
    <t>ASX:LNR</t>
  </si>
  <si>
    <t>Operator: Cosmo Metals Limited 
Owner: Cosmo Metals Limited (100%)</t>
  </si>
  <si>
    <t>Kanowna</t>
  </si>
  <si>
    <t>3194.30</t>
  </si>
  <si>
    <t>3627029.835</t>
  </si>
  <si>
    <t>New tenements expand Kanowna Gold Project</t>
  </si>
  <si>
    <t>https://app.mininghub.com/article/68616</t>
  </si>
  <si>
    <t>Peter Bird, Cosmo’s Chairman</t>
  </si>
  <si>
    <t>Acquisition of 100% of two tenements P26/4577 and P27/2461 (by Cosmo from Yandal)</t>
  </si>
  <si>
    <t>Ausgold Limited</t>
  </si>
  <si>
    <t>ASX:BNR</t>
  </si>
  <si>
    <t>Operator: Ausgold Limited 
Owner: Ausgold Limited (100%)</t>
  </si>
  <si>
    <t>Katanning</t>
  </si>
  <si>
    <t>88.9 Mt @ 1.06 g/t Au, containing 3.04 MOz Au</t>
  </si>
  <si>
    <t>425955.49</t>
  </si>
  <si>
    <t>165980882.775</t>
  </si>
  <si>
    <t>Katanning Gold Project Mining Leases Granted</t>
  </si>
  <si>
    <t>https://app.mininghub.com/article/74520</t>
  </si>
  <si>
    <t>Dr Matt Greentree, Ausgold Managing Director</t>
  </si>
  <si>
    <t>Acquisition of 100% of two farming properties (1026 hectares) (by Ausgold)</t>
  </si>
  <si>
    <t>Carnavale Resources Limited</t>
  </si>
  <si>
    <t>ASX:AWJ</t>
  </si>
  <si>
    <t>Operator: Carnavale Resources Limited 
Owner: Carnavale Resources Limited (80%)
Owner: Unknown (20%)</t>
  </si>
  <si>
    <t>Kookynie</t>
  </si>
  <si>
    <t>6481.21</t>
  </si>
  <si>
    <t>16360873.576</t>
  </si>
  <si>
    <t>CAV Divests Non-Core Leonora asset maintaining WA gold focus</t>
  </si>
  <si>
    <t>https://app.mininghub.com/article/77938</t>
  </si>
  <si>
    <t>Humphrey Hale, CEO</t>
  </si>
  <si>
    <t>Sale of 100% of license E40/394 (Leonora tenement) (by Carnavale to KoBold)</t>
  </si>
  <si>
    <t>Beacon Minerals Limited</t>
  </si>
  <si>
    <t>ASX:LPM</t>
  </si>
  <si>
    <t>Operator: Beacon Minerals Limited 
Owner: Geoda Pty Ltd. (100%)
Optioner: Geoda Pty Ltd., Optionee: Beacon Minerals Limited</t>
  </si>
  <si>
    <t>Lady Ida</t>
  </si>
  <si>
    <t>3315.42</t>
  </si>
  <si>
    <t>101432740.608</t>
  </si>
  <si>
    <t>Lady Ida Completes and Appointment of New Director</t>
  </si>
  <si>
    <t>https://app.mininghub.com/article/70207</t>
  </si>
  <si>
    <t>Mr Brett Hodgins, Non‐Executive Director</t>
  </si>
  <si>
    <t>Earn-in up to 50% beneficial ownership of Lady Ida Project (by Beacon Mining from Lamerton/Geoda), then transfer of 100% legal and beneficial ownership to Beacon Minerals.</t>
  </si>
  <si>
    <t>Matsa Resources Limited</t>
  </si>
  <si>
    <t>ASX:KM1</t>
  </si>
  <si>
    <t>Operator: Matsa Resources Limited 
Owner: Matsa Resources Limited (100%)
Optioner: Matsa Resources Limited, Optionee: AngloGold Ashanti Limited</t>
  </si>
  <si>
    <t>Lake Carey</t>
  </si>
  <si>
    <t>11,861 '000t @ 2.5 g/t Au containing 949 '000 oz</t>
  </si>
  <si>
    <t>58081.94</t>
  </si>
  <si>
    <t>38108353.296</t>
  </si>
  <si>
    <t>Matsa and AngloGold Execute $101M Deal for Lake Carey</t>
  </si>
  <si>
    <t>https://app.mininghub.com/article/89357</t>
  </si>
  <si>
    <t>Paul Poli, Executive Chairman</t>
  </si>
  <si>
    <t>No new acquisition; extension of Confidentiality Agreement with AngloGold Ashanti for potential transaction on Lake Carey Gold Project.</t>
  </si>
  <si>
    <t>Bulletin Resources Limited</t>
  </si>
  <si>
    <t>ASX:LM1</t>
  </si>
  <si>
    <t>Operator: Bulletin Resources Limited 
Owner: Bulletin Resources Limited (100%)</t>
  </si>
  <si>
    <t>Lake Rebecca</t>
  </si>
  <si>
    <t>1.4 Moz Au</t>
  </si>
  <si>
    <t>116105.98</t>
  </si>
  <si>
    <t>14680666.15</t>
  </si>
  <si>
    <t>New Acquisition Expands Lake Rebecca Gold Project</t>
  </si>
  <si>
    <t>https://app.mininghub.com/article/90162</t>
  </si>
  <si>
    <t>Paul Poli, Chairman</t>
  </si>
  <si>
    <t>No new acquisition; receipt of final payment from 2021 partial sale of Lake Rebecca tenure to Ramelius.</t>
  </si>
  <si>
    <t>Catalina Resources Ltd</t>
  </si>
  <si>
    <t>ASX:BTR</t>
  </si>
  <si>
    <t>Owner: Catalina Resources Ltd (100%)</t>
  </si>
  <si>
    <t>Laverton</t>
  </si>
  <si>
    <t>27.7 Mt @ 1.33g/t Au for 1.19 Mozs Au</t>
  </si>
  <si>
    <t>7387.84</t>
  </si>
  <si>
    <t>3032523.784</t>
  </si>
  <si>
    <t>Catalina extends presence at Laverton</t>
  </si>
  <si>
    <t>https://app.mininghub.com/article/82102</t>
  </si>
  <si>
    <t>Sanjay Loyalka, Executive Chairman</t>
  </si>
  <si>
    <t>of granted tenement E38/3847 (to Catalina)</t>
  </si>
  <si>
    <t>Top Global Mining Pty Ltd</t>
  </si>
  <si>
    <t>Operator: Top Global Mining Pty Ltd 
Owner: Top Global Mining Pty Ltd (100%)
Optioner: Top Global Mining Pty Ltd, Optionee: Auric Mining Limited</t>
  </si>
  <si>
    <t>Lindsay's</t>
  </si>
  <si>
    <t xml:space="preserve">38,229t @ 1.93g/t </t>
  </si>
  <si>
    <t>3731.26</t>
  </si>
  <si>
    <t>33514508.475</t>
  </si>
  <si>
    <t>Conditional Purchase of Lindsay's Gold Project</t>
  </si>
  <si>
    <t>https://app.mininghub.com/article/89340</t>
  </si>
  <si>
    <t>Mark English, Managing Director</t>
  </si>
  <si>
    <t>Purchase of 100% of Lindsay’s Project (by Auric Mining)</t>
  </si>
  <si>
    <t>Auric Mining Limited</t>
  </si>
  <si>
    <t>ASX:CAE</t>
  </si>
  <si>
    <t>Operator: Auric Mining Limited 
Owner: Auric Mining Limited (100%)</t>
  </si>
  <si>
    <t>Loded Dog</t>
  </si>
  <si>
    <t>11272.71</t>
  </si>
  <si>
    <t>Auric Purchases Tenements Near Higginsville Gold Deposits</t>
  </si>
  <si>
    <t>https://app.mininghub.com/article/89024</t>
  </si>
  <si>
    <t>Mr John Utley, Technical Director</t>
  </si>
  <si>
    <t>Acquisition of 100% of 8 Loded Dog tenements (by Auric Mining)</t>
  </si>
  <si>
    <t>Brightstar Resources Limited</t>
  </si>
  <si>
    <t>Operator: Brightstar Resources Limited 
Owner: Brightstar Resources Limited (100%)</t>
  </si>
  <si>
    <t>Montague East</t>
  </si>
  <si>
    <t>38,319 Kt @ 1.6 g/t Au for 1,959 Koz</t>
  </si>
  <si>
    <t>94902.91</t>
  </si>
  <si>
    <t>11446968.26</t>
  </si>
  <si>
    <t>205310980.26</t>
  </si>
  <si>
    <t>GML Sells Gold Rights at Montague East to BTR for $14M</t>
  </si>
  <si>
    <t>https://app.mininghub.com/article/67250</t>
  </si>
  <si>
    <t>Alex Rovira, Brightstar’s Managing Director</t>
  </si>
  <si>
    <t>Sale of gold rights for Eastern Montague Gold Project to Brightstar (by Gateway, Gateway retains other mineral rights and Montague West)</t>
  </si>
  <si>
    <t>ASX:KAI</t>
  </si>
  <si>
    <t>Operator: Benz Mining Corp. 
Owner: Benz Mining Corp. (100%)</t>
  </si>
  <si>
    <t>Mt Egerton</t>
  </si>
  <si>
    <t>39.15 Mt @ 2.62 g/t Au containing 3,302.0 Koz</t>
  </si>
  <si>
    <t>22687.10</t>
  </si>
  <si>
    <t>2223516286.505</t>
  </si>
  <si>
    <t>SPR: AGREEMENT TO SELL GLENBURGH &amp; EGERTON GOLD PROJ TO BEN</t>
  </si>
  <si>
    <t>https://app.mininghub.com/article/77583</t>
  </si>
  <si>
    <t>Acquisition of 100% of Glenburgh and Mt Egerton Gold Projects (by Benz from Spartan, via acquisition of subsidiaries)</t>
  </si>
  <si>
    <t>High-Tech Metals Ltd</t>
  </si>
  <si>
    <t>ASX:OMX</t>
  </si>
  <si>
    <t>Operator: High-Tech Metals Ltd 
Owner: Rox Resources Limited (100%)
Optioner: Rox Resources Limited, Optionee: High-Tech Metals Ltd</t>
  </si>
  <si>
    <t>Mt Fisher</t>
  </si>
  <si>
    <t>3,519,200 t @ 1.65 g/t Au containing 187 koz</t>
  </si>
  <si>
    <t>61511.56</t>
  </si>
  <si>
    <t>191531182.815</t>
  </si>
  <si>
    <t>7175542.09</t>
  </si>
  <si>
    <t>Rox to sell non-core asset for $1.5 million</t>
  </si>
  <si>
    <t>https://app.mininghub.com/article/88884</t>
  </si>
  <si>
    <t>Warren Thorne, High-Tech’s CEO</t>
  </si>
  <si>
    <t>Acquisition of 100% of Mt Fisher Gold Project and 51% of Mt Eureka Gold Project (by High-Tech Metals from Rox Resources)</t>
  </si>
  <si>
    <t>ASX:OLY</t>
  </si>
  <si>
    <t>Operator: Capricorn Metals Ltd 
Owner: Capricorn Metals Ltd (100%)</t>
  </si>
  <si>
    <t>Mt Gibson</t>
  </si>
  <si>
    <t>139079.45</t>
  </si>
  <si>
    <t>Acquisition of Mummaloo Project</t>
  </si>
  <si>
    <t>https://app.mininghub.com/article/86083</t>
  </si>
  <si>
    <t>Acquisition of 100% of Mummaloo Project (by Capricorn from Top Iron)</t>
  </si>
  <si>
    <t>Kairos Minerals Limited</t>
  </si>
  <si>
    <t>TSXV:KCC</t>
  </si>
  <si>
    <t>Operator: Kairos Minerals Limited 
Owner: Kairos Minerals Limited (100%)</t>
  </si>
  <si>
    <t>Mt York</t>
  </si>
  <si>
    <t>49.24 Mt @ 1.02 g/t Au for 1,618 kozs</t>
  </si>
  <si>
    <t>1026.43</t>
  </si>
  <si>
    <t>44725507.213</t>
  </si>
  <si>
    <t>Completion of PLS Sale Agreement and First $10M Payment</t>
  </si>
  <si>
    <t>https://app.mininghub.com/article/70353</t>
  </si>
  <si>
    <t>Dr Peter Turner, Kairos Managing Director</t>
  </si>
  <si>
    <t>Agreement to sell 100% of six prospecting licences and overlying mining lease application M45/1307 (by Kairos to Pilbara Minerals)</t>
  </si>
  <si>
    <t>Augustus Minerals Limited</t>
  </si>
  <si>
    <t>ASX:GR8</t>
  </si>
  <si>
    <t>Operator: Augustus Minerals Limited 
Owner: Music Well Gold Mines Pty Ltd (100%)
Optioner: Music Well Gold Mines Pty Ltd, Optionee: Augustus Minerals Limited</t>
  </si>
  <si>
    <t>Music Well</t>
  </si>
  <si>
    <t>0.133 Mt @ 1.4 g/t Au containing 6,000 oz Au</t>
  </si>
  <si>
    <t>144788.33</t>
  </si>
  <si>
    <t>3814125.728</t>
  </si>
  <si>
    <t>Augustus Acquires Gold Exploration Project Near Leonora</t>
  </si>
  <si>
    <t>https://app.mininghub.com/article/77705</t>
  </si>
  <si>
    <t>Andrew Ford, GM Exploration</t>
  </si>
  <si>
    <t>Acquisition of 100% of Music Well Gold Mines Pty Ltd (by Augustus Minerals)</t>
  </si>
  <si>
    <t>Peregrine Gold Ltd</t>
  </si>
  <si>
    <t>ASX:RIM</t>
  </si>
  <si>
    <t>Operator: Peregrine Gold Ltd 
Owner: Peregrine Gold Ltd (100%)</t>
  </si>
  <si>
    <t>Newman</t>
  </si>
  <si>
    <t>2.252moz Au</t>
  </si>
  <si>
    <t>160864.96</t>
  </si>
  <si>
    <t>15892794</t>
  </si>
  <si>
    <t>Agreement with Mark Creasy over Peninsula Prospect - Amended</t>
  </si>
  <si>
    <t>https://app.mininghub.com/article/92572</t>
  </si>
  <si>
    <t>George Merhi, Technical Director</t>
  </si>
  <si>
    <t>Agreement for Mark Creasy to exploit precious metals on 3 SPLs applied for over Peregrine's E52/3850 (Peninsula Prospect), Peregrine receives 60% of net proceeds.</t>
  </si>
  <si>
    <t>Kalgoorlie Gold Mining Limited</t>
  </si>
  <si>
    <t>ASX:BML</t>
  </si>
  <si>
    <t>Operator: Kalgoorlie Gold Mining Limited 
Owner: Kalgoorlie Gold Mining Limited (100%)</t>
  </si>
  <si>
    <t>Pinjin</t>
  </si>
  <si>
    <t>3.61 Mt @ 1.19 g/t Au for 138,000 oz</t>
  </si>
  <si>
    <t>35179.21</t>
  </si>
  <si>
    <t>18992416.6</t>
  </si>
  <si>
    <t>Tenement Sale - Yarri Project</t>
  </si>
  <si>
    <t>https://app.mininghub.com/article/81134</t>
  </si>
  <si>
    <t>Matt Painter, KalGold Managing Director</t>
  </si>
  <si>
    <t>of granted Exploration Licence E31/1347 (Pinjin) (to KalGold)</t>
  </si>
  <si>
    <t>Castle Minerals Limited</t>
  </si>
  <si>
    <t>ASX:TMG</t>
  </si>
  <si>
    <t>Operator: Castle Minerals Limited 
Owner: Castle Minerals Limited (100%)</t>
  </si>
  <si>
    <t>Polelle</t>
  </si>
  <si>
    <t>7,450 kt @ 2.8 g/t Au (668,000 oz)</t>
  </si>
  <si>
    <t>14857.44</t>
  </si>
  <si>
    <t>3855645.758</t>
  </si>
  <si>
    <t>GBR:Revised option agreement - Polelle and Wanganui projects</t>
  </si>
  <si>
    <t>https://app.mininghub.com/article/84496</t>
  </si>
  <si>
    <t>Andrew Paterson, Managing Director</t>
  </si>
  <si>
    <t>Option to acquire 75% interest in Polelle and Wanganui Projects (by Great Boulder from Castle Minerals)</t>
  </si>
  <si>
    <t>Southern Cross Gold Consolidated Ltd</t>
  </si>
  <si>
    <t>ASX:TMB</t>
  </si>
  <si>
    <t>Operator: Southern Cross Gold Consolidated Ltd 
Owner: Southern Cross Gold Consolidated Ltd (70%)
Owner: Nagambie Resources Limited (30%)</t>
  </si>
  <si>
    <t>Redcastle</t>
  </si>
  <si>
    <t>415,000 tonnes @ 16.7 g/t Au equivalent</t>
  </si>
  <si>
    <t>5679.37</t>
  </si>
  <si>
    <t>14459442.192</t>
  </si>
  <si>
    <t>899825680</t>
  </si>
  <si>
    <t>https://www.mawsongold.com</t>
  </si>
  <si>
    <t>Sale of Remaining 30% Interest in Redcastle Tenements</t>
  </si>
  <si>
    <t>https://app.mininghub.com/article/75947</t>
  </si>
  <si>
    <t>James Earle, CEO</t>
  </si>
  <si>
    <t>Acquisition of 100% of prospecting licence application P 39/6315 (by Redcastle)</t>
  </si>
  <si>
    <t>Great Boulder Resources Ltd</t>
  </si>
  <si>
    <t>TSX:NVO</t>
  </si>
  <si>
    <t>Operator: Great Boulder Resources Ltd 
Owner: Great Boulder Resources Ltd (100%)
Optioner: Castle Minerals Limited, Optionee: Great Boulder Resources Ltd</t>
  </si>
  <si>
    <t>Side Well</t>
  </si>
  <si>
    <t>7,450 kt @ 2.8 g/t Au containing 668,000 oz Au</t>
  </si>
  <si>
    <t>18464.65</t>
  </si>
  <si>
    <t>50859722.378</t>
  </si>
  <si>
    <t>Key tenement acquisitions expand Side Well Gold Project</t>
  </si>
  <si>
    <t>https://app.mininghub.com/article/72244</t>
  </si>
  <si>
    <t>Andrew Paterson, Great Boulder’s Managing Director</t>
  </si>
  <si>
    <t>Acquisition of 80% interest in seven Prospecting Licences and one Exploration Licence (Side Well South) (by Great Boulder from Mark Selga/Wanbanna)</t>
  </si>
  <si>
    <t>ASX:M4M</t>
  </si>
  <si>
    <t>Operator: Southern Cross Gold Consolidated Ltd 
Owner: Southern Cross Gold Consolidated Ltd (100%)</t>
  </si>
  <si>
    <t>Sunday Creek</t>
  </si>
  <si>
    <t>16569.50</t>
  </si>
  <si>
    <t>SXG Enters Agreement to Acquire Land</t>
  </si>
  <si>
    <t>https://app.mininghub.com/article/73795</t>
  </si>
  <si>
    <t>Michael Hudson, Interim CEO and Executive Chairman</t>
  </si>
  <si>
    <t>Dart Mining NL</t>
  </si>
  <si>
    <t>ASX:DTM</t>
  </si>
  <si>
    <t>Operator: Dart Mining NL 
Owner: Dart Mining NL (100%)</t>
  </si>
  <si>
    <t>Triumph</t>
  </si>
  <si>
    <t>5.45mt @ 1.1g/t Au containing 192,744 oz Au</t>
  </si>
  <si>
    <t>13430.21</t>
  </si>
  <si>
    <t>3438819.57</t>
  </si>
  <si>
    <t>Queensland EMP Application at Triumph Project</t>
  </si>
  <si>
    <t>https://app.mininghub.com/article/72431</t>
  </si>
  <si>
    <t>James Chirnside, Dart Mining Chairman</t>
  </si>
  <si>
    <t>Application for 100% of new EPM 29097 (by Dart Mining, adjacent to Triumph Gold Project)</t>
  </si>
  <si>
    <t>GBM Resources Limited</t>
  </si>
  <si>
    <t>ASX:GBZ</t>
  </si>
  <si>
    <t>Operator: GBM Resources Limited 
Owner: GBM Resources Limited (100%)
Optioner: GBM Resources Limited, Optionee: Wise Walkers Limited</t>
  </si>
  <si>
    <t>Twin Hills</t>
  </si>
  <si>
    <t>45,655 kt @ 1.26 g/t Au, 1,844,200 oz Au</t>
  </si>
  <si>
    <t>107696.01</t>
  </si>
  <si>
    <t>8197489.846</t>
  </si>
  <si>
    <t>$12 Million Sale and Farm-in Agreement on Twin Hills Signed</t>
  </si>
  <si>
    <t>https://app.mininghub.com/article/75288</t>
  </si>
  <si>
    <t>Peter Rohner, GBM Managing Director and CEO</t>
  </si>
  <si>
    <t>Farm-in agreement for Wise Walkers to earn up to 70% JV interest in Twin Hills Gold Project (from GBM Resources)</t>
  </si>
  <si>
    <t>TG Metals Limited</t>
  </si>
  <si>
    <t>ASX:TG6</t>
  </si>
  <si>
    <t>Operator: TG Metals Limited 
Owner: Montague Resources Australia Pty Ltd (80%)
Owner: Barto Gold Pty Ltd (20%)
Optioner: Montague Resources Australia Pty Ltd, Optionee: TG Metals Limited</t>
  </si>
  <si>
    <t>Van Uden</t>
  </si>
  <si>
    <t>5.378 Mt @ 1.38 g/t Au, 238.0 koz Au</t>
  </si>
  <si>
    <t>2236.11</t>
  </si>
  <si>
    <t>7451420.8</t>
  </si>
  <si>
    <t>Acquisition of Advanced WA Gold Project</t>
  </si>
  <si>
    <t>https://app.mininghub.com/article/90173</t>
  </si>
  <si>
    <t>David Selfe, CEO</t>
  </si>
  <si>
    <t>Acquisition of 80% interest in Van Uden Gold Project (by TG Metals from Montague Resources)</t>
  </si>
  <si>
    <t>Dundas Minerals Limited</t>
  </si>
  <si>
    <t>ASX:DUN</t>
  </si>
  <si>
    <t>Operator: Dundas Minerals Limited 
Owner: Dundas Minerals Limited (100%)</t>
  </si>
  <si>
    <t>Windanya</t>
  </si>
  <si>
    <t>25,000oz Au</t>
  </si>
  <si>
    <t>1798.05</t>
  </si>
  <si>
    <t>2358803.612</t>
  </si>
  <si>
    <t>Option to Purchase Strategically Located Mining Licence</t>
  </si>
  <si>
    <t>https://app.mininghub.com/article/73973</t>
  </si>
  <si>
    <t>Shane Volk, Managing Director</t>
  </si>
  <si>
    <t>Option to acquire 100% of granted Mining Licence M 24/974 (Windanya Gold Project) (by Dundas Minerals from Rockland)</t>
  </si>
  <si>
    <t>Spartan Resources Limited</t>
  </si>
  <si>
    <t>ASX:FTL</t>
  </si>
  <si>
    <t>Operator: Spartan Resources Limited 
Owner: Spartan Resources Limited (100%)</t>
  </si>
  <si>
    <t>Yalgoo</t>
  </si>
  <si>
    <t>107272.19</t>
  </si>
  <si>
    <t>FTL: Divestment of WA Lithium Rights</t>
  </si>
  <si>
    <t>https://app.mininghub.com/article/84946</t>
  </si>
  <si>
    <t>Simon Lawson, Spartan Interim Executive Chairman</t>
  </si>
  <si>
    <t>Acquisition of lithium rights over Yalgoo, Egerton and Dalgaranga Projects (by Spartan from Firetail)</t>
  </si>
  <si>
    <t>Solstice Minerals Limited</t>
  </si>
  <si>
    <t>ASX:SLS</t>
  </si>
  <si>
    <t>Operator: Solstice Minerals Limited 
Owner: Solstice Minerals Limited (100%)</t>
  </si>
  <si>
    <t>Yarri (Bunjarra)</t>
  </si>
  <si>
    <t>154068.01</t>
  </si>
  <si>
    <t>16552907.2</t>
  </si>
  <si>
    <t>https://app.mininghub.com/article/81135</t>
  </si>
  <si>
    <t>Nick Castleden, CEO &amp; Managing Director</t>
  </si>
  <si>
    <t>Sale of 100% of non-core Exploration Licence E31/1262 (Yarri Project) (by Solstice to KalGold)</t>
  </si>
  <si>
    <t>EMX Royalty Corporation</t>
  </si>
  <si>
    <t>ASX:MPK</t>
  </si>
  <si>
    <t>Operator: EMX Royalty Corporation 
Owner: EMX Royalty Corporation (100%)
NSR: EMX Royalty Corporation (2.5%)</t>
  </si>
  <si>
    <t>Yarrol</t>
  </si>
  <si>
    <t>205783259</t>
  </si>
  <si>
    <t>https://www.emxroyalty.com</t>
  </si>
  <si>
    <t>EMX Options its Queensland Gold Projects to Mila Resources</t>
  </si>
  <si>
    <t>https://app.mininghub.com/article/77463</t>
  </si>
  <si>
    <t>David M. Cole, President and CEO</t>
  </si>
  <si>
    <t>Valkea Resources Corp.</t>
  </si>
  <si>
    <t>TSXV:OZ</t>
  </si>
  <si>
    <t>Operator: Valkea Resources Corp. 
Owner: Valkea Resources Corp. (100%)
Optioner: Valkea Resources Corp., Optionee: S2 Resources Ltd</t>
  </si>
  <si>
    <t>Yeungroon</t>
  </si>
  <si>
    <t>72800.52</t>
  </si>
  <si>
    <t>40757219.37</t>
  </si>
  <si>
    <t>9834939</t>
  </si>
  <si>
    <t>https://www.outbackgoldfields.com</t>
  </si>
  <si>
    <t>S2 acquires three new gold projects in Victoria</t>
  </si>
  <si>
    <t>https://app.mininghub.com/article/80817</t>
  </si>
  <si>
    <t>Mark Bennett, Executive Chairman</t>
  </si>
  <si>
    <t>S2 Resources to earn 80% interest in three Victorian gold projects (Silverspoon, Yeungroon, Ballarat West) (from Valkea Resources)</t>
  </si>
  <si>
    <t>Bain Global Resources Pty Ltd</t>
  </si>
  <si>
    <t>ASX:MAT</t>
  </si>
  <si>
    <t>Operator: Bain Global Resources Pty Ltd 
Owner: Bain Global Resources Pty Ltd (100%)</t>
  </si>
  <si>
    <t>Kat Gap</t>
  </si>
  <si>
    <t>8,412,212 Tonnes @ 1.45 g/t Au for 391,417 Oz Au</t>
  </si>
  <si>
    <t>Development</t>
  </si>
  <si>
    <t>3145.12</t>
  </si>
  <si>
    <t>1544025.557</t>
  </si>
  <si>
    <t>Completion of Kat Gap sale</t>
  </si>
  <si>
    <t>https://app.mininghub.com/article/92191</t>
  </si>
  <si>
    <t>John Lester, Chair</t>
  </si>
  <si>
    <t>Sale of 100% of Kat Gap Project tenements (by Classic to Bain)</t>
  </si>
  <si>
    <t>Operator: Adelong Gold Limited 
Owner: Adelong Gold Limited (100%)</t>
  </si>
  <si>
    <t>Apollo</t>
  </si>
  <si>
    <t>1,820,000 Tonnes @ 3.21 g/t Au containing 188,000 oz</t>
  </si>
  <si>
    <t>Early Stage</t>
  </si>
  <si>
    <t>9904.43</t>
  </si>
  <si>
    <t>ADELONG GOLD ACQUIRES ADVANCED, HIGH-GRADE GOLD PROJECT</t>
  </si>
  <si>
    <t>https://app.mininghub.com/article/87655</t>
  </si>
  <si>
    <t>(of EL006430 - Apollo Gold Project)</t>
  </si>
  <si>
    <t>S2 Resources Ltd</t>
  </si>
  <si>
    <t>OZ:CA</t>
  </si>
  <si>
    <t>Operator: S2 Resources Ltd 
Owner: Valkea Resources Corp. (100%)
Optioner: Valkea Resources Corp., Optionee: S2 Resources Ltd</t>
  </si>
  <si>
    <t>Ballarat West</t>
  </si>
  <si>
    <t>44870.60</t>
  </si>
  <si>
    <t>Valkea Completes Option of Legacy Australian Properties to S2 Resources</t>
  </si>
  <si>
    <t>Options Grant,Project Acquisition</t>
  </si>
  <si>
    <t>https://app.mininghub.com/article/90009</t>
  </si>
  <si>
    <t>Q2 Metals Corp.</t>
  </si>
  <si>
    <t>QTWO:CA</t>
  </si>
  <si>
    <t>Operator: Q2 Metals Corp. 
Owner: Q2 Metals Corp. (100%)</t>
  </si>
  <si>
    <t>Big Hill</t>
  </si>
  <si>
    <t>13311.32</t>
  </si>
  <si>
    <t>96995794</t>
  </si>
  <si>
    <t>https://www.queenslandgoldhills.com</t>
  </si>
  <si>
    <t>Q2 Metals Outlines 2023 Exploration Program and Acquires 3900 Hectare Stellar Lithium Property in James Bay, Quebec</t>
  </si>
  <si>
    <t>Exploration update,Project Acquisition</t>
  </si>
  <si>
    <t>https://app.mininghub.com/article/31988</t>
  </si>
  <si>
    <t>Alicia Milne, President &amp; CEO</t>
  </si>
  <si>
    <t>Infinity Lithium Corporation Limited</t>
  </si>
  <si>
    <t>ASX:INF</t>
  </si>
  <si>
    <t>Operator: Infinity Lithium Corporation Limited 
Owner: Infinity Lithium Corporation Limited (100%)</t>
  </si>
  <si>
    <t>Bindi</t>
  </si>
  <si>
    <t>43229.10</t>
  </si>
  <si>
    <t>11342210.232</t>
  </si>
  <si>
    <t>Infinity Acquires Gold Projects</t>
  </si>
  <si>
    <t>https://app.mininghub.com/article/93123</t>
  </si>
  <si>
    <t>Mr Adrian Byass, Infinity Execu(cid:415)ve Chairman</t>
  </si>
  <si>
    <t>(of Highland Resources Limited)</t>
  </si>
  <si>
    <t>Forrestania Resources Limited</t>
  </si>
  <si>
    <t>ASX:FRS</t>
  </si>
  <si>
    <t>Operator: Forrestania Resources Limited 
Owner: Forrestania Resources Limited (100%)
Optioner: Outback Minerals Pty Ltd, Optionee: Forrestania Resources Limited</t>
  </si>
  <si>
    <t>Bonnie Vale</t>
  </si>
  <si>
    <t>7724.96</t>
  </si>
  <si>
    <t>8660997.147</t>
  </si>
  <si>
    <t>Bonnie Vale Project Option Exercised</t>
  </si>
  <si>
    <t>https://app.mininghub.com/article/98360</t>
  </si>
  <si>
    <t>John Hannaford, Forrestania Resources’ Chairman</t>
  </si>
  <si>
    <t>(Option exercised for Bonnie Vale &amp; Breakaway Dam projects)</t>
  </si>
  <si>
    <t>Golden Horse Minerals Limited</t>
  </si>
  <si>
    <t>TSXV:GHML</t>
  </si>
  <si>
    <t>Operator: Golden Horse Minerals Limited 
Owner: Torque Metals Limited (100%)
Optioner: Torque Metals Limited, Optionee: Golden Horse Minerals Limited</t>
  </si>
  <si>
    <t>Bullfinch</t>
  </si>
  <si>
    <t>128380.92</t>
  </si>
  <si>
    <t>10312950</t>
  </si>
  <si>
    <t>http://www.altanrio.com</t>
  </si>
  <si>
    <t>Golden Horse Continues to Expand Southern Cross Footprint with Bullfinch Acquisition</t>
  </si>
  <si>
    <t>https://app.mininghub.com/article/73516</t>
  </si>
  <si>
    <t>Nicholas Anderson, Managing Director &amp; CEO</t>
  </si>
  <si>
    <t>Taiton Resources Limited</t>
  </si>
  <si>
    <t>ASX:T88</t>
  </si>
  <si>
    <t>Operator: Taiton Resources Limited 
Owner: Taiton Resources Limited (100%)</t>
  </si>
  <si>
    <t>Challenger West</t>
  </si>
  <si>
    <t>South Australia</t>
  </si>
  <si>
    <t>185780.21</t>
  </si>
  <si>
    <t>7073450.91</t>
  </si>
  <si>
    <t>Additional Tenement Granted at Challenger West</t>
  </si>
  <si>
    <t>https://app.mininghub.com/article/69940</t>
  </si>
  <si>
    <t>Noel Ong, Executive Director</t>
  </si>
  <si>
    <t>(of granted EL 7012)</t>
  </si>
  <si>
    <t>Amery Holdings Pty Ltd</t>
  </si>
  <si>
    <t>ASX:FAL</t>
  </si>
  <si>
    <t>Operator: Amery Holdings Pty Ltd 
Owner: Amery Holdings Pty Ltd (100%)
Optioner: Amery Holdings Pty Ltd, Optionee: Forrestania Resources Limited</t>
  </si>
  <si>
    <t>E15/1972</t>
  </si>
  <si>
    <t>881.75</t>
  </si>
  <si>
    <t>Key New Tenement under Option at Bonnie Vale</t>
  </si>
  <si>
    <t>https://app.mininghub.com/article/81951</t>
  </si>
  <si>
    <t>John Hannaford, Chairman</t>
  </si>
  <si>
    <t>Option to acquire 100% of tenement E 15/1972 (by Forrestania Resources)</t>
  </si>
  <si>
    <t>Gibb River Diamonds Limited</t>
  </si>
  <si>
    <t>ASX:LML</t>
  </si>
  <si>
    <t>Owner: Gibb River Diamonds Limited (100%)</t>
  </si>
  <si>
    <t>Edjudina</t>
  </si>
  <si>
    <t>378,000 tonnes @ 1.9 g/t Au containing 24,000 oz</t>
  </si>
  <si>
    <t>6560.93</t>
  </si>
  <si>
    <t>8151358.91</t>
  </si>
  <si>
    <t>GIB: Acq'n of New Mining Lease at Edjudina Gold Project WA</t>
  </si>
  <si>
    <t>https://app.mininghub.com/article/70039</t>
  </si>
  <si>
    <t>Jim Richards, Executive Chairman</t>
  </si>
  <si>
    <t>Acquisition of 100% of Mining Lease M31/481 (by GIB)</t>
  </si>
  <si>
    <t>Falcon Metals Ltd</t>
  </si>
  <si>
    <t>Operator: Falcon Metals Ltd 
Owner: Errawarra Resources Ltd (100%)
Optioner: Errawarra Resources Ltd, Optionee: Falcon Metals Ltd</t>
  </si>
  <si>
    <t>Errabiddy</t>
  </si>
  <si>
    <t>16.3Mt @ 1.0g/t for 510,000 ounces of gold</t>
  </si>
  <si>
    <t>51935.95</t>
  </si>
  <si>
    <t>17700000</t>
  </si>
  <si>
    <t>Falcon Acquires Craton Margin Gold Project in WA</t>
  </si>
  <si>
    <t>https://app.mininghub.com/article/80113</t>
  </si>
  <si>
    <t>Tim Markwell, Managing Director</t>
  </si>
  <si>
    <t>Farm-out to Falcon Metals, Falcon to earn up to 70% of E09/2457 (from Errawarra)</t>
  </si>
  <si>
    <t>ASX:WA8</t>
  </si>
  <si>
    <t>Operator: Catalina Resources Ltd 
Owner: Catalina Resources Ltd (100%)</t>
  </si>
  <si>
    <t>Evanston</t>
  </si>
  <si>
    <t>752koz @ 3.5 g/t Au</t>
  </si>
  <si>
    <t>18370.47</t>
  </si>
  <si>
    <t>DRE: Divestment of Evanston and Yerilgee Projects</t>
  </si>
  <si>
    <t>https://app.mininghub.com/article/81547</t>
  </si>
  <si>
    <t>Acquisition of 100% of Yerilgee and Evanston greenstone belts (by Catalina from Dreadnought)</t>
  </si>
  <si>
    <t>ASX:ICL</t>
  </si>
  <si>
    <t>Operator: Valkea Resources Corp. 
Owner: Valkea Resources Corp. (49%)
Owner: S2 Resources Ltd (51%)</t>
  </si>
  <si>
    <t>Glenfine</t>
  </si>
  <si>
    <t>S2 acquires fourth new Gold Project in Victoria</t>
  </si>
  <si>
    <t>https://app.mininghub.com/article/88831</t>
  </si>
  <si>
    <t>Earn-in to Valkea's 51% interest in Glenfine JV (by S2 Resources)</t>
  </si>
  <si>
    <t>Great Pacific Gold Corp.</t>
  </si>
  <si>
    <t>TSXV:GHM</t>
  </si>
  <si>
    <t>Operator: Great Pacific Gold Corp. 
Owner: Great Pacific Gold Corp. (100%)</t>
  </si>
  <si>
    <t>Golden Mountain</t>
  </si>
  <si>
    <t>9904.46</t>
  </si>
  <si>
    <t>36595419</t>
  </si>
  <si>
    <t>https://fostervillesouth.com</t>
  </si>
  <si>
    <t>Great Pacific Gold Announces Sale of Golden Mountain Project in Victoria, Australia</t>
  </si>
  <si>
    <t>https://app.mininghub.com/article/87628</t>
  </si>
  <si>
    <t>Greg McCunn, Chief Executive Officer and Director</t>
  </si>
  <si>
    <t>Ordell Minerals Limited</t>
  </si>
  <si>
    <t>ASX:NFM</t>
  </si>
  <si>
    <t>Operator: Ordell Minerals Limited 
Owner: Ordell Minerals Limited (100%)</t>
  </si>
  <si>
    <t>Goodia</t>
  </si>
  <si>
    <t>17702.48</t>
  </si>
  <si>
    <t>20130695.2</t>
  </si>
  <si>
    <t>Ordell Consolidates Land Holding Around Goodia Project</t>
  </si>
  <si>
    <t>https://app.mininghub.com/article/87350</t>
  </si>
  <si>
    <t>Michael Fowler, Managing Director</t>
  </si>
  <si>
    <t>Acquisition of 100% of tenement E63/1953 (by Ordell Minerals)</t>
  </si>
  <si>
    <t>ASX: BTR</t>
  </si>
  <si>
    <t>Operator: Brightstar Resources Limited 
Owner: Brightstar Resources Limited (100%)
Optioner: Brightstar Resources Limited, Optionee: Cazaly Resources Limited</t>
  </si>
  <si>
    <t>Goongarrie</t>
  </si>
  <si>
    <t>61,819 Kt @ 1.5 g/t Au containing 3,005 Koz</t>
  </si>
  <si>
    <t>7359.52</t>
  </si>
  <si>
    <t>Cazaly exercise option for Goongarrie Gold Project JV</t>
  </si>
  <si>
    <t>https://app.mininghub.com/article/92292</t>
  </si>
  <si>
    <t>Earn-in up to 80% of Goongarrie Gold Project (by Cazaly from Brightstar)</t>
  </si>
  <si>
    <t>ASX:ORP</t>
  </si>
  <si>
    <t>Operator: Golden Horse Minerals Limited 
Owner: Golden Horse Minerals Limited (100%)</t>
  </si>
  <si>
    <t>Hakes Find</t>
  </si>
  <si>
    <t>Golden Horse Minerals Key Acquisition and Corporate Update</t>
  </si>
  <si>
    <t>https://app.mininghub.com/article/74502</t>
  </si>
  <si>
    <t>Operator: Novo Resources Corp. 
Owner: Techgen Metals Ltd (100%)
Optioner: Techgen Metals Ltd, Optionee: Novo Resources Corp.</t>
  </si>
  <si>
    <t>John Bull</t>
  </si>
  <si>
    <t>2.1 Mt @ 8.4 g/t Au (570 koz Au)</t>
  </si>
  <si>
    <t>3199.53</t>
  </si>
  <si>
    <t>3649311.33</t>
  </si>
  <si>
    <t>John Bull Gold Update</t>
  </si>
  <si>
    <t>https://app.mininghub.com/article/81975</t>
  </si>
  <si>
    <t>Option to acquire 80% in Micks Bull (EL9121) and 70% in John Bull (EL8389) (by Novo from TechGen); Option to acquire 70% in Tibooburra Project (by Novo from Manhattan)</t>
  </si>
  <si>
    <t>E79 Gold Mines Limited</t>
  </si>
  <si>
    <t>ASX:THB</t>
  </si>
  <si>
    <t>Operator: E79 Gold Mines Limited 
Owner: E79 Gold Mines Limited (100%)
Optioner: E79 Gold Mines Limited, Optionee: Scorpion Minerals Limited</t>
  </si>
  <si>
    <t>Jungar Flats</t>
  </si>
  <si>
    <t>647,000 tonnes @ 0.2 g/t Au containing 4,000 oz Au</t>
  </si>
  <si>
    <t>69783.86</t>
  </si>
  <si>
    <t>10234123.84</t>
  </si>
  <si>
    <t>4910791.654</t>
  </si>
  <si>
    <t>Presentation - Murchison Gold Strategy</t>
  </si>
  <si>
    <t>https://app.mininghub.com/article/87836</t>
  </si>
  <si>
    <t>Michael Fotios, Chief Executive Officer</t>
  </si>
  <si>
    <t>Farm-out to Scorpion Minerals, SCN to earn up to 70% of Jungar Flats Project (from E79 Gold)</t>
  </si>
  <si>
    <t>ASX:BC8</t>
  </si>
  <si>
    <t>Kings Find</t>
  </si>
  <si>
    <t>5396.13</t>
  </si>
  <si>
    <t>Acquisition of Kings Find Project</t>
  </si>
  <si>
    <t>https://app.mininghub.com/article/90921</t>
  </si>
  <si>
    <t>Acquisition of 100% of Kings Find Project tenement (by Capricorn from Serena)</t>
  </si>
  <si>
    <t>Kobold Tjantjuru Pty Ltd.</t>
  </si>
  <si>
    <t>ASX:EPM</t>
  </si>
  <si>
    <t>Operator: Kobold Tjantjuru Pty Ltd. 
Owner: Catalina Resources Ltd (100%)
Optioner: Catalina Resources Ltd, Optionee: Kobold Tjantjuru Pty Ltd.</t>
  </si>
  <si>
    <t>Kookynie West</t>
  </si>
  <si>
    <t>7771.56</t>
  </si>
  <si>
    <t>Sale Agreement with Kobold for Kookynie West</t>
  </si>
  <si>
    <t>https://app.mininghub.com/article/77508</t>
  </si>
  <si>
    <t>Sanjay Loyalka, Executive Chairman and Company Secretary</t>
  </si>
  <si>
    <t>Divestment of 100% of Kookynie West Project (E40/378) (by Catalina to KoBold)</t>
  </si>
  <si>
    <t>Labyrinth Resources Limited</t>
  </si>
  <si>
    <t>ASX:WYX</t>
  </si>
  <si>
    <t>Operator: Labyrinth Resources Limited 
Owner: Labyrinth Resources Limited (100%)</t>
  </si>
  <si>
    <t>Mulwarrie</t>
  </si>
  <si>
    <t>in excess of 250,000 ounces Au @ 1.40 g/t Au</t>
  </si>
  <si>
    <t>8468.82</t>
  </si>
  <si>
    <t>5620939</t>
  </si>
  <si>
    <t>OLY: Olympio Completes Mulwarrie Divestment</t>
  </si>
  <si>
    <t>https://app.mininghub.com/article/80799</t>
  </si>
  <si>
    <t>Sean Delaney, Managing Director</t>
  </si>
  <si>
    <t>Completion of sale of 100% of Mulwarrie Project to Labyrinth (by Olympio)</t>
  </si>
  <si>
    <t>Serra Energy Metals Corp.</t>
  </si>
  <si>
    <t>Operator: Serra Energy Metals Corp. 
Owner: Serra Energy Metals Corp. (100%)
Optioner: Serra Energy Metals Corp., Optionee: Advance Metals Limited</t>
  </si>
  <si>
    <t>Myrtleford</t>
  </si>
  <si>
    <t>3,742,000 tonnes @ 0.13 g/t Au, containing 15,500 oz Au</t>
  </si>
  <si>
    <t>39645.94</t>
  </si>
  <si>
    <t>7491219.19</t>
  </si>
  <si>
    <t>944112</t>
  </si>
  <si>
    <t>https://www.e79resources.com</t>
  </si>
  <si>
    <t>Transformational gold &amp; silver acquisitions in Vic &amp; Mexico</t>
  </si>
  <si>
    <t>https://app.mininghub.com/article/83255</t>
  </si>
  <si>
    <t>Craig Stranger, Non-Executive Chair</t>
  </si>
  <si>
    <t>Acquisition of 80% interest in Myrtleford and Beaufort Gold Projects (by Advance from Serra); Acquisition of 100% interest in Gavilanes Silver Project (by Advance from Sailfish)</t>
  </si>
  <si>
    <t>West Cobar Metals Limited</t>
  </si>
  <si>
    <t>Operator: West Cobar Metals Limited 
Owner: IGO Limited (100%)
Optioner: IGO Limited, Optionee: West Cobar Metals Limited</t>
  </si>
  <si>
    <t>Mystique</t>
  </si>
  <si>
    <t>3510.56</t>
  </si>
  <si>
    <t>2329034.994</t>
  </si>
  <si>
    <t>Strategic WA Gold Exploration Acquisition</t>
  </si>
  <si>
    <t>https://app.mininghub.com/article/90071</t>
  </si>
  <si>
    <t>Matt Szwedzicki, West Cobar Metals’ Managing Director</t>
  </si>
  <si>
    <t>Acquisition of 100% of Mt Mystique Project tenement E28/2513 (by West Cobar from IGO); Potential acquisition of 70% of Thunderstorm Project tenements (E28/2528, E28/2529, E28/2595) (by West Cobar from IGO, subject to JV pre-emption)</t>
  </si>
  <si>
    <t>Medallion Metals Limited</t>
  </si>
  <si>
    <t>Operator: Medallion Metals Limited 
Owner: Medallion Metals Limited (100%)</t>
  </si>
  <si>
    <t>Parker Dome</t>
  </si>
  <si>
    <t>1.3Moz Au</t>
  </si>
  <si>
    <t>32481.14</t>
  </si>
  <si>
    <t>95097573.4</t>
  </si>
  <si>
    <t>Forrestania Growth Strategy Commences</t>
  </si>
  <si>
    <t>https://app.mininghub.com/article/82396</t>
  </si>
  <si>
    <t>Paul Bennett, Managing Director</t>
  </si>
  <si>
    <t>of new mining tenement applications (Parker Dome Project) (by Medallion)</t>
  </si>
  <si>
    <t>Adavale Resources Limited</t>
  </si>
  <si>
    <t>ASX:AGE</t>
  </si>
  <si>
    <t>Operator: Adavale Resources Limited 
Owner: Adavale Resources Limited (72.5%)
Owner: Agricultural Equity Investments Pty Ltd (27.5%)</t>
  </si>
  <si>
    <t>Parkes</t>
  </si>
  <si>
    <t>3.70Mt @ 1.04 g/t Au for 124k oz Au</t>
  </si>
  <si>
    <t>35700.90</t>
  </si>
  <si>
    <t>4574558.444</t>
  </si>
  <si>
    <t>Completion of Placement, Parkes Acquisition and Site Visit</t>
  </si>
  <si>
    <t>Exploration update,Financing,Project Acquisition</t>
  </si>
  <si>
    <t>https://app.mininghub.com/article/85355</t>
  </si>
  <si>
    <t>Mr Allan Ritchie, Adavale Resources Executive Chairman and CEO</t>
  </si>
  <si>
    <t>Completion of acquisition of 72.5% interest in Parkes Gold-Copper Project (by Adavale)</t>
  </si>
  <si>
    <t>Strata Minerals Limited</t>
  </si>
  <si>
    <t>Operator: Strata Minerals Limited 
Owner: Strata Minerals Limited (100%)</t>
  </si>
  <si>
    <t>Penny South</t>
  </si>
  <si>
    <t>440,000t @ 22g/t Au (320,000oz Au)</t>
  </si>
  <si>
    <t>993.56</t>
  </si>
  <si>
    <t>5370935.482</t>
  </si>
  <si>
    <t>Acquisition of Penny South Gold Project, WA</t>
  </si>
  <si>
    <t>https://app.mininghub.com/article/69814</t>
  </si>
  <si>
    <t>Peter Woods, Managing Director</t>
  </si>
  <si>
    <t>Acquisition of 100% of Penny South Gold Project (E57/1045) (by NickelX from Aurum)</t>
  </si>
  <si>
    <t>Leviathan Gold Ltd.</t>
  </si>
  <si>
    <t>ASX:SVY</t>
  </si>
  <si>
    <t>Operator: Leviathan Gold Ltd. 
Owner: Leviathan Gold Ltd. (100%)</t>
  </si>
  <si>
    <t>Queen's Birthday</t>
  </si>
  <si>
    <t>1894.42</t>
  </si>
  <si>
    <t>3091438</t>
  </si>
  <si>
    <t>https://www.leviathangold.com</t>
  </si>
  <si>
    <t>Leviathan Gold granted new Exploration License over the former Queen's Birthday Mine in Victoria, Australia</t>
  </si>
  <si>
    <t>https://app.mininghub.com/article/40175</t>
  </si>
  <si>
    <t>Luke Norman, Chief Executive Officer</t>
  </si>
  <si>
    <t>SXGC:CA</t>
  </si>
  <si>
    <t>Raglan</t>
  </si>
  <si>
    <t>approx. 118,000oz Au</t>
  </si>
  <si>
    <t>19128.50</t>
  </si>
  <si>
    <t>Dart Moves on Raglan Goldfield</t>
  </si>
  <si>
    <t>https://app.mininghub.com/article/86711</t>
  </si>
  <si>
    <t>of new EPM 29171 application (Raglan Goldfield) (by Dart Mining)</t>
  </si>
  <si>
    <t>Miramar Resources Limited</t>
  </si>
  <si>
    <t>ASX:IVR</t>
  </si>
  <si>
    <t>Operator: Miramar Resources Limited 
Owner: Miramar Resources Limited (100%)</t>
  </si>
  <si>
    <t>Randalls</t>
  </si>
  <si>
    <t>32725.54</t>
  </si>
  <si>
    <t>1825387.108</t>
  </si>
  <si>
    <t>Randalls Tenement Applications Expand Land Position</t>
  </si>
  <si>
    <t>https://app.mininghub.com/article/90026</t>
  </si>
  <si>
    <t>Mr Allan Kelly, Miramar’s Executive Chairman</t>
  </si>
  <si>
    <t>of new Exploration Licence applications E25/659 and E28/3510 (Randalls Project) (by Miramar)</t>
  </si>
  <si>
    <t>Zincore Metals Corp.</t>
  </si>
  <si>
    <t>ASX:AVW</t>
  </si>
  <si>
    <t>Operator: Zincore Metals Corp. 
Owner: Great Pacific Gold Corp. (100%)
Optioner: Great Pacific Gold Corp., Optionee: Zincore Metals Corp.</t>
  </si>
  <si>
    <t>Reedy Creek</t>
  </si>
  <si>
    <t>25578.51</t>
  </si>
  <si>
    <t>Great Pacific Gold to Sell Reedy Creek for $1 million Cash on Closing, $3 million Cash on Milestones and 6 million Shares of Canadian Issuer</t>
  </si>
  <si>
    <t>https://app.mininghub.com/article/80805</t>
  </si>
  <si>
    <t>Greg McCunn, CEO</t>
  </si>
  <si>
    <t>Option to acquire 100% of Reedy Creek Garnet Project (M80/416) (by Pure Resources, option exercised)</t>
  </si>
  <si>
    <t>ASX:CUF</t>
  </si>
  <si>
    <t>Operator: Capricorn Metals Ltd 
Owner: Capricorn Metals Ltd (100%)
NSR: Latitude 66 Limited (1%)
NSR: Latitude Uranium Inc. (1.5%)</t>
  </si>
  <si>
    <t>Sylvania</t>
  </si>
  <si>
    <t>98.5 Mt @ 0.7 g/t Au, 2.25 Moz Au contained</t>
  </si>
  <si>
    <t>173848.54</t>
  </si>
  <si>
    <t>LAT: Sale of Sylvania Project to Capricorn Metals Limited</t>
  </si>
  <si>
    <t>https://app.mininghub.com/article/81254</t>
  </si>
  <si>
    <t>Sale of 100% of Sylvania Project (by Latitude 66 to Capricorn Metals)</t>
  </si>
  <si>
    <t>Rumble Resources Limited</t>
  </si>
  <si>
    <t>Operator: Rumble Resources Limited 
Owner: Rumble Resources Limited (100%)</t>
  </si>
  <si>
    <t>Thunderstorm</t>
  </si>
  <si>
    <t>34835.25</t>
  </si>
  <si>
    <t>30044226.88</t>
  </si>
  <si>
    <t>Rumble Acquires 100% of the Thunderstorm Gold Project</t>
  </si>
  <si>
    <t>https://app.mininghub.com/article/98798</t>
  </si>
  <si>
    <t>Peter Harold, Managing Director and CEO</t>
  </si>
  <si>
    <t>Acquisition of outstanding 70% in three exploration tenements (Thunderstorm Gold Project) to move to 100% (by Rumble from IGO)</t>
  </si>
  <si>
    <t>EMX:US</t>
  </si>
  <si>
    <t>Operator: Novo Resources Corp. 
Owner: Manhattan Corporation Limited (100%)
Optioner: Manhattan Corporation Limited, Optionee: Novo Resources Corp.</t>
  </si>
  <si>
    <t>Tibooburra</t>
  </si>
  <si>
    <t>1.5 Mt @ 6.6 g/t Au (320 koz Au)</t>
  </si>
  <si>
    <t>63090.71</t>
  </si>
  <si>
    <t>4228180.164</t>
  </si>
  <si>
    <t>NVO: Strengthens Portfolio w/ Two High-Grade Gold Projects</t>
  </si>
  <si>
    <t>https://app.mininghub.com/article/81915</t>
  </si>
  <si>
    <t>Option for Novo to acquire 80% in Micks Bull tenement (EL9121) and 70% in John Bull tenement (EL8389) (from TechGen); Option for Novo to acquire 70% in Tibooburra Project (from Manhattan)</t>
  </si>
  <si>
    <t>Toolunga</t>
  </si>
  <si>
    <t>2.1 Mt @ 8.4 g/t Au containing 570 koz Au</t>
  </si>
  <si>
    <t>152314.97</t>
  </si>
  <si>
    <t>Novo Secures Strategic Land Position in the Onslow District Western Australia</t>
  </si>
  <si>
    <t>https://app.mininghub.com/article/81510</t>
  </si>
  <si>
    <t>Option for Novo to acquire 70% interest in Cane River Project (from OD4 Rocklea); Novo acquires 100% of six new pegged EL applications (Toolunga Project)</t>
  </si>
  <si>
    <t>Albion Resources Limited</t>
  </si>
  <si>
    <t>ASX:GTE</t>
  </si>
  <si>
    <t>Operator: Albion Resources Limited 
Owner: Great Western Exploration Limited. (100%)
Optioner: Great Western Exploration Limited., Optionee: Albion Resources Limited</t>
  </si>
  <si>
    <t>Yandal West</t>
  </si>
  <si>
    <t>minimum 250,000 oz Au @ at least 0.75 g/t (0.5 g/t cut-off)</t>
  </si>
  <si>
    <t>6114.06</t>
  </si>
  <si>
    <t>6596666.65</t>
  </si>
  <si>
    <t>Acquisition of High-Grade Yandal West Gold Project</t>
  </si>
  <si>
    <t>https://app.mininghub.com/article/80252</t>
  </si>
  <si>
    <t>Steven Formica, Albion’s Non-Executive Chairman</t>
  </si>
  <si>
    <t>Acquisition of Yandal West Gold Project (80% in E53/1612 &amp; E53/1816, 100% in E53/1369) (by Albion Resources from Great Western Exploration)</t>
  </si>
  <si>
    <t>Cullen Resources Limited</t>
  </si>
  <si>
    <t>Operator: Cullen Resources Limited 
Owner: Unknown (100%)
Optioner: Unknown, Optionee: Cullen Resources Limited</t>
  </si>
  <si>
    <t>Yardilla</t>
  </si>
  <si>
    <t>14856.23</t>
  </si>
  <si>
    <t>2773607.396</t>
  </si>
  <si>
    <t>Yardilla New Gold Project</t>
  </si>
  <si>
    <t>https://app.mininghub.com/article/80231</t>
  </si>
  <si>
    <t>Dr. Chris Ringrose, Managing Director</t>
  </si>
  <si>
    <t>Cullen to acquire up to 90% interest in ELA E63/2463 (Yardilla Project) - Option Exercised for IP and Mining Info</t>
  </si>
  <si>
    <t>ASX:CTN</t>
  </si>
  <si>
    <t>Yerilgee</t>
  </si>
  <si>
    <t>1950koz @ 2.5g/t Au</t>
  </si>
  <si>
    <t>35801.42</t>
  </si>
  <si>
    <t>Acquisition of Yerilgee and Evanston</t>
  </si>
  <si>
    <t>https://app.mininghub.com/article/81534</t>
  </si>
  <si>
    <t>Acquisition of 100% of Yerilgee and Evanston greenstone belts projects (by Catalina from Dreadnought)</t>
  </si>
  <si>
    <t>Black Cat Syndicate Limited</t>
  </si>
  <si>
    <t>Owner: Black Cat Syndicate Limited (100%)</t>
  </si>
  <si>
    <t>Coyote</t>
  </si>
  <si>
    <t>Mining</t>
  </si>
  <si>
    <t>89486.63</t>
  </si>
  <si>
    <t>568817655.45</t>
  </si>
  <si>
    <t>Accelerated Payment of Deferred Consideration</t>
  </si>
  <si>
    <t>https://app.mininghub.com/article/92271</t>
  </si>
  <si>
    <t>Gareth Solly, Black Cat’s Managing Director</t>
  </si>
  <si>
    <t>100% (This refers to a past acquisition of Coyote and Paulsens for which deferred consideration is being paid, not a new % acquisition)</t>
  </si>
  <si>
    <t>Catalyst Metals Limited</t>
  </si>
  <si>
    <t>ASX: KAU</t>
  </si>
  <si>
    <t>Operator: Catalyst Metals Limited 
Owner: Catalyst Metals Limited (100%)
Optioner: Catalyst Metals Limited, Optionee: Kaiser Reef Limited</t>
  </si>
  <si>
    <t>Henty</t>
  </si>
  <si>
    <t>10.6 Mt @ 3.0 g/t Au containing 1.0 Moz</t>
  </si>
  <si>
    <t>7992.44</t>
  </si>
  <si>
    <t>48864480</t>
  </si>
  <si>
    <t>1224928368.48</t>
  </si>
  <si>
    <t>Transformational Acquisition of the Henty Gold Mine</t>
  </si>
  <si>
    <t>https://app.mininghub.com/article/92180</t>
  </si>
  <si>
    <t>James Champion de Crespigny, Catalyst’s Managing Director &amp; CEO</t>
  </si>
  <si>
    <t>Sale of 100% of Henty Gold Mine to Kaiser Reef (by Catalyst)</t>
  </si>
  <si>
    <t>Owner: Beacon Minerals Limited (100%)</t>
  </si>
  <si>
    <t>Jaurdi</t>
  </si>
  <si>
    <t>11099.35</t>
  </si>
  <si>
    <t>Beacon to Acquire Mt Dimer Tenements</t>
  </si>
  <si>
    <t>Mergers &amp; Acquisitions,Project Acquisition</t>
  </si>
  <si>
    <t>https://app.mininghub.com/article/62273</t>
  </si>
  <si>
    <t>Acquisition of 100% of Mt Dimer tenements (by Beacon from Aurumin)</t>
  </si>
  <si>
    <t>ASX:AUH</t>
  </si>
  <si>
    <t>Operator: Black Cat Syndicate Limited 
Owner: Black Cat Syndicate Limited (100%)</t>
  </si>
  <si>
    <t>Lakewood Mill</t>
  </si>
  <si>
    <t>26,789 kt @ 2.9 g/t Au, 2,488 koz Au</t>
  </si>
  <si>
    <t>WGX: Black Cat Acquires Lakewood Mill for $85M</t>
  </si>
  <si>
    <t>https://app.mininghub.com/article/89059</t>
  </si>
  <si>
    <t>Acquisition of 100% of Lakewood processing facility (by Black Cat from Westgold)</t>
  </si>
  <si>
    <t>Leeuwin Metals Ltd</t>
  </si>
  <si>
    <t>TSXV:BZ</t>
  </si>
  <si>
    <t>Operator: Leeuwin Metals Ltd 
Owner: Leeuwin Metals Ltd (100%)
Optioner: Ramelius Resources Limited, Optionee: Leeuwin Metals Ltd</t>
  </si>
  <si>
    <t>Marda</t>
  </si>
  <si>
    <t>2.3 Mt @ 1.9 g/t Au (143 koz)</t>
  </si>
  <si>
    <t>59820.55</t>
  </si>
  <si>
    <t>8851470.18</t>
  </si>
  <si>
    <t>LM1 TO ACQUIRE MARDA GOLD PROJECT FROM RAMELIUS RESOURCES</t>
  </si>
  <si>
    <t>https://app.mininghub.com/article/82563</t>
  </si>
  <si>
    <t>Christopher Piggott, Executive Chairman</t>
  </si>
  <si>
    <t>Completion of 100% acquisition of Marda Gold Project (by Leeuwin from Ramelius)</t>
  </si>
  <si>
    <t>Asra Minerals Limited</t>
  </si>
  <si>
    <t>ASX:DEV</t>
  </si>
  <si>
    <t>Owner: Asra Minerals Limited (100%)</t>
  </si>
  <si>
    <t>Mt Stirling</t>
  </si>
  <si>
    <t>Au, REE</t>
  </si>
  <si>
    <t>3,437,000 Tonnes @ 1.82 g/t Au (200,064 Ounces)</t>
  </si>
  <si>
    <t>16141.55</t>
  </si>
  <si>
    <t>4746253.658</t>
  </si>
  <si>
    <t>Completion of $3M Tarmoola Pastoral Lease Sale</t>
  </si>
  <si>
    <t>Financing,Project Acquisition</t>
  </si>
  <si>
    <t>https://app.mininghub.com/article/84220</t>
  </si>
  <si>
    <t>Paul Stephen, Asra Minerals Chief Executive Officer</t>
  </si>
  <si>
    <t>Sale of 100% of Tarmoola Pastoral Lease (by Asra Minerals to Vault Minerals)</t>
  </si>
  <si>
    <t>ASX:GRV</t>
  </si>
  <si>
    <t>Silver Spoon</t>
  </si>
  <si>
    <t>Au,Ag</t>
  </si>
  <si>
    <t>5552.05</t>
  </si>
  <si>
    <t>OUTBACK GRANTED SILVER SPOON EXPLORATION LICENCE NEAR FOSTERVILLE GOLD MINE</t>
  </si>
  <si>
    <t>https://app.mininghub.com/article/35865</t>
  </si>
  <si>
    <t>Great Divide Mining Ltd</t>
  </si>
  <si>
    <t>ASX:GDM</t>
  </si>
  <si>
    <t>Operator: Great Divide Mining Ltd 
Owner: Great Divide Mining Ltd (100%)</t>
  </si>
  <si>
    <t>Devils Mountain</t>
  </si>
  <si>
    <t>Au,Cu</t>
  </si>
  <si>
    <t>4.0 Moz Au</t>
  </si>
  <si>
    <t>28326.44</t>
  </si>
  <si>
    <t>13880110.86</t>
  </si>
  <si>
    <t>GDM completes Devils Mountain tenement acquisition</t>
  </si>
  <si>
    <t>https://app.mininghub.com/article/73814</t>
  </si>
  <si>
    <t>Justin Haines, Chief Executive Offer</t>
  </si>
  <si>
    <t>Acquisition of 100% of EPM 26062 and EPM 26135 (by GDM)</t>
  </si>
  <si>
    <t>Koonenberry Gold Limited</t>
  </si>
  <si>
    <t>BZ:CA</t>
  </si>
  <si>
    <t>Operator: Koonenberry Gold Limited 
Owner: Global Uranium And Enrichment Ltd (100%)
Optioner: Global Uranium And Enrichment Ltd, Optionee: Koonenberry Gold Limited</t>
  </si>
  <si>
    <t>Enmore</t>
  </si>
  <si>
    <t>26.6k oz Au @ 8.7g/t Au</t>
  </si>
  <si>
    <t>30165.00</t>
  </si>
  <si>
    <t>42342936.48</t>
  </si>
  <si>
    <t>KNB expands Enmore Project, securing gold-antimony targets</t>
  </si>
  <si>
    <t>https://app.mininghub.com/article/89057</t>
  </si>
  <si>
    <t>Dan Power, Managing Director</t>
  </si>
  <si>
    <t>Acquisition of 100% of Enmore Gold Project EL and 100% of Gilmore Metals Pty Ltd (by KNB)</t>
  </si>
  <si>
    <t>MetalsGrove Mining Ltd</t>
  </si>
  <si>
    <t>ASX:LDR</t>
  </si>
  <si>
    <t>Operator: MetalsGrove Mining Ltd 
Owner: MetalsGrove Mining Ltd (100%)</t>
  </si>
  <si>
    <t>Leake</t>
  </si>
  <si>
    <t>6663.59</t>
  </si>
  <si>
    <t>5271000</t>
  </si>
  <si>
    <t>New Tenement Grant - Leake Prospect</t>
  </si>
  <si>
    <t>https://app.mininghub.com/article/70618</t>
  </si>
  <si>
    <t>Mr Lijun Yang, Managing Director and CEO</t>
  </si>
  <si>
    <t>of exploration tenement E77/3152 (Leake Prospect) (to MetalsGrove)</t>
  </si>
  <si>
    <t>CSE:SEEM</t>
  </si>
  <si>
    <t>Operator: GBM Resources Limited 
Owner: GBM Resources Limited (100%)
Optioner: GBM Resources Limited, Optionee: Lithium Energy Limited</t>
  </si>
  <si>
    <t>Mt Morgan (Capricorn)</t>
  </si>
  <si>
    <t>45,655,000 t @ 1.26 g/t Au containing 1,844,200 oz Au</t>
  </si>
  <si>
    <t>97294.70</t>
  </si>
  <si>
    <t>Mt Morgan Au-Cu Project Sale - Definitive Agreement Executed</t>
  </si>
  <si>
    <t>https://app.mininghub.com/article/90938</t>
  </si>
  <si>
    <t>Sale of 100% of Mt Morgan Gold Copper Project Tenements (by GBM to Lithium Energy)</t>
  </si>
  <si>
    <t>Newmont Corporation</t>
  </si>
  <si>
    <t>ASX:ALB</t>
  </si>
  <si>
    <t>Operator: Newmont Corporation 
Owner: Newmont Corporation (100%)
Optioner: Newmont Corporation, Optionee: Greatland Gold PLC</t>
  </si>
  <si>
    <t>Telfer</t>
  </si>
  <si>
    <t>93140.18</t>
  </si>
  <si>
    <t>70992247725</t>
  </si>
  <si>
    <t>https://www.newmont.com</t>
  </si>
  <si>
    <t>Newmont Announces Agreement to Divest Telfer and Havieron for Up to $475M</t>
  </si>
  <si>
    <t>https://app.mininghub.com/article/70938</t>
  </si>
  <si>
    <t>Logan Hennessey, Group Head, Company Secretary</t>
  </si>
  <si>
    <t>Divestment of Telfer and Havieron (by Newmont - this is a news release about a prior announcement)</t>
  </si>
  <si>
    <t>Helix Resources Limited</t>
  </si>
  <si>
    <t>ASX:HLX</t>
  </si>
  <si>
    <t>Operator: Helix Resources Limited 
Owner: Legacy Minerals Holdings Limited (100%)
Optioner: Legacy Minerals Holdings Limited, Optionee: Helix Resources Limited</t>
  </si>
  <si>
    <t>Central Cobar</t>
  </si>
  <si>
    <t>Au,Cu,Pb,Zn</t>
  </si>
  <si>
    <t>16.74 Mt (356 koz Au)</t>
  </si>
  <si>
    <t>30365.68</t>
  </si>
  <si>
    <t>26856365.09</t>
  </si>
  <si>
    <t>6728387.366</t>
  </si>
  <si>
    <t>LGM: Helix to Farm-in to Legacys Central Cobar Project</t>
  </si>
  <si>
    <t>https://app.mininghub.com/article/68624</t>
  </si>
  <si>
    <t>Kylie Prendergast, Helix’s Managing Director</t>
  </si>
  <si>
    <t>Up to 80% (HLX to earn from LGM, initial 51% at Central Cobar)</t>
  </si>
  <si>
    <t>Aurumin Limited</t>
  </si>
  <si>
    <t>ASX:AUN</t>
  </si>
  <si>
    <t>Operator: Aurumin Limited 
Owner: Aurumin Limited (100%)
Optioner: Aurumin Limited, Optionee: Brightstar Resources Limited</t>
  </si>
  <si>
    <t>Central Sandstone</t>
  </si>
  <si>
    <t>Au,Fe</t>
  </si>
  <si>
    <t>19,254 kt @ 1.5 g/t Au, 946,000 oz Au</t>
  </si>
  <si>
    <t>76450.01</t>
  </si>
  <si>
    <t>27678568.064</t>
  </si>
  <si>
    <t>Joint Venture, worth up to $7M, on Sandstone Iron Ore</t>
  </si>
  <si>
    <t>https://app.mininghub.com/article/74289</t>
  </si>
  <si>
    <t>Brad Valiukas, Aurumin's Managing Director</t>
  </si>
  <si>
    <t>(Newcam to earn in Iron Ore rights at Central Sandstone Project)</t>
  </si>
  <si>
    <t>Itech Minerals Ltd</t>
  </si>
  <si>
    <t>MYR:CNX</t>
  </si>
  <si>
    <t>Operator: Itech Minerals Ltd 
Owner: Itech Minerals Ltd (100%)
Optioner: Itech Minerals Ltd, Optionee: Sociedad Quimica y Minera
NSR: Prodigy Gold NL (1%)</t>
  </si>
  <si>
    <t>Reynolds Range</t>
  </si>
  <si>
    <t>Au,Li</t>
  </si>
  <si>
    <t>182.0 g/t Au</t>
  </si>
  <si>
    <t>Northern Territory</t>
  </si>
  <si>
    <t>37450.80</t>
  </si>
  <si>
    <t>3175055.551</t>
  </si>
  <si>
    <t>6491744.744</t>
  </si>
  <si>
    <t>Completion of iTech Acquisition of Reynolds Range Project</t>
  </si>
  <si>
    <t>Project Acquisition,Royalties and Streams</t>
  </si>
  <si>
    <t>https://app.mininghub.com/article/67705</t>
  </si>
  <si>
    <t>Mike Schwarz, Managing Director</t>
  </si>
  <si>
    <t>Application for 100% of new tenement EL 33881 (Reynolds Range) (by iTech Minerals)</t>
  </si>
  <si>
    <t>Metal Hawk Limited.</t>
  </si>
  <si>
    <t>ASX:BCN</t>
  </si>
  <si>
    <t>Operator: Metal Hawk Limited. 
Owner: Metal Hawk Limited. (100%)
Optioner: Metal Hawk Limited., Optionee: Accelerate Resources Limited</t>
  </si>
  <si>
    <t>Kanowna East</t>
  </si>
  <si>
    <t>Au,Ni</t>
  </si>
  <si>
    <t>10262.76</t>
  </si>
  <si>
    <t>3935943.56</t>
  </si>
  <si>
    <t>46110173.94</t>
  </si>
  <si>
    <t>Addendum - New Gold Strategy with Acquisition</t>
  </si>
  <si>
    <t>https://app.mininghub.com/article/85191</t>
  </si>
  <si>
    <t>Luke Meter, Chief Executive Officer</t>
  </si>
  <si>
    <t>Acquisition of 70% interest in Kanowna East Gold Project (by Accelerate from Metal Hawk)</t>
  </si>
  <si>
    <t>Great Western Gold Pty Ltd.</t>
  </si>
  <si>
    <t>ASX:GBR</t>
  </si>
  <si>
    <t>Operator: Great Western Gold Pty Ltd. 
Owner: Great Boulder Resources Ltd (100%)
Optioner: Great Boulder Resources Ltd, Optionee: Great Western Gold Pty Ltd.</t>
  </si>
  <si>
    <t>Whiteheads</t>
  </si>
  <si>
    <t>7.45Mt @ 2.8g/t Au containing 668,000oz Au</t>
  </si>
  <si>
    <t>24546.69</t>
  </si>
  <si>
    <t>Divestment of Non-Core Whiteheads Gold Project</t>
  </si>
  <si>
    <t>https://app.mininghub.com/article/79472</t>
  </si>
  <si>
    <t>Sale of 100% of Whiteheads Gold Project (by Great Boulder to Great Western Gold)</t>
  </si>
  <si>
    <t>ASX:GIB</t>
  </si>
  <si>
    <t>Dundas</t>
  </si>
  <si>
    <t>Au,Ni,Cu</t>
  </si>
  <si>
    <t>11831.48</t>
  </si>
  <si>
    <t>Trading Halt</t>
  </si>
  <si>
    <t>https://app.mininghub.com/article/61411</t>
  </si>
  <si>
    <t>Project acquisition pending announcement</t>
  </si>
  <si>
    <t>Sarama Resources Ltd.</t>
  </si>
  <si>
    <t>TSXV:SWA</t>
  </si>
  <si>
    <t>Operator: Sarama Resources Ltd. 
Owner: Cosmo Gold Limited (80%)
Owner: Cosmo Gold Limited (20%)
Optioner: Cosmo Gold Limited, Optionee: Sarama Resources Ltd.</t>
  </si>
  <si>
    <t>Cosmo Newbery</t>
  </si>
  <si>
    <t>Au,Ni,Cu,Co</t>
  </si>
  <si>
    <t>188,000oz</t>
  </si>
  <si>
    <t>58377.51</t>
  </si>
  <si>
    <t>10438134</t>
  </si>
  <si>
    <t>https://www.saramaresources.com</t>
  </si>
  <si>
    <t>ADG: Completion of Cosmo Gold Transaction</t>
  </si>
  <si>
    <t>https://app.mininghub.com/article/81125</t>
  </si>
  <si>
    <t>Andrew Dinning, Sarama’s President, Executive Chairman</t>
  </si>
  <si>
    <t>80% (Sarama acquiring initial 80% of Cosmo Gold's interest in the Cosmo Gold Project, with option for remaining 20%)</t>
  </si>
  <si>
    <t>Maximus Resources Limited</t>
  </si>
  <si>
    <t>SWA:CA</t>
  </si>
  <si>
    <t>Operator: Maximus Resources Limited 
Owner: WIN Metals Ltd. (100%)
Optioner: WIN Metals Ltd., Optionee: Maximus Resources Limited</t>
  </si>
  <si>
    <t>Mt Edwards</t>
  </si>
  <si>
    <t>Au,Ni,Cu,Co,PG3 (Pd, Pl, Pt)</t>
  </si>
  <si>
    <t>127,000t @ 1.69% Ni (2,140t contained nickel metal)</t>
  </si>
  <si>
    <t>16323.28</t>
  </si>
  <si>
    <t>33424752.207</t>
  </si>
  <si>
    <t>Munda Agreement with Auric Mining Ltd concluded</t>
  </si>
  <si>
    <t>https://app.mininghub.com/article/69359</t>
  </si>
  <si>
    <t>Steve Norregaard, Managing Director and CEO</t>
  </si>
  <si>
    <t>Sale of specific mineral rights (Nickel, Lithium to 150m depth on part of M15/87) and transfer of non-core tenure (by WIN Metals to Auric Mining)</t>
  </si>
  <si>
    <t>Cobra Resources PLC</t>
  </si>
  <si>
    <t>ASX:ADN</t>
  </si>
  <si>
    <t>Operator: Cobra Resources PLC 
Owner: Cobra Resources PLC (100%)
NSR: Elemental Altus Royalties Corp. (0.75%)</t>
  </si>
  <si>
    <t>Wudinna</t>
  </si>
  <si>
    <t>Au,REE</t>
  </si>
  <si>
    <t>24001093.823</t>
  </si>
  <si>
    <t>Sale of shares in Cobra Resources</t>
  </si>
  <si>
    <t>Company Update,Project Acquisition</t>
  </si>
  <si>
    <t>https://app.mininghub.com/article/88858</t>
  </si>
  <si>
    <t>Sale of 100% of Wudinna Gold Project (by Andromeda for its remaining 25% interest, to Cobra Resources)</t>
  </si>
  <si>
    <t>Operator: Dart Mining NL 
Owner: Great Divide Mining Ltd (100%)
Optioner: Great Divide Mining Ltd, Optionee: Dart Mining NL</t>
  </si>
  <si>
    <t>Coonambula</t>
  </si>
  <si>
    <t>Au,Sb</t>
  </si>
  <si>
    <t>20kt @ 20g/t Au</t>
  </si>
  <si>
    <t>49822.98</t>
  </si>
  <si>
    <t>Agreement Over Advanced Antimony Gold Project - Amendment</t>
  </si>
  <si>
    <t>https://app.mininghub.com/article/90845</t>
  </si>
  <si>
    <t>(DTM - Dart Mining to earn-in up to, at Coonambula Antimony-Gold Project)</t>
  </si>
  <si>
    <t>Owner: Syndicate Minerals Pty (100%)
Optioner: Syndicate Minerals Pty, Optionee: Bubalus Resources Limited</t>
  </si>
  <si>
    <t>Crosbie</t>
  </si>
  <si>
    <t>21.6Mt @ 4.3 g/t Au</t>
  </si>
  <si>
    <t>2146.10</t>
  </si>
  <si>
    <t>Investor Presentation - Victorian Gold Project Acquisition</t>
  </si>
  <si>
    <t>https://app.mininghub.com/article/81691</t>
  </si>
  <si>
    <t>(Option to acquire)</t>
  </si>
  <si>
    <t>Inca Minerals Limited</t>
  </si>
  <si>
    <t>ASX: ICG</t>
  </si>
  <si>
    <t>Operator: Inca Minerals Limited 
Owner: Inca Minerals Limited (100%)</t>
  </si>
  <si>
    <t>Hurricane</t>
  </si>
  <si>
    <t>311 Mt @ 0.31 g/t Au</t>
  </si>
  <si>
    <t>4917.31</t>
  </si>
  <si>
    <t>5133612.665</t>
  </si>
  <si>
    <t>Amendment to Announcement made on 5 February 2025</t>
  </si>
  <si>
    <t>https://app.mininghub.com/article/86973</t>
  </si>
  <si>
    <t>Trevor Benson, CEO</t>
  </si>
  <si>
    <t>Acquisition of 100% of Stunalara Metals Limited (by Inca Minerals)</t>
  </si>
  <si>
    <t>Alchemy Resources Limited</t>
  </si>
  <si>
    <t>ASX:HMX</t>
  </si>
  <si>
    <t>Operator: Alchemy Resources Limited 
Owner: Alchemy Resources Limited (100%)
Optioner: Alchemy Resources Limited, Optionee: Japan Organization for Metals and Energy Security</t>
  </si>
  <si>
    <t>Karonie</t>
  </si>
  <si>
    <t>Au,Sn,Nb,Ta,Li,Ga,Rb,Cs</t>
  </si>
  <si>
    <t>51.6Mt @ 1.0% Li2O</t>
  </si>
  <si>
    <t>156126.19</t>
  </si>
  <si>
    <t>7068457.536</t>
  </si>
  <si>
    <t>Execution of Li Partnership with Japanese Government JOGMEC</t>
  </si>
  <si>
    <t>https://app.mininghub.com/article/73021</t>
  </si>
  <si>
    <t>Mr James Wilson, Chief Executive Officer</t>
  </si>
  <si>
    <t>Farm-in to earn 51% of Roe Hills tenure (by JOGMEC from Alchemy)</t>
  </si>
  <si>
    <t>Western Yilgarn NL</t>
  </si>
  <si>
    <t>Operator: Western Yilgarn NL 
Owner: Western Yilgarn NL (100%)</t>
  </si>
  <si>
    <t>Norcia</t>
  </si>
  <si>
    <t>Bauxite (Al2O3),Ga</t>
  </si>
  <si>
    <t>168,337,931 t @ 36.1% Total Al2O3</t>
  </si>
  <si>
    <t>7656.96</t>
  </si>
  <si>
    <t>4596369.955</t>
  </si>
  <si>
    <t>WYX Secures Prospective Gallium-Bauxite Project in WA</t>
  </si>
  <si>
    <t>https://app.mininghub.com/article/92417</t>
  </si>
  <si>
    <t>Mr Kastellorizos, Western Yilgarn Director</t>
  </si>
  <si>
    <t>Application for 100% of E70/6705 (Norcia Gallium-Bauxite Project) (by Western Yilgarn)</t>
  </si>
  <si>
    <t>Clara Resources Australia Ltd</t>
  </si>
  <si>
    <t>ASX:C7A</t>
  </si>
  <si>
    <t>Operator: Clara Resources Australia Ltd 
Owner: Clara Resources Australia Ltd (100%)</t>
  </si>
  <si>
    <t>Ashford</t>
  </si>
  <si>
    <t>Coal</t>
  </si>
  <si>
    <t>1378.07</t>
  </si>
  <si>
    <t>2046417.108</t>
  </si>
  <si>
    <t>Option to acquire strategic land for Ashford Project</t>
  </si>
  <si>
    <t>https://app.mininghub.com/article/70221</t>
  </si>
  <si>
    <t>Peter Westerhuis, Chief Executive Officer</t>
  </si>
  <si>
    <t>(Option to purchase land)</t>
  </si>
  <si>
    <t>Stanmore Resources Limited</t>
  </si>
  <si>
    <t>ASX:JAV</t>
  </si>
  <si>
    <t>Operator: Stanmore Resources Limited 
Owner: Stanmore Resources Limited (100%)</t>
  </si>
  <si>
    <t>Eagle Downs</t>
  </si>
  <si>
    <t>1550393610.48</t>
  </si>
  <si>
    <t>Completion of Eagle Downs transactions</t>
  </si>
  <si>
    <t>https://app.mininghub.com/article/68138</t>
  </si>
  <si>
    <t>Marcelo Matos, CEO</t>
  </si>
  <si>
    <t>Acquisition of 100% of Eagle Downs Project (by Stanmore)</t>
  </si>
  <si>
    <t>Infinity Mining Limited</t>
  </si>
  <si>
    <t>ASX:IMI</t>
  </si>
  <si>
    <t>Operator: Infinity Mining Limited 
Owner: Infinity Mining Limited (100%)</t>
  </si>
  <si>
    <t>Cangai</t>
  </si>
  <si>
    <t>Cu</t>
  </si>
  <si>
    <t>63Mt @ 0.07% Cu, 44,260t contained copper metal</t>
  </si>
  <si>
    <t>5076189.324</t>
  </si>
  <si>
    <t>CCZ: Divestment of Cangai Copper Mine</t>
  </si>
  <si>
    <t>https://app.mininghub.com/article/80471</t>
  </si>
  <si>
    <t>Joe Phillips, Executive Chairman</t>
  </si>
  <si>
    <t>(IMI acquiring Cangai Copper Mine tenements from CCZ)</t>
  </si>
  <si>
    <t>Operator: Golden Horse Minerals Limited 
Owner: Golden Horse Minerals Limited (100%)
NSR: Unknown (1.5%)</t>
  </si>
  <si>
    <t>Copperhead</t>
  </si>
  <si>
    <t>0.50</t>
  </si>
  <si>
    <t>Golden Horse Finalises Acquisition of Copperhead Tenement</t>
  </si>
  <si>
    <t>https://app.mininghub.com/article/73460</t>
  </si>
  <si>
    <t>Aruma Resources Limited</t>
  </si>
  <si>
    <t>ASX:ORD</t>
  </si>
  <si>
    <t>Operator: Aruma Resources Limited 
Owner: Aruma Resources Limited (100%)</t>
  </si>
  <si>
    <t>Fiery Creek</t>
  </si>
  <si>
    <t>32380.42</t>
  </si>
  <si>
    <t>2442639.892</t>
  </si>
  <si>
    <t>Aruma Completes Copper &amp; Uranium Projects Acquisition</t>
  </si>
  <si>
    <t>https://app.mininghub.com/article/67691</t>
  </si>
  <si>
    <t>Glenn Grayson, Aruma Resources managing director</t>
  </si>
  <si>
    <t>Completion of acquisition of 100% of Wilan, Fiery Creek, and Bortala Projects (by Aruma)</t>
  </si>
  <si>
    <t>OD6 Metals Limited</t>
  </si>
  <si>
    <t>TSX:EFR</t>
  </si>
  <si>
    <t>Operator: OD6 Metals Limited 
Owner: OD6 Metals Limited (100%)</t>
  </si>
  <si>
    <t>Gulf Creek</t>
  </si>
  <si>
    <t>2 to 3Mt of ore</t>
  </si>
  <si>
    <t>2372.21</t>
  </si>
  <si>
    <t>4936617.568</t>
  </si>
  <si>
    <t>Completion of Acquisition of Gulf Creek Copper Project</t>
  </si>
  <si>
    <t>https://app.mininghub.com/article/84054</t>
  </si>
  <si>
    <t>Mr Brett Hazelden, Managing Director</t>
  </si>
  <si>
    <t>Completion of 100% acquisition of Gulf Creek Copper Project (by OD6)</t>
  </si>
  <si>
    <t>QMines Limited</t>
  </si>
  <si>
    <t>ASX:TGN</t>
  </si>
  <si>
    <t>Operator: QMines Limited 
Owner: QMines Limited (100%)</t>
  </si>
  <si>
    <t>Mt Chalmers</t>
  </si>
  <si>
    <t>15.1Mt @ 1.3% CuEq for 195,800t CuEq</t>
  </si>
  <si>
    <t>42792.24</t>
  </si>
  <si>
    <t>16727212.554</t>
  </si>
  <si>
    <t>Strategic Tenement Acquisition</t>
  </si>
  <si>
    <t>https://app.mininghub.com/article/71424</t>
  </si>
  <si>
    <t>Andrew Sparke, QMines Executive Chairman</t>
  </si>
  <si>
    <t>Acquisition of 100% of EPM 29043 (Striker prospect) (by QMines' subsidiary)</t>
  </si>
  <si>
    <t>Nanadie Well</t>
  </si>
  <si>
    <t>40,400,000 Tonnes @ 0.4% Cu (162,000 t contained Cu)</t>
  </si>
  <si>
    <t>13118.51</t>
  </si>
  <si>
    <t>Solstice Secures Strategic Copper Exposure</t>
  </si>
  <si>
    <t>https://app.mininghub.com/article/86843</t>
  </si>
  <si>
    <t>Completion of 100% acquisition of Nanadie Copper-Gold Project (by Solstice from Cyprium)</t>
  </si>
  <si>
    <t>Discover Co</t>
  </si>
  <si>
    <t>Operator: Discover Co 
Owner: Discover Co (100%)
NSR: Investigator Resources Ltd (1%)</t>
  </si>
  <si>
    <t>Stuart Shelf</t>
  </si>
  <si>
    <t>428384.48</t>
  </si>
  <si>
    <t>30188711.906</t>
  </si>
  <si>
    <t>Sale of Stuart Shelf JV and Tenements</t>
  </si>
  <si>
    <t>https://app.mininghub.com/article/71398</t>
  </si>
  <si>
    <t>Andrew McIlwain, Managing Director</t>
  </si>
  <si>
    <t>Sale of 49% JV interest in Stuart Shelf (ELs 6402, 6640, 6641, 6642, 6643) and 100% of Lake McFarlane tenements (ELs 6754, 6853, 6858, 6909, 6981) (by Investigator to Discover Co)</t>
  </si>
  <si>
    <t>Techgen Metals Ltd</t>
  </si>
  <si>
    <t>ASX:TG1</t>
  </si>
  <si>
    <t>Operator: Techgen Metals Ltd 
Owner: Unknown (100%)
Optioner: Unknown, Optionee: Techgen Metals Ltd</t>
  </si>
  <si>
    <t>Blue Bore</t>
  </si>
  <si>
    <t>394191.15</t>
  </si>
  <si>
    <t>Option Agreement NT Copper Project</t>
  </si>
  <si>
    <t>https://app.mininghub.com/article/81399</t>
  </si>
  <si>
    <t>Mr Ashley Hood, Managing Director</t>
  </si>
  <si>
    <t>Cyprium Metals Limited</t>
  </si>
  <si>
    <t>ASX:CYM</t>
  </si>
  <si>
    <t xml:space="preserve">Operator: Cyprium Metals Limited 
Owner: Cyprium Metals Limited (100%)
Optioner: Cyprium Metals Limited, Optionee: Q Resources Pty Limited </t>
  </si>
  <si>
    <t>Cue</t>
  </si>
  <si>
    <t>11989.21</t>
  </si>
  <si>
    <t>30955899.405</t>
  </si>
  <si>
    <t>Divestment of Non-Core Cue Project</t>
  </si>
  <si>
    <t>https://app.mininghub.com/article/92004</t>
  </si>
  <si>
    <t>Matt Fifield, Cyprium Executive Chair</t>
  </si>
  <si>
    <t>(QR acquiring Cue Project from Cyprium)</t>
  </si>
  <si>
    <t>ASX:QML</t>
  </si>
  <si>
    <t>Develin Creek</t>
  </si>
  <si>
    <t>26758.64</t>
  </si>
  <si>
    <t>Completion of Strategic Develin Creek Acquisition</t>
  </si>
  <si>
    <t>https://app.mininghub.com/article/73059</t>
  </si>
  <si>
    <t>Completion of 100% acquisition of Develin Creek project (by QMines)</t>
  </si>
  <si>
    <t>Lord Resources Limited</t>
  </si>
  <si>
    <t>ASX:LRD</t>
  </si>
  <si>
    <t>Operator: Lord Resources Limited 
Owner: Lord Resources Limited (100%)</t>
  </si>
  <si>
    <t>Ilgarari</t>
  </si>
  <si>
    <t>1.1Mt @ 1.9% Cu containing 20,941 tonnes of copper</t>
  </si>
  <si>
    <t>3746.17</t>
  </si>
  <si>
    <t>1625946.273</t>
  </si>
  <si>
    <t>Acquisition of High-Grade Ilgarari Copper Project in WA</t>
  </si>
  <si>
    <t>https://app.mininghub.com/article/77864</t>
  </si>
  <si>
    <t>Andrew Taylor, CEO</t>
  </si>
  <si>
    <t>Earn-in up to 80% interest in Sulphide Rights of E52/2274 (by Lord Resources from Blackrock)</t>
  </si>
  <si>
    <t>Iltani Resources Limited.</t>
  </si>
  <si>
    <t>ASX:AUG</t>
  </si>
  <si>
    <t>Operator: Iltani Resources Limited. 
Owner: Iltani Resources Limited. (100%)</t>
  </si>
  <si>
    <t>Mt Lyell</t>
  </si>
  <si>
    <t>71.3Mt @ 1.03% Cu</t>
  </si>
  <si>
    <t>1979.83</t>
  </si>
  <si>
    <t>9760882.12</t>
  </si>
  <si>
    <t>ILT granted copper exploration licence adjacent to Mt Lyell</t>
  </si>
  <si>
    <t>https://app.mininghub.com/article/71284</t>
  </si>
  <si>
    <t>Donald Garner, Managing Director</t>
  </si>
  <si>
    <t>Grant of 100% of EL6/2024 (to Iltani Resources)</t>
  </si>
  <si>
    <t>Stavely Minerals Limited</t>
  </si>
  <si>
    <t>ASX:CR1</t>
  </si>
  <si>
    <t>Operator: Stavely Minerals Limited 
Owner: Stavely Minerals Limited (100%)</t>
  </si>
  <si>
    <t>Stavely</t>
  </si>
  <si>
    <t>Cu, Au</t>
  </si>
  <si>
    <t>146065.18</t>
  </si>
  <si>
    <t>8160631.395</t>
  </si>
  <si>
    <t>Stavely Minerals Acquires Prospective WA Ni-Cu-Co Project</t>
  </si>
  <si>
    <t>https://app.mininghub.com/article/56121</t>
  </si>
  <si>
    <t>Mr Chris Cairns, Stavely Minerals Executive Chair and Managing Director</t>
  </si>
  <si>
    <t>Acquisition of 100% of North West Nickel Pty Ltd (holding Hawkstone Project) (by Stavely from Chalice)</t>
  </si>
  <si>
    <t>Horseshoe Metals Limited</t>
  </si>
  <si>
    <t>ASX: HOR</t>
  </si>
  <si>
    <t>Operator: Horseshoe Metals Limited 
Owner: Horseshoe Metals Limited (100%)
NSR: VOX Royalty Corp. (3%)</t>
  </si>
  <si>
    <t>Horseshoe Lights</t>
  </si>
  <si>
    <t>138,050 tonnes Cu</t>
  </si>
  <si>
    <t>24640.32</t>
  </si>
  <si>
    <t>9380093.716</t>
  </si>
  <si>
    <t>Horseshoe Lights Project Commercial Development</t>
  </si>
  <si>
    <t>https://app.mininghub.com/article/84516</t>
  </si>
  <si>
    <t>Kate Stoney, Non-Executive Director</t>
  </si>
  <si>
    <t>of granted tenement E52/4372 (to Horseshoe)</t>
  </si>
  <si>
    <t>Belararox Limited</t>
  </si>
  <si>
    <t>ASX:BRX</t>
  </si>
  <si>
    <t>Owner: Belararox Limited (100%)</t>
  </si>
  <si>
    <t>Belara</t>
  </si>
  <si>
    <t>Cu, Au, Zn, Pb, Ag</t>
  </si>
  <si>
    <t>64301.52</t>
  </si>
  <si>
    <t>23034258.08</t>
  </si>
  <si>
    <t>Agreement Executed to Acquire Kalahari Copper Project</t>
  </si>
  <si>
    <t>https://app.mininghub.com/article/71103</t>
  </si>
  <si>
    <t>Arvind Misra, Belararox’s Managing Director</t>
  </si>
  <si>
    <t>(of KCB Resources)</t>
  </si>
  <si>
    <t>Cannindah Resources Limited</t>
  </si>
  <si>
    <t>Operator: Cannindah Resources Limited 
Owner: Cannindah Resources Limited (100%)
NSR: Elemental Altus Royalties Corp. (0.45%)</t>
  </si>
  <si>
    <t>Mt Cannindah</t>
  </si>
  <si>
    <t>Cu, Mo, Au</t>
  </si>
  <si>
    <t>14.5 Mt</t>
  </si>
  <si>
    <t>7162.73</t>
  </si>
  <si>
    <t>34219757.791</t>
  </si>
  <si>
    <t>Company Update and Due Diligence</t>
  </si>
  <si>
    <t>https://app.mininghub.com/article/74016</t>
  </si>
  <si>
    <t>Tom Pickett, Managing Director</t>
  </si>
  <si>
    <t>No acquisition by Cannindah; Codelco to conduct due diligence on Mt Cannindah project for potential transaction.</t>
  </si>
  <si>
    <t>MAC Copper Limited</t>
  </si>
  <si>
    <t>MTAL:US</t>
  </si>
  <si>
    <t>Operator: MAC Copper Limited 
Owner: MAC Copper Limited (100%)
NSR: Osisko Gold Royalties Ltd. (1%)</t>
  </si>
  <si>
    <t>CSA</t>
  </si>
  <si>
    <t>Cu,Ag</t>
  </si>
  <si>
    <t>49268.61</t>
  </si>
  <si>
    <t>672890197</t>
  </si>
  <si>
    <t>Metals Acquisition Limited Closes Purchase of the CSA Copper Mine</t>
  </si>
  <si>
    <t>https://app.mininghub.com/article/36727</t>
  </si>
  <si>
    <t>Mick McMullen, Chief Executive Officer</t>
  </si>
  <si>
    <t>Bogong</t>
  </si>
  <si>
    <t>Cu,Au</t>
  </si>
  <si>
    <t>11101.93</t>
  </si>
  <si>
    <t>Infinity Secures Bogong Copper Gold Tenement in NSW</t>
  </si>
  <si>
    <t>https://app.mininghub.com/article/77716</t>
  </si>
  <si>
    <t>(of granted EL9697 - Bogong Copper Project)</t>
  </si>
  <si>
    <t>Carnaby Resources Limited</t>
  </si>
  <si>
    <t>ASX: CNB</t>
  </si>
  <si>
    <t>Operator: Carnaby Resources Limited 
Owner: Carnaby Resources Limited (82.5%)
Owner: Latitude 66 Limited (17.5%)</t>
  </si>
  <si>
    <t>Greater Duchess</t>
  </si>
  <si>
    <t>26.9 Mt @ 0.2 g/t Au containing 208,300 Oz</t>
  </si>
  <si>
    <t>112791.74</t>
  </si>
  <si>
    <t>54813326.16</t>
  </si>
  <si>
    <t>Presentation - Trekelano Acquisition &amp; Glencore Term Sheet</t>
  </si>
  <si>
    <t>Metallurgy,Project Acquisition</t>
  </si>
  <si>
    <t>https://app.mininghub.com/article/80243</t>
  </si>
  <si>
    <t>Mr Robert Watkins, Managing Director</t>
  </si>
  <si>
    <t>Acquisition of 100% of Trekelano mine/tenements (by Carnaby)</t>
  </si>
  <si>
    <t>Hammer Metals Limited</t>
  </si>
  <si>
    <t>ASX:DRE</t>
  </si>
  <si>
    <t>Operator: Hammer Metals Limited 
Owner: Hammer Metals Limited (100%)</t>
  </si>
  <si>
    <t>Lady Jenny</t>
  </si>
  <si>
    <t>0.706Mt @ 22.5g/t Au</t>
  </si>
  <si>
    <t>30.34</t>
  </si>
  <si>
    <t>24857243.6</t>
  </si>
  <si>
    <t>Hammer Acquires Option on Lady Jenny Mining Lease</t>
  </si>
  <si>
    <t>https://app.mininghub.com/article/73488</t>
  </si>
  <si>
    <t>Daniel Thomas, Managing Director</t>
  </si>
  <si>
    <t>Option to purchase 80% interest in Lady Jenny Mining Leases (by Hammer from Corella)</t>
  </si>
  <si>
    <t>Constellation Resources Limited</t>
  </si>
  <si>
    <t>ASX:RMS</t>
  </si>
  <si>
    <t>Operator: Constellation Resources Limited 
Owner: Constellation Resources Limited (100%)</t>
  </si>
  <si>
    <t>Ularring</t>
  </si>
  <si>
    <t>18733.10</t>
  </si>
  <si>
    <t>10716668.25</t>
  </si>
  <si>
    <t>Acquisition of Ularring Copper Gold Project</t>
  </si>
  <si>
    <t>https://app.mininghub.com/article/71131</t>
  </si>
  <si>
    <t>Peter Woodman, Managing Director</t>
  </si>
  <si>
    <t>Agreement to acquire 100% of Ularring Copper Gold Project (by Constellation from Breaker/Ramelius)</t>
  </si>
  <si>
    <t>Copper Search Limited</t>
  </si>
  <si>
    <t>ASX:CUS</t>
  </si>
  <si>
    <t>Operator: Copper Search Limited 
Owner: Copper Search Limited (100%)
Optioner: Nimrod Resources Limited, Optionee: Copper Search Limited</t>
  </si>
  <si>
    <t>Byrock</t>
  </si>
  <si>
    <t>7,540,000 tonnes Cu</t>
  </si>
  <si>
    <t>190037.59</t>
  </si>
  <si>
    <t>3085520.542</t>
  </si>
  <si>
    <t>Pipeline of Copper-Gold Targets Secured - Byrock Project</t>
  </si>
  <si>
    <t>https://app.mininghub.com/article/87362</t>
  </si>
  <si>
    <t>Duncan Chessell, Managing Director</t>
  </si>
  <si>
    <t>Up to 75% (CUS - Copper Search to earn-in at Byrock Project)</t>
  </si>
  <si>
    <t>Minrex Resources Limited</t>
  </si>
  <si>
    <t>ASX:MRR</t>
  </si>
  <si>
    <t>Operator: Minrex Resources Limited 
Owner: West Cobar Metals Limited (100%)
Optioner: West Cobar Metals Limited, Optionee: Minrex Resources Limited</t>
  </si>
  <si>
    <t>Fraser Range</t>
  </si>
  <si>
    <t>352,000 oz gold</t>
  </si>
  <si>
    <t>80969.85</t>
  </si>
  <si>
    <t>8678940.024</t>
  </si>
  <si>
    <t>MRR:Option Secured Over Fraser Range Copper-Gold Project, WA</t>
  </si>
  <si>
    <t>https://app.mininghub.com/article/92447</t>
  </si>
  <si>
    <t>Ian Shackleton, Technical Director</t>
  </si>
  <si>
    <t>Option to acquire 50% interest in Fraser Range Copper-Gold Project (by MinRex)</t>
  </si>
  <si>
    <t>ASX:ICG</t>
  </si>
  <si>
    <t>Harden</t>
  </si>
  <si>
    <t>48723.31</t>
  </si>
  <si>
    <t>Formal Agreements Signed on GMH and EVGE Acquisitions</t>
  </si>
  <si>
    <t>https://app.mininghub.com/article/78235</t>
  </si>
  <si>
    <t>Completion of acquisition of 100% of GMH Resources (NSW) and Eastern Victoria Gold Exploration (by Infinity)</t>
  </si>
  <si>
    <t>Golden Deeps Limited.</t>
  </si>
  <si>
    <t>ASX: GED</t>
  </si>
  <si>
    <t>Operator: Golden Deeps Limited. 
Owner: Golden Deeps Limited. (100%)</t>
  </si>
  <si>
    <t>Havilah</t>
  </si>
  <si>
    <t>456Mt @ 0.83 g/t Au</t>
  </si>
  <si>
    <t>97295.38</t>
  </si>
  <si>
    <t>2618379.933</t>
  </si>
  <si>
    <t>GED Expands Footprint in Lachlan Fold Belt Cu-Au Province</t>
  </si>
  <si>
    <t>https://app.mininghub.com/article/64859</t>
  </si>
  <si>
    <t>Jonathon Dugdale, Chief Executive Officer</t>
  </si>
  <si>
    <t>Earn-in of 80% interest in holders of four ELs (Acros &amp; Crown) (by Golden Deeps)</t>
  </si>
  <si>
    <t>Kincora Copper Limited</t>
  </si>
  <si>
    <t>ASX:HRE</t>
  </si>
  <si>
    <t>Operator: Kincora Copper Limited 
Owner: Kincora Copper Limited (100%)</t>
  </si>
  <si>
    <t>Nevertire South</t>
  </si>
  <si>
    <t>97336.45</t>
  </si>
  <si>
    <t>7113789</t>
  </si>
  <si>
    <t>https://www.kincoracopper.com</t>
  </si>
  <si>
    <t>Kincora Secures New Strategic Ground</t>
  </si>
  <si>
    <t>https://app.mininghub.com/article/70633</t>
  </si>
  <si>
    <t>Sam Spring, President and CEO of Kincora</t>
  </si>
  <si>
    <t>Award of 100% of three new licenses (Nyngan West, Nyngan South, Nevertire South) (to Kincora)</t>
  </si>
  <si>
    <t>CPER:CA</t>
  </si>
  <si>
    <t>Nyngan West</t>
  </si>
  <si>
    <t>&gt;160Moz gold equivalent</t>
  </si>
  <si>
    <t>21148.36</t>
  </si>
  <si>
    <t>Kincora Secures New Strategic Ground On Australia's Premier Porphyry Copper-Gold Province</t>
  </si>
  <si>
    <t>https://app.mininghub.com/article/70648</t>
  </si>
  <si>
    <t>CopperCorp Resources Inc.</t>
  </si>
  <si>
    <t>ASX:GL1</t>
  </si>
  <si>
    <t>Operator: CopperCorp Resources Inc. 
Owner: CopperCorp Resources Inc. (100%)</t>
  </si>
  <si>
    <t>Razorback</t>
  </si>
  <si>
    <t>140Mt @ 0.84% Cu</t>
  </si>
  <si>
    <t>19716.99</t>
  </si>
  <si>
    <t>7507338</t>
  </si>
  <si>
    <t>https://www.coppercorpinc.com</t>
  </si>
  <si>
    <t>CopperCorp Acquires Strategic New Ground Adjoining Razorback Property</t>
  </si>
  <si>
    <t>https://app.mininghub.com/article/70097</t>
  </si>
  <si>
    <t>Stephen Swatton, President, CEO &amp; Director</t>
  </si>
  <si>
    <t>Red Hill Minerals Limited</t>
  </si>
  <si>
    <t>ASX:RHI</t>
  </si>
  <si>
    <t>Operator: Red Hill Minerals Limited 
Owner: Peel Mining Limited (100%)
Optioner: Peel Mining Limited, Optionee: Red Hill Minerals Limited</t>
  </si>
  <si>
    <t>Curnamona</t>
  </si>
  <si>
    <t>Cu,Au,Co,Zn,Pb,Ag,U</t>
  </si>
  <si>
    <t>4.2Mt @ 0.52% Copper</t>
  </si>
  <si>
    <t>123006.06</t>
  </si>
  <si>
    <t>38351579.244</t>
  </si>
  <si>
    <t>189176493.75</t>
  </si>
  <si>
    <t>$6.5M Farm-in on Peel's Curnamona Project</t>
  </si>
  <si>
    <t>https://app.mininghub.com/article/64262</t>
  </si>
  <si>
    <t>Joshua Pitt, Red Hill’s Executive Chairman</t>
  </si>
  <si>
    <t>Up to 75% (Red Hill Minerals to earn-in at Curnamona Project from Peel Mining)</t>
  </si>
  <si>
    <t>Zinc Of Ireland NL</t>
  </si>
  <si>
    <t>ASX:ASR</t>
  </si>
  <si>
    <t>Operator: Zinc Of Ireland NL 
Owner: Unknown (100%)
Optioner: Unknown, Optionee: Zinc Of Ireland NL</t>
  </si>
  <si>
    <t>Mt Clere</t>
  </si>
  <si>
    <t>Cu,Au,Fe</t>
  </si>
  <si>
    <t>7450.89</t>
  </si>
  <si>
    <t>8505160.395</t>
  </si>
  <si>
    <t>Earning into Drill Ready Copper-Base Metal Project in WA</t>
  </si>
  <si>
    <t>https://app.mininghub.com/article/88297</t>
  </si>
  <si>
    <t>Peter Huljich, Non-Executive Chairman</t>
  </si>
  <si>
    <t>Earn-in up to 80% interest in EL 52/3979 (Mt Clere Project) (by ZMI)</t>
  </si>
  <si>
    <t>Global Lithium Resources Limited</t>
  </si>
  <si>
    <t>ASX:ANX</t>
  </si>
  <si>
    <t>Operator: Global Lithium Resources Limited 
Owner: Global Lithium Resources Limited (100%)</t>
  </si>
  <si>
    <t>Talga</t>
  </si>
  <si>
    <t>Cu,Au,Li</t>
  </si>
  <si>
    <t>69.6 Mt @ 1.00% Li2O</t>
  </si>
  <si>
    <t>21112.63</t>
  </si>
  <si>
    <t>2135325.745</t>
  </si>
  <si>
    <t>44494460.91</t>
  </si>
  <si>
    <t>Sale of Talga to GL1 Agreed - Focus on Antimony at Yallalong</t>
  </si>
  <si>
    <t>https://app.mininghub.com/article/80842</t>
  </si>
  <si>
    <t>Ron Mitchell, Global Lithium Executive Chairman</t>
  </si>
  <si>
    <t>Sale of 100% of Talga Project (by Octava Minerals to Global Lithium)</t>
  </si>
  <si>
    <t>Antares Metals Limited</t>
  </si>
  <si>
    <t>ASX:LRL</t>
  </si>
  <si>
    <t>Operator: Antares Metals Limited 
Owner: Antares Metals Limited (100%)</t>
  </si>
  <si>
    <t>Mt Isa North</t>
  </si>
  <si>
    <t>Cu,Au,U</t>
  </si>
  <si>
    <t>4,440,000 tonnes @ 240 ppm U3O8 (1,080 t U3O8, 2,380,000 Lb U3O8)</t>
  </si>
  <si>
    <t>202115.85</t>
  </si>
  <si>
    <t>4118823.192</t>
  </si>
  <si>
    <t>NIS Acquisition Investor Presentation August 2024</t>
  </si>
  <si>
    <t>https://app.mininghub.com/article/69633</t>
  </si>
  <si>
    <t>Mark Connelly, Executive Chairman</t>
  </si>
  <si>
    <t>Acquisition of 100% of Mt Isa North Project (via acquisition of Capella Metals and option for Bacchus Resources tenements) (by NickelSearch)</t>
  </si>
  <si>
    <t>Havilah Resources Limited</t>
  </si>
  <si>
    <t>Operator: Havilah Resources Limited 
Owner: Havilah Resources Limited (100%)</t>
  </si>
  <si>
    <t>Mutooroo</t>
  </si>
  <si>
    <t>Cu,Co</t>
  </si>
  <si>
    <t>13,127,000 tonnes, containing 195,000 tonnes Cu</t>
  </si>
  <si>
    <t>210069.03</t>
  </si>
  <si>
    <t>61066133.28</t>
  </si>
  <si>
    <t>Mutooroo Agreement With JX Advanced Metals</t>
  </si>
  <si>
    <t>https://app.mininghub.com/article/68609</t>
  </si>
  <si>
    <t>Dr Chris Giles, Havilah’s Technical Director</t>
  </si>
  <si>
    <t>MOU for JXAM to potentially acquire an interest in Mutooroo Project (Havilah 100%) - no % defined for acquisition yet</t>
  </si>
  <si>
    <t>Alma Metals Limited</t>
  </si>
  <si>
    <t>ASX:ALM</t>
  </si>
  <si>
    <t>Operator: Alma Metals Limited 
Owner: Alma Metals Limited (51%)
Owner: Canterbury Resources Limited (49%)</t>
  </si>
  <si>
    <t>Briggs</t>
  </si>
  <si>
    <t>Cu,Mo</t>
  </si>
  <si>
    <t>415Mt @ 0.25% Cu, containing over 1 Mt Cu</t>
  </si>
  <si>
    <t>22855.99</t>
  </si>
  <si>
    <t>6345381.2</t>
  </si>
  <si>
    <t>Completion of Tenement Addition and Drilling Update</t>
  </si>
  <si>
    <t>Drilling Update,Project Acquisition</t>
  </si>
  <si>
    <t>https://app.mininghub.com/article/65368</t>
  </si>
  <si>
    <t>Frazer Tabeart, Managing Director</t>
  </si>
  <si>
    <t>Alma Metals to increase interest to 51% in Briggs JV (earning from Canterbury Resources, can earn up to 70%)</t>
  </si>
  <si>
    <t>Avira Resources Ltd</t>
  </si>
  <si>
    <t>Operator: Avira Resources Ltd 
Owner: Avira Resources Ltd (100%)</t>
  </si>
  <si>
    <t>Tangadee</t>
  </si>
  <si>
    <t>Cu,Ni,Zn</t>
  </si>
  <si>
    <t>77762.80</t>
  </si>
  <si>
    <t>1175517.952</t>
  </si>
  <si>
    <t>Capital Raising and Tangadee Acquisition</t>
  </si>
  <si>
    <t>https://app.mininghub.com/article/92774</t>
  </si>
  <si>
    <t>David Deloub, Executive Director</t>
  </si>
  <si>
    <t>Acquisition of 100% of exploration licence E52/4413 (Tangadee Project) (by Avira from Resminex)</t>
  </si>
  <si>
    <t>Cobalt Blue Holdings Limited</t>
  </si>
  <si>
    <t>ASX: COB</t>
  </si>
  <si>
    <t>Operator: Cobalt Blue Holdings Limited 
Owner: Auking Mining Limited (100%)
Optioner: Auking Mining Limited, Optionee: Cobalt Blue Holdings Limited</t>
  </si>
  <si>
    <t>Halls Creek</t>
  </si>
  <si>
    <t>Cu,Pb,Zn,Ag,Au</t>
  </si>
  <si>
    <t>89kt</t>
  </si>
  <si>
    <t>24939.38</t>
  </si>
  <si>
    <t>21534191.749</t>
  </si>
  <si>
    <t>AuKing signs new Joint Venture for Koongie Park Project</t>
  </si>
  <si>
    <t>https://app.mininghub.com/article/88031</t>
  </si>
  <si>
    <t>Farm-out to Cobalt Blue, COB to earn up to 75% of Koongie Park (from AuKing)</t>
  </si>
  <si>
    <t>Terra Metals Limited</t>
  </si>
  <si>
    <t>ASX:TM1</t>
  </si>
  <si>
    <t>Operator: Terra Metals Limited 
Owner: Terra Metals Limited (100%)</t>
  </si>
  <si>
    <t>Dante</t>
  </si>
  <si>
    <t>Cu,Pt,Pd,Au,Ni,V,Ti</t>
  </si>
  <si>
    <t>390Mt @ 0.30% Cu</t>
  </si>
  <si>
    <t>122872.70</t>
  </si>
  <si>
    <t>7745066.178</t>
  </si>
  <si>
    <t>Option to Expand Dante Project</t>
  </si>
  <si>
    <t>https://app.mininghub.com/article/85535</t>
  </si>
  <si>
    <t>Mr Thomas Line, Managing Director and CEO</t>
  </si>
  <si>
    <t>Option to acquire 100% of HRM Exploration Pty Ltd</t>
  </si>
  <si>
    <t>Lincoln Minerals Limited</t>
  </si>
  <si>
    <t>ASX:CHN</t>
  </si>
  <si>
    <t>Operator: Lincoln Minerals Limited 
Owner: Lincoln Minerals Limited (100%)</t>
  </si>
  <si>
    <t>Eyre</t>
  </si>
  <si>
    <t>Cu,U,Ag</t>
  </si>
  <si>
    <t>93514.56</t>
  </si>
  <si>
    <t>8225038.08</t>
  </si>
  <si>
    <t>Lincoln strengthens portfoilio adding strategic tenement</t>
  </si>
  <si>
    <t>https://app.mininghub.com/article/81958</t>
  </si>
  <si>
    <t>Jonathon Trewartha, Chief Executive Officer</t>
  </si>
  <si>
    <t>of granted Exploration Licence EL7020 (to Lincoln Minerals)</t>
  </si>
  <si>
    <t>Anax Metals Limited</t>
  </si>
  <si>
    <t>Operator: Anax Metals Limited 
Owner: Anax Metals Limited (80%)
Owner: Develop Global Limited (20%)</t>
  </si>
  <si>
    <t>Whim Creek</t>
  </si>
  <si>
    <t>Cu,Zn</t>
  </si>
  <si>
    <t>7978.75</t>
  </si>
  <si>
    <t>6179652.969</t>
  </si>
  <si>
    <t>New tenement application over Whim Creek greenstone belt</t>
  </si>
  <si>
    <t>https://app.mininghub.com/article/84801</t>
  </si>
  <si>
    <t>Geoff Laing, Managing Director</t>
  </si>
  <si>
    <t>Application for 100% of new Exploration License E47/5275 (Whim Creek) (by Anax Metals)</t>
  </si>
  <si>
    <t>Litchfield Minerals Limited</t>
  </si>
  <si>
    <t>Operator: Litchfield Minerals Limited 
Owner: Litchfield Minerals Limited (100%)</t>
  </si>
  <si>
    <t>Oonagalabi</t>
  </si>
  <si>
    <t>Cu,Zn,Au</t>
  </si>
  <si>
    <t>23.8Mt @ 0.25 g/t Au</t>
  </si>
  <si>
    <t>14496.38</t>
  </si>
  <si>
    <t>4372758.63</t>
  </si>
  <si>
    <t>Litchfield Secures Strategic Copper-Gold Portfolio in NT</t>
  </si>
  <si>
    <t>https://app.mininghub.com/article/73997</t>
  </si>
  <si>
    <t>Matthew Pustahya, Managing Director and CEO</t>
  </si>
  <si>
    <t>Acquisition of 100% of Kalk Exploration Pty Ltd (holding Oonagalabi, Paradise Well, Silver Valley projects) (by Litchfield from Comet Resources)</t>
  </si>
  <si>
    <t>Skyline</t>
  </si>
  <si>
    <t>Cu,Zn,Pb,Ag,Au</t>
  </si>
  <si>
    <t>37055.67</t>
  </si>
  <si>
    <t>CopperCorp Granted New Exploration Licence EL11/2024 Adjacent to Razorback Property</t>
  </si>
  <si>
    <t>https://app.mininghub.com/article/82043</t>
  </si>
  <si>
    <t>Stephen Swatton, President and CEO</t>
  </si>
  <si>
    <t>ASX:SPR</t>
  </si>
  <si>
    <t>Operator: Spartan Resources Limited 
Owner: Spartan Resources Limited (100%)
Optioner: Spartan Resources Limited, Optionee: Fenix Resources Ltd</t>
  </si>
  <si>
    <t>Beebynganna Hills</t>
  </si>
  <si>
    <t>Fe</t>
  </si>
  <si>
    <t>12241.40</t>
  </si>
  <si>
    <t>FEX: Fenix acquires Beebynganna Hills Iron Ore Project</t>
  </si>
  <si>
    <t>https://app.mininghub.com/article/82270</t>
  </si>
  <si>
    <t>(of E51/1681 - Beebynganna Hills - iron ore and ferrous mineral rights)</t>
  </si>
  <si>
    <t>Macro Metals Limited</t>
  </si>
  <si>
    <t>Operator: Macro Metals Limited 
Owner: Macro Metals Limited (100%)</t>
  </si>
  <si>
    <t>Cane Bore</t>
  </si>
  <si>
    <t>246.7Mt capable of producing a concentrate at &gt;68% Fe</t>
  </si>
  <si>
    <t>50828.21</t>
  </si>
  <si>
    <t>31659340.224</t>
  </si>
  <si>
    <t>Significant Increase in Pilbara Landholding</t>
  </si>
  <si>
    <t>https://app.mininghub.com/article/67482</t>
  </si>
  <si>
    <t>Simon Rushton, Managing Director</t>
  </si>
  <si>
    <t>(of granted E08/3424 - Cane Bore Iron Project)</t>
  </si>
  <si>
    <t>CZR Resources Ltd</t>
  </si>
  <si>
    <t>Operator: CZR Resources Ltd 
Owner: CZR Resources Ltd (100%)</t>
  </si>
  <si>
    <t>Robe Mesa</t>
  </si>
  <si>
    <t>18632.07</t>
  </si>
  <si>
    <t>66285701.16</t>
  </si>
  <si>
    <t>Non-Binding, Indicative and Conditional Offer Robe River JV</t>
  </si>
  <si>
    <t>https://app.mininghub.com/article/92025</t>
  </si>
  <si>
    <t>Stefan Murphy, Managing Director</t>
  </si>
  <si>
    <t>Proposed 100% acquisition of CZR's Robe Mesa Iron Ore project tenements by Robe River JV</t>
  </si>
  <si>
    <t>Investigator Resources Ltd</t>
  </si>
  <si>
    <t>ASX:MOH</t>
  </si>
  <si>
    <t>Operator: Investigator Resources Ltd 
Owner: Alliance Resources (100%)
Optioner: Alliance Resources, Optionee: Investigator Resources Ltd</t>
  </si>
  <si>
    <t>Sunday Iron</t>
  </si>
  <si>
    <t>41272.25</t>
  </si>
  <si>
    <t>Earn-In agreement to silver opportunity next to Paris</t>
  </si>
  <si>
    <t>https://app.mininghub.com/article/98247</t>
  </si>
  <si>
    <t>Andrew Shearer, Investigator’s Acting Managing Director</t>
  </si>
  <si>
    <t>Earn-in to acquire up to 80% interest in EL6475 (Black Hill tenement) (by Investigator from Alliance Resources)</t>
  </si>
  <si>
    <t>Goldsworthy East</t>
  </si>
  <si>
    <t>Exploration Licence for Goldsworthy East Granted</t>
  </si>
  <si>
    <t>https://app.mininghub.com/article/70617</t>
  </si>
  <si>
    <t>of granted Exploration Licence 45/6365 (Goldsworthy East) (to Macro Metals)</t>
  </si>
  <si>
    <t>Impact Minerals Limited</t>
  </si>
  <si>
    <t>ASX:IPT</t>
  </si>
  <si>
    <t>Operator: Impact Minerals Limited 
Owner: New Frontier Minerals Limited (100%)
Optioner: New Frontier Minerals Limited, Optionee: Impact Minerals Limited</t>
  </si>
  <si>
    <t>Broken Hill East</t>
  </si>
  <si>
    <t>Fe,Cu</t>
  </si>
  <si>
    <t>18513316.315</t>
  </si>
  <si>
    <t>New Ground Acquisition at Broken Hill</t>
  </si>
  <si>
    <t>https://app.mininghub.com/article/90419</t>
  </si>
  <si>
    <t>Dr Michael G Jones, Managing Director</t>
  </si>
  <si>
    <t>(Impact Minerals acquiring BHA No. 1 Pty Ltd from NFM)</t>
  </si>
  <si>
    <t>Tivan Limited</t>
  </si>
  <si>
    <t>ASX:RTR</t>
  </si>
  <si>
    <t>Operator: Tivan Limited 
Owner: Tivan Limited (100%)</t>
  </si>
  <si>
    <t>Sandover Additional Claims</t>
  </si>
  <si>
    <t>Fluorite</t>
  </si>
  <si>
    <t>254,600 short tons @ 37.4% CaF2</t>
  </si>
  <si>
    <t>22751.46</t>
  </si>
  <si>
    <t>178685203.791</t>
  </si>
  <si>
    <t>Tivan acquires second Fluorite Project</t>
  </si>
  <si>
    <t>https://app.mininghub.com/article/79494</t>
  </si>
  <si>
    <t>Grant Wilson</t>
  </si>
  <si>
    <t>Acquisition of ~30% of EL22349 and 100% of specified Mining Leases (Sandover Fluorite Project) (by Tivan from Investigator/Thor JV)</t>
  </si>
  <si>
    <t>ASX:SRI</t>
  </si>
  <si>
    <t>Speewah</t>
  </si>
  <si>
    <t>Fluorite,V</t>
  </si>
  <si>
    <t>21007.44</t>
  </si>
  <si>
    <t>KRR:$1.6million payment received for sale of Speewah Project</t>
  </si>
  <si>
    <t>https://app.mininghub.com/article/64355</t>
  </si>
  <si>
    <t>Update on acquisition of 100% of Speewah Project (by Tivan from KRR - payment made)</t>
  </si>
  <si>
    <t>International Graphite Limited</t>
  </si>
  <si>
    <t>Operator: International Graphite Limited 
Owner: International Graphite Limited (100%)</t>
  </si>
  <si>
    <t>Springdale</t>
  </si>
  <si>
    <t>Graphite</t>
  </si>
  <si>
    <t>45930.70</t>
  </si>
  <si>
    <t>8903683.18</t>
  </si>
  <si>
    <t>Mining lease granted for Mason Bay</t>
  </si>
  <si>
    <t>https://app.mininghub.com/article/77987</t>
  </si>
  <si>
    <t>Andrew Worland, Managing Director and Chief Executive Officer</t>
  </si>
  <si>
    <t>of granted mining lease M47/0253 (Springdale - Mason Bay) (to International Graphite)</t>
  </si>
  <si>
    <t>Astute Metals NL</t>
  </si>
  <si>
    <t>ASX:GED</t>
  </si>
  <si>
    <t>Owner: Astute Metals NL (100%)</t>
  </si>
  <si>
    <t>Governor Broome</t>
  </si>
  <si>
    <t>Heavy Minerals</t>
  </si>
  <si>
    <t>127Mt @ 4.3% Heavy Minerals</t>
  </si>
  <si>
    <t>16969.02</t>
  </si>
  <si>
    <t>16424402.589</t>
  </si>
  <si>
    <t>Completion of High-Grade Heavy Mineral Sands Acquisition</t>
  </si>
  <si>
    <t>Project Acquisition,Marketing</t>
  </si>
  <si>
    <t>https://app.mininghub.com/article/61626</t>
  </si>
  <si>
    <t>Tony Leibowitz, Executive Chairman</t>
  </si>
  <si>
    <t>Completion of 100% acquisition of Fouracres tenement (R70/22) (by Astute)</t>
  </si>
  <si>
    <t>Whitebark Energy Ltd</t>
  </si>
  <si>
    <t>ASX:WBE</t>
  </si>
  <si>
    <t>Operator: Whitebark Energy Ltd 
Owner: Whitebark Energy Ltd (70%)
Owner: Unknown (30%)
Optioner: Unknown, Optionee: Whitebark Energy Ltd</t>
  </si>
  <si>
    <t>Alinya</t>
  </si>
  <si>
    <t>Hydrogen</t>
  </si>
  <si>
    <t>4.1 Billion KG</t>
  </si>
  <si>
    <t>1943267.45</t>
  </si>
  <si>
    <t>1541045.82</t>
  </si>
  <si>
    <t>Strategic Acquisition presentation revised - King Energy</t>
  </si>
  <si>
    <t>https://app.mininghub.com/article/82811</t>
  </si>
  <si>
    <t>Mark Lindh – Chairman</t>
  </si>
  <si>
    <t>(of King Energy)</t>
  </si>
  <si>
    <t>Cygnus Metals Limited</t>
  </si>
  <si>
    <t>ASX:CY5</t>
  </si>
  <si>
    <t>Operator: Cygnus Metals Limited 
Owner: Cygnus Metals Limited (100%)</t>
  </si>
  <si>
    <t>Bencubbin</t>
  </si>
  <si>
    <t>Li</t>
  </si>
  <si>
    <t>119.1Mt @ 1.1% Li2O</t>
  </si>
  <si>
    <t>84092.11</t>
  </si>
  <si>
    <t>71335460.364</t>
  </si>
  <si>
    <t>Quarterly Activities/Appendix 5B Cash Flow Report</t>
  </si>
  <si>
    <t>Resource Estimate,Maiden Resource Estimate,Drill Program,Project Acquisition</t>
  </si>
  <si>
    <t>https://app.mininghub.com/article/56668</t>
  </si>
  <si>
    <t>David Southam, Cygnus Managing Director</t>
  </si>
  <si>
    <t>51% (Earned-in at Pontax, potential up to 70%)</t>
  </si>
  <si>
    <t>Charger Metals NL</t>
  </si>
  <si>
    <t>ASX:CHR</t>
  </si>
  <si>
    <t>Operator: Charger Metals NL 
Owner: Charger Metals NL (100%)</t>
  </si>
  <si>
    <t>Bynoe</t>
  </si>
  <si>
    <t>1.92Mt @ 1.03% Li₂O</t>
  </si>
  <si>
    <t>5338.46</t>
  </si>
  <si>
    <t>3406491</t>
  </si>
  <si>
    <t>Charger to Acquire 100% of the Bynoe Lithium Project</t>
  </si>
  <si>
    <t>https://app.mininghub.com/article/77981</t>
  </si>
  <si>
    <t>Aidan Platel, Charger’s Managing Director</t>
  </si>
  <si>
    <t>30% (Core Lithium acquiring Lithium Australia's 30% interest in Bynoe, subject to pre-emptive rights)</t>
  </si>
  <si>
    <t>Future Battery Minerals Limited</t>
  </si>
  <si>
    <t>Operator: Future Battery Minerals Limited 
Owner: Future Battery Minerals Limited (100%)</t>
  </si>
  <si>
    <t>Kangaroo Hills</t>
  </si>
  <si>
    <t>3350.63</t>
  </si>
  <si>
    <t>10032088.92</t>
  </si>
  <si>
    <t>FBM Expands Coolgardie &amp; Kal North Gold Potential Identified</t>
  </si>
  <si>
    <t>https://app.mininghub.com/article/84829</t>
  </si>
  <si>
    <t>Nick Rathjen, FBM Managing Director and CEO</t>
  </si>
  <si>
    <t>of new tenement applications (Burbanks East P15/6924, P15/6925; Nepean South E15/2109) (by FBM)</t>
  </si>
  <si>
    <t>Lanthanein Resources Ltd</t>
  </si>
  <si>
    <t>Operator: Lanthanein Resources Ltd 
Owner: Gondwana Resources Ltd (100%)
Optioner: Gondwana Resources Ltd, Optionee: Lanthanein Resources Ltd</t>
  </si>
  <si>
    <t>Lady Grey</t>
  </si>
  <si>
    <t>5547.15</t>
  </si>
  <si>
    <t>4887272.256</t>
  </si>
  <si>
    <t>Lady Grey Farm-in Agreement Extension</t>
  </si>
  <si>
    <t>https://app.mininghub.com/article/81367</t>
  </si>
  <si>
    <t>David Frances</t>
  </si>
  <si>
    <t>Farm-in right to earn up to 70% of EL77/2143 (Lady Grey Project) (by Lanthanein from Gondwana)</t>
  </si>
  <si>
    <t>Raiden Resources Limited</t>
  </si>
  <si>
    <t>ASX:RDN</t>
  </si>
  <si>
    <t>Operator: Raiden Resources Limited 
Owner: Raiden Resources Limited (100%)</t>
  </si>
  <si>
    <t>Andover South</t>
  </si>
  <si>
    <t>4114.12</t>
  </si>
  <si>
    <t>13803565.768</t>
  </si>
  <si>
    <t>Key tenement granted on Andover South Project</t>
  </si>
  <si>
    <t>https://app.mininghub.com/article/69925</t>
  </si>
  <si>
    <t>Mr Dusko Ljubojevic, Managing Director</t>
  </si>
  <si>
    <t>(of Andover South Project Tenements E47/4061, E47/4062, E47/4063, E47/3849, P47/2028)</t>
  </si>
  <si>
    <t>SQM Australia</t>
  </si>
  <si>
    <t>Operator: SQM Australia 
Owner: Kali Metals Limited (70%)
Owner: SQM Australia (30%)
Optioner: Kali Metals Limited, Optionee: SQM Australia</t>
  </si>
  <si>
    <t>DOM's Hill</t>
  </si>
  <si>
    <t>22738.67</t>
  </si>
  <si>
    <t>6823341.48</t>
  </si>
  <si>
    <t>Kali Expands Pilbara Joint Venture with SQM</t>
  </si>
  <si>
    <t>https://app.mininghub.com/article/73868</t>
  </si>
  <si>
    <t>Paul Adams, Managing Director</t>
  </si>
  <si>
    <t>Acquisition of 100% of new tenements (E45/6646, E45/6647, E45/6457) by Kali Metals; SQM to earn 50% in expanded JV</t>
  </si>
  <si>
    <t>Trinex Minerals Limited</t>
  </si>
  <si>
    <t>ASX:PKO</t>
  </si>
  <si>
    <t>Operator: Trinex Minerals Limited 
Owner: South Australia Lithium Pty Ltd  (100%)
Optioner: South Australia Lithium Pty Ltd , Optionee: Trinex Minerals Limited</t>
  </si>
  <si>
    <t>Dudley</t>
  </si>
  <si>
    <t>2701.07</t>
  </si>
  <si>
    <t>1878652.291</t>
  </si>
  <si>
    <t>Trinex Expands Lithium Portfolio into South Australia</t>
  </si>
  <si>
    <t>https://app.mininghub.com/article/74552</t>
  </si>
  <si>
    <t>Will Dix, Trinex Minerals’ Managing Director</t>
  </si>
  <si>
    <t>Up to 90% in Dudley Lithium Project (Farm-in) and 100% in EYL Project (Acquisition) (by Trinex)</t>
  </si>
  <si>
    <t>Golden State Mining Limited</t>
  </si>
  <si>
    <t>ASX:TVN</t>
  </si>
  <si>
    <t>Operator: Golden State Mining Limited 
Owner: Golden State Mining Limited (100%)</t>
  </si>
  <si>
    <t>Paynes Find</t>
  </si>
  <si>
    <t>125190.08</t>
  </si>
  <si>
    <t>2234965.04</t>
  </si>
  <si>
    <t>Gold Exploration Update</t>
  </si>
  <si>
    <t>https://app.mininghub.com/article/74299</t>
  </si>
  <si>
    <t>Michael Moore, Managing Director</t>
  </si>
  <si>
    <t>Great Dirt Resources Ltd</t>
  </si>
  <si>
    <t>Operator: Great Dirt Resources Ltd 
Owner: Great Dirt Resources Ltd (100%)</t>
  </si>
  <si>
    <t>Pilbara</t>
  </si>
  <si>
    <t>6729.19</t>
  </si>
  <si>
    <t>3815663.67</t>
  </si>
  <si>
    <t>New Tenure Granted directly adjacent to Wildcat and Sayona</t>
  </si>
  <si>
    <t>https://app.mininghub.com/article/64862</t>
  </si>
  <si>
    <t>Marty Helean, Managing Director</t>
  </si>
  <si>
    <t>of granted tenement E45/6863 (to Great Dirt)</t>
  </si>
  <si>
    <t>Owner: Bulletin Resources Limited (100%)</t>
  </si>
  <si>
    <t>Ravensthorpe</t>
  </si>
  <si>
    <t>5 Mt @ 0.05% Li2O</t>
  </si>
  <si>
    <t>5716.81</t>
  </si>
  <si>
    <t>30 June 2023 Quarterly Report</t>
  </si>
  <si>
    <t>https://app.mininghub.com/article/60876</t>
  </si>
  <si>
    <t>This article is a quarterly report; refers to prior acquisition of Ravensthorpe Lithium Project (100%) and other ongoing projects.</t>
  </si>
  <si>
    <t>Chariot Corporation Ltd</t>
  </si>
  <si>
    <t>ASX:SLB</t>
  </si>
  <si>
    <t>Operator: Chariot Corporation Ltd 
Owner: Chariot Corporation Ltd (100%)</t>
  </si>
  <si>
    <t>Southern Cross</t>
  </si>
  <si>
    <t>189Mt @ 1.53% Li₂O</t>
  </si>
  <si>
    <t>9628.40</t>
  </si>
  <si>
    <t>10145070.365</t>
  </si>
  <si>
    <t>High-Potential WA Lithium &amp; Gold Tenements Secured</t>
  </si>
  <si>
    <t>https://app.mininghub.com/article/88292</t>
  </si>
  <si>
    <t>Shanthar Pathmanathan, Managing Director</t>
  </si>
  <si>
    <t>of seven new exploration licence applications (Southern Cross Greenstone Belt) (by Chariot)</t>
  </si>
  <si>
    <t>Tambourah Metals Ltd</t>
  </si>
  <si>
    <t>Operator: Tambourah Metals Ltd 
Owner: Tambourah Metals Ltd (100%)</t>
  </si>
  <si>
    <t>Tambina</t>
  </si>
  <si>
    <t>412.22</t>
  </si>
  <si>
    <t>3880471.518</t>
  </si>
  <si>
    <t>Tambourah Adds Advanced Tambina Gold Project</t>
  </si>
  <si>
    <t>https://app.mininghub.com/article/81379</t>
  </si>
  <si>
    <t>Rita Brooks, Executive Chairperson</t>
  </si>
  <si>
    <t>of granted tenement P45/3205 (Tambina Gold Project) (to Tambourah Metals)</t>
  </si>
  <si>
    <t>Stelar Metals Limited</t>
  </si>
  <si>
    <t>Owner: Stelar Metals Limited (100%)</t>
  </si>
  <si>
    <t>Trident</t>
  </si>
  <si>
    <t>Li, Cs, Ta, Sn, Rb</t>
  </si>
  <si>
    <t>26041.07</t>
  </si>
  <si>
    <t>4004149.275</t>
  </si>
  <si>
    <t>Inaugural Drill Program Commenced at Trident Lithium Project</t>
  </si>
  <si>
    <t>Drill Program,Project Acquisition</t>
  </si>
  <si>
    <t>https://app.mininghub.com/article/62609</t>
  </si>
  <si>
    <t>Colin Skidmore, Stelar Metals CEO</t>
  </si>
  <si>
    <t>Completion of acquisition of 90% stake in Trident Lithium Project (by Stelar Metals)</t>
  </si>
  <si>
    <t>Kali Metals Limited</t>
  </si>
  <si>
    <t>ASX:AAR</t>
  </si>
  <si>
    <t>Operator: Kali Metals Limited 
Owner: Kali Metals Limited (100%)</t>
  </si>
  <si>
    <t>Marble Bar</t>
  </si>
  <si>
    <t>Li,Au</t>
  </si>
  <si>
    <t>18Mt @ 1.00% Li₂O</t>
  </si>
  <si>
    <t>6727.05</t>
  </si>
  <si>
    <t>Kali Expands Pilbara Gold Tenure</t>
  </si>
  <si>
    <t>https://app.mininghub.com/article/91627</t>
  </si>
  <si>
    <t>Paul Adams, Managing Director of Kali Metals</t>
  </si>
  <si>
    <t>Acquisition of 100% of Florance Resources Pty Ltd (holding E45/6429, E45/6430) (by Kali Metals)</t>
  </si>
  <si>
    <t>Energy Fuels Inc.</t>
  </si>
  <si>
    <t>ASX: TKM</t>
  </si>
  <si>
    <t>Operator: Energy Fuels Inc. 
Owner: Trek Metals Limited (100%)
Optioner: Trek Metals Limited, Optionee: Energy Fuels Inc.</t>
  </si>
  <si>
    <t>Hendeka</t>
  </si>
  <si>
    <t>Mn</t>
  </si>
  <si>
    <t>43478.75</t>
  </si>
  <si>
    <t>26086143.1</t>
  </si>
  <si>
    <t>805279117</t>
  </si>
  <si>
    <t>http://www.energyfuels.com</t>
  </si>
  <si>
    <t>Amendment to option agreement for divestment of Hendeka</t>
  </si>
  <si>
    <t>https://app.mininghub.com/article/86698</t>
  </si>
  <si>
    <t>Derek Marshall, CEO</t>
  </si>
  <si>
    <t>Option for AEFI to acquire 100% of Hendeka Project (via subsidiaries) (from Trek)</t>
  </si>
  <si>
    <t>Operator: Macro Metals Limited 
Owner: Macro Metals Limited (80%)
Owner: WA Limestone Pty Ltd (20%)</t>
  </si>
  <si>
    <t>Port Hedland Logistics Hub</t>
  </si>
  <si>
    <t>4768.39</t>
  </si>
  <si>
    <t>Macro Secures Logistics, Accommodation &amp; Raw Materials Hub</t>
  </si>
  <si>
    <t>https://app.mininghub.com/article/79739</t>
  </si>
  <si>
    <t>Agreement to acquire 80% interest in E45/3612, E45/4641 and M45/1233 (Acquired Tenements) and 80% of certain mineral rights on M45/1308, M45/1285 and M45/1249 (Mineral Rights Tenements) (by Macro from WAL)</t>
  </si>
  <si>
    <t>Operator: Macro Metals Limited 
Owner: Firebird Metals Limited (100%)
Optioner: Firebird Metals Limited, Optionee: Macro Metals Limited</t>
  </si>
  <si>
    <t>Disraeli</t>
  </si>
  <si>
    <t>70.9 Mt @ 9.6% Mn</t>
  </si>
  <si>
    <t>6982.34</t>
  </si>
  <si>
    <t>10677105.075</t>
  </si>
  <si>
    <t>FIREBIRD COMPLETES FARM-OUT WITH MACRO METALS</t>
  </si>
  <si>
    <t>https://app.mininghub.com/article/74650</t>
  </si>
  <si>
    <t>Farm-out of 80% interest in certain DSO Manganese Assets to Macro Metals (by Firebird)</t>
  </si>
  <si>
    <t>ASX:M2R</t>
  </si>
  <si>
    <t>Nullagine</t>
  </si>
  <si>
    <t>21738.03</t>
  </si>
  <si>
    <t>Pilbara Exploration License Granted</t>
  </si>
  <si>
    <t>https://app.mininghub.com/article/87347</t>
  </si>
  <si>
    <t>of granted exploration licence E45/6949 (Nullagine Project) (to Great Dirt)</t>
  </si>
  <si>
    <t>Wandanya</t>
  </si>
  <si>
    <t>5083.94</t>
  </si>
  <si>
    <t>Macro Completes Acquisition of DSO Manganese Assets</t>
  </si>
  <si>
    <t>https://app.mininghub.com/article/74646</t>
  </si>
  <si>
    <t>Acquisition of 80% interest in Wandanya and Disraeli Projects (DSO Manganese Assets) (by Macro Metals from Firebird Metals - completion)</t>
  </si>
  <si>
    <t>Currawong Resources Pty Ltd</t>
  </si>
  <si>
    <t>GPS (NORR)</t>
  </si>
  <si>
    <t>Operator: Currawong Resources Pty Ltd 
Owner: Currawong Resources Pty Ltd (100%)
Optioner: Currawong Resources Pty Ltd, Optionee: Norrland Gold Corp.</t>
  </si>
  <si>
    <t>Everton</t>
  </si>
  <si>
    <t>Mo</t>
  </si>
  <si>
    <t>22377.56</t>
  </si>
  <si>
    <t>1376000</t>
  </si>
  <si>
    <t>https://www.norrlandgold.com</t>
  </si>
  <si>
    <t>Purchase of Critical Minerals Project In Australia ("Everton Project")</t>
  </si>
  <si>
    <t>https://app.mininghub.com/article/90975</t>
  </si>
  <si>
    <t>Kingsgate</t>
  </si>
  <si>
    <t>Mo,Bi</t>
  </si>
  <si>
    <t>29413.76</t>
  </si>
  <si>
    <t>Land Acquisition and High Purity Quartz Samples Tested</t>
  </si>
  <si>
    <t>https://app.mininghub.com/article/77998</t>
  </si>
  <si>
    <t>Acquisition of 100% of 24.28 Ha of land (Hammond Land) (by Taiton)</t>
  </si>
  <si>
    <t>Dreadnought Resources Ltd</t>
  </si>
  <si>
    <t>ASX:ZMI</t>
  </si>
  <si>
    <t>Operator: Dreadnought Resources Ltd 
Owner: Dreadnought Resources Ltd (100%)</t>
  </si>
  <si>
    <t>Mangaroon</t>
  </si>
  <si>
    <t>Nb,,REE,Au,Ni,Cu</t>
  </si>
  <si>
    <t>56,600 Tonnes @ 12.8 g/t Au containing 23,400 Au Oz</t>
  </si>
  <si>
    <t>464921.24</t>
  </si>
  <si>
    <t>51368166.663</t>
  </si>
  <si>
    <t>Further Gold Ground Consolidated at Mangaroon</t>
  </si>
  <si>
    <t>https://app.mininghub.com/article/92262</t>
  </si>
  <si>
    <t>Dean Tuck, Dreadnought’s Managing Director</t>
  </si>
  <si>
    <t>Acquisition of 100% of tenements M09/63, E09/2195, L09/27 (by Dreadnought)</t>
  </si>
  <si>
    <t>CuFe Ltd</t>
  </si>
  <si>
    <t>Operator: CuFe Ltd 
Owner: CuFe Ltd (100%)</t>
  </si>
  <si>
    <t>West Arunta</t>
  </si>
  <si>
    <t>Nb,REE</t>
  </si>
  <si>
    <t>200Mt @ 1.0% Nb2O5</t>
  </si>
  <si>
    <t>28070.85</t>
  </si>
  <si>
    <t>8079449.19</t>
  </si>
  <si>
    <t>CuFe acquires West Arunta tenure with exciting targets</t>
  </si>
  <si>
    <t>https://app.mininghub.com/article/65585</t>
  </si>
  <si>
    <t>Mark Hancock, CuFe Executive Director</t>
  </si>
  <si>
    <t>Acquisition of 100% of exploration application E80/6052 (West Arunta) (by CuFe from Territory Prospecting)</t>
  </si>
  <si>
    <t>New Frontier Minerals Limited</t>
  </si>
  <si>
    <t>Operator: New Frontier Minerals Limited 
Owner: Audax Holdings Pty Ltd (15%)
Owner: New Frontier Minerals Limited (85%)</t>
  </si>
  <si>
    <t>Harts Range</t>
  </si>
  <si>
    <t>Nb,U</t>
  </si>
  <si>
    <t>17.5% Nb</t>
  </si>
  <si>
    <t>11032.34</t>
  </si>
  <si>
    <t>20408294.97</t>
  </si>
  <si>
    <t>CCZ to acquire high quality Niobium Uranium and REE Project</t>
  </si>
  <si>
    <t>https://app.mininghub.com/article/75280</t>
  </si>
  <si>
    <t>Ged Hall, NEW FRONTIER CHAIRMAN</t>
  </si>
  <si>
    <t>Acquisition of 85% of Harts Range Project (by CCZ via earn-in with Audax/Barfuss)</t>
  </si>
  <si>
    <t>ASX:ALY</t>
  </si>
  <si>
    <t>Owner: Western Yilgarn NL (100%)</t>
  </si>
  <si>
    <t>Ida Holmes Junction</t>
  </si>
  <si>
    <t>Ni, Cu, Pt, Pd</t>
  </si>
  <si>
    <t>11168.77</t>
  </si>
  <si>
    <t>Ida Holmes - New Cu-Ni-PGE and V-Ti-Fe Targets Identified</t>
  </si>
  <si>
    <t>https://app.mininghub.com/article/67549</t>
  </si>
  <si>
    <t>Farm-in right to earn 95% in E36/1080 and E29/1167 (by Western Yilgarn from Bellpark/Mitre)</t>
  </si>
  <si>
    <t>Sipa Resources Limited</t>
  </si>
  <si>
    <t>Operator: Sipa Resources Limited 
Owner: Sipa Resources Limited (100%)</t>
  </si>
  <si>
    <t>Tunkillia North</t>
  </si>
  <si>
    <t>Ni,Au</t>
  </si>
  <si>
    <t>100,000 gold ounces</t>
  </si>
  <si>
    <t>11862.10</t>
  </si>
  <si>
    <t>4580381.542</t>
  </si>
  <si>
    <t>Acquisition of Gold Exploration Assets and Capital Raising</t>
  </si>
  <si>
    <t>https://app.mininghub.com/article/82527</t>
  </si>
  <si>
    <t>Andrew Muir, Managing Director</t>
  </si>
  <si>
    <t>Acquisition of 100% interest in four gold projects (Tunkillia North, Nuckulla Hill, Skye (SA) &amp; Crown (WA)) (by Sipa Resources - Investor Presentation referring to prior announcement)</t>
  </si>
  <si>
    <t>Chalice Mining Limited</t>
  </si>
  <si>
    <t>ASX:1AE</t>
  </si>
  <si>
    <t>Operator: Chalice Mining Limited 
Owner: Chalice Mining Limited (100%)</t>
  </si>
  <si>
    <t>Gonneville</t>
  </si>
  <si>
    <t>Ni,Cu,</t>
  </si>
  <si>
    <t>34229.66</t>
  </si>
  <si>
    <t>344288707.38</t>
  </si>
  <si>
    <t>SVY: SVY Acquires Prospective WA Ni-Cu-Co Project</t>
  </si>
  <si>
    <t>https://app.mininghub.com/article/56120</t>
  </si>
  <si>
    <t>Chris Cairns, Executive Chair and Managing Director</t>
  </si>
  <si>
    <t>Acquisition of 100% of North West Nickel Pty Ltd (holding Hawkstone Project) (by Stavely)</t>
  </si>
  <si>
    <t>Moho Resources Limited</t>
  </si>
  <si>
    <t>Operator: Moho Resources Limited 
Owner: Moho Resources Limited (100%)</t>
  </si>
  <si>
    <t>Weld Range North</t>
  </si>
  <si>
    <t>Ni,Cu,,,</t>
  </si>
  <si>
    <t>1835.39</t>
  </si>
  <si>
    <t>Sale of East Sampson Gold Project &amp; Placement</t>
  </si>
  <si>
    <t>Financing,Private Placement,Project Acquisition</t>
  </si>
  <si>
    <t>https://app.mininghub.com/article/77545</t>
  </si>
  <si>
    <t>Sale of 100% of East Sampson Gold Project (by Moho to Mineral Mining Services)</t>
  </si>
  <si>
    <t>ASX:SRR</t>
  </si>
  <si>
    <t>Operator: Orbminco Limited 
Owner: Orbminco Limited (20%)
Owner: Sarama Resources Ltd. (80%)
Optioner: Orbminco Limited, Optionee: Sarama Resources Ltd.</t>
  </si>
  <si>
    <t>Mt Venn</t>
  </si>
  <si>
    <t>Ni,Cu,Co,Pt,Pd</t>
  </si>
  <si>
    <t>51227.86</t>
  </si>
  <si>
    <t>2166590.082</t>
  </si>
  <si>
    <t>Sarama Resources Advances Mt Venn Gold Project Acquisition</t>
  </si>
  <si>
    <t>https://app.mininghub.com/article/89470</t>
  </si>
  <si>
    <t>Andrew Dinning, President, Executive Chairman</t>
  </si>
  <si>
    <t>Acquisition of 80% interest in Mt Venn Project (by Sarama from Orbminco)</t>
  </si>
  <si>
    <t>Reed Exploration Pty Ltd</t>
  </si>
  <si>
    <t>Operator: Reed Exploration Pty Ltd 
Owner: Reed Exploration Pty Ltd (100%)</t>
  </si>
  <si>
    <t>Forrestania</t>
  </si>
  <si>
    <t>Ni,Li</t>
  </si>
  <si>
    <t>20271.27</t>
  </si>
  <si>
    <t>13609421.848</t>
  </si>
  <si>
    <t>Completion of Sale of Forrestania Project</t>
  </si>
  <si>
    <t>https://app.mininghub.com/article/85424</t>
  </si>
  <si>
    <t>Ivan Vella, Managing Director and CEO</t>
  </si>
  <si>
    <t>Exclusivity deed for potential divestment of Forrestania assets (by IGO, no % finalized)</t>
  </si>
  <si>
    <t>Buru Energy Ltd.</t>
  </si>
  <si>
    <t>ASX:BRU</t>
  </si>
  <si>
    <t>Operator: Buru Energy Ltd. 
Owner: Sipa Resources Limited (100%)</t>
  </si>
  <si>
    <t>Barbwire Terrace</t>
  </si>
  <si>
    <t>Pb,Zn,Ag</t>
  </si>
  <si>
    <t>71879.66</t>
  </si>
  <si>
    <t>29617565.066</t>
  </si>
  <si>
    <t>Sipa Moves to 100% Ownership of Barbwire Terrace Project</t>
  </si>
  <si>
    <t>https://app.mininghub.com/article/85087</t>
  </si>
  <si>
    <t>50% (Sipa acquiring Buru's remaining 50% to move to 100% of Barbwire Terrace)</t>
  </si>
  <si>
    <t>Peako Limited</t>
  </si>
  <si>
    <t>TSXV:NORR</t>
  </si>
  <si>
    <t>Operator: Peako Limited 
Owner: Peako Limited (100%)</t>
  </si>
  <si>
    <t>Eastman</t>
  </si>
  <si>
    <t>PG3 (Pd, Pl, Pt),Ni,Cu</t>
  </si>
  <si>
    <t>47675.34</t>
  </si>
  <si>
    <t>4463225.88</t>
  </si>
  <si>
    <t>New Tenements Granted at East Kimberley Project</t>
  </si>
  <si>
    <t>https://app.mininghub.com/article/78002</t>
  </si>
  <si>
    <t>Ryan Skeen, CEO</t>
  </si>
  <si>
    <t>of granted tenements E80/5704 and E80/5703 (to Peako)</t>
  </si>
  <si>
    <t>RareX Limited</t>
  </si>
  <si>
    <t>ASX:HAV</t>
  </si>
  <si>
    <t>Operator: RareX Limited 
Owner: RareX Limited (100%)</t>
  </si>
  <si>
    <t>Mt Mansbridge</t>
  </si>
  <si>
    <t>REE</t>
  </si>
  <si>
    <t>11.7Mt at 0.77% TREO (with DyTb contributing to 10% of the TREO)</t>
  </si>
  <si>
    <t>34614.04</t>
  </si>
  <si>
    <t>12813533.376</t>
  </si>
  <si>
    <t>Mt Mansbridge Tenements Granted and New Tenement Acquired</t>
  </si>
  <si>
    <t>https://app.mininghub.com/article/90741</t>
  </si>
  <si>
    <t>James Durrant, Managing Director</t>
  </si>
  <si>
    <t>Acquisition of 100% of E80/6118 (new tenement pegged) (by RareX)</t>
  </si>
  <si>
    <t>Ausmon Resources Limited</t>
  </si>
  <si>
    <t>Operator: Ausmon Resources Limited 
Owner: Ausmon Resources Limited (100%)</t>
  </si>
  <si>
    <t>Peake</t>
  </si>
  <si>
    <t>236Mt @ 748 ppm Total Rare Earth Oxides (TREO)</t>
  </si>
  <si>
    <t>75108.62</t>
  </si>
  <si>
    <t>1311213.424</t>
  </si>
  <si>
    <t>New tenement granted for rare earth exploration EL 7015, SA</t>
  </si>
  <si>
    <t>https://app.mininghub.com/article/73629</t>
  </si>
  <si>
    <t>Eric Sam Yue, Executive Director/Secretary</t>
  </si>
  <si>
    <t>of granted tenement EL 7015 Peake (to Ausmon)</t>
  </si>
  <si>
    <t xml:space="preserve">Meryllion Resources Corporation </t>
  </si>
  <si>
    <t>LON:COBR</t>
  </si>
  <si>
    <t xml:space="preserve">Operator: Meryllion Resources Corporation  
Owner: Tasmania Strategic Green Metals Pty Ltd. (100%)
Optioner: Tasmania Strategic Green Metals Pty Ltd., Optionee: Meryllion Resources Corporation </t>
  </si>
  <si>
    <t>Tasmania Rare Earth</t>
  </si>
  <si>
    <t>422871</t>
  </si>
  <si>
    <t>https://www.meryllionresources.com</t>
  </si>
  <si>
    <t>Meryllion Increases Tenement Position in Tasmanian IAC Rare Earth Project</t>
  </si>
  <si>
    <t>https://app.mininghub.com/article/41826</t>
  </si>
  <si>
    <t>Richard Revelins, Chief Executive Officer</t>
  </si>
  <si>
    <t>ASX:CC9</t>
  </si>
  <si>
    <t>Operator: RareX Limited 
Owner: Unknown (100%)
Optioner: Unknown, Optionee: RareX Limited</t>
  </si>
  <si>
    <t>Piper</t>
  </si>
  <si>
    <t>REE,Nb,Phosphate</t>
  </si>
  <si>
    <t>56Mt at 2.6% TREO</t>
  </si>
  <si>
    <t>4805.81</t>
  </si>
  <si>
    <t>Amended RareX gains access to bulls eye magnetic anomaly</t>
  </si>
  <si>
    <t>https://app.mininghub.com/article/73585</t>
  </si>
  <si>
    <t>Earn-in to acquire 80% interest in Piper Project (EL33675, EL33674) (by RareX from True Fella)</t>
  </si>
  <si>
    <t>Lithium Plus Minerals Ltd.</t>
  </si>
  <si>
    <t>Operator: Lithium Plus Minerals Ltd. 
Owner: Lithium Plus Minerals Ltd. (100%)</t>
  </si>
  <si>
    <t>MacDonnell Ranges</t>
  </si>
  <si>
    <t>REE,U</t>
  </si>
  <si>
    <t>418 Mt @ 289 ppm REE</t>
  </si>
  <si>
    <t>180813.13</t>
  </si>
  <si>
    <t>7970400</t>
  </si>
  <si>
    <t>Completion of Australian Uranium &amp; Rare Earth Transaction</t>
  </si>
  <si>
    <t>https://app.mininghub.com/article/68257</t>
  </si>
  <si>
    <t>Dr Bin Guo, Executive Chairman</t>
  </si>
  <si>
    <t>Completion of acquisition of Uranium/REE projects (MacDonnell Ranges &amp; Fox Hill) by Moonlight Resources (LPM diluted to 50% of Moonlight Resources)</t>
  </si>
  <si>
    <t>Trigg Minerals Limited</t>
  </si>
  <si>
    <t>Operator: Trigg Minerals Limited 
Owner: Trigg Minerals Limited (100%)</t>
  </si>
  <si>
    <t>Achilles</t>
  </si>
  <si>
    <t>Sb</t>
  </si>
  <si>
    <t>610,000 t @ 2.56% Sb containing 15,600 t Sb</t>
  </si>
  <si>
    <t>3541.97</t>
  </si>
  <si>
    <t>25868357.06</t>
  </si>
  <si>
    <t>ACQUISITION OF GLOBALLY SIGNIFICANT ANTIMONY PROJECT</t>
  </si>
  <si>
    <t>https://app.mininghub.com/article/73046</t>
  </si>
  <si>
    <t>Timothy Morrison, Trigg Minerals Executive Chair</t>
  </si>
  <si>
    <t>Critical Resources Limited</t>
  </si>
  <si>
    <t>ASX:CRR</t>
  </si>
  <si>
    <t>Operator: Critical Resources Limited 
Owner: Critical Resources Limited (100%)</t>
  </si>
  <si>
    <t>Amoco</t>
  </si>
  <si>
    <t>3.154Mt @ 1.2% Sb</t>
  </si>
  <si>
    <t>2681.27</t>
  </si>
  <si>
    <t>9856884.988</t>
  </si>
  <si>
    <t>Amoco Antimony Gold Project Acquisition &amp; Placement</t>
  </si>
  <si>
    <t>https://app.mininghub.com/article/78140</t>
  </si>
  <si>
    <t>Robert Martin, Chairman</t>
  </si>
  <si>
    <t>(of Amoco Antimony-Gold Project)</t>
  </si>
  <si>
    <t>Bukkulla</t>
  </si>
  <si>
    <t>1.52 Mt @ 1.97% Sb (29,902 t Sb contained)</t>
  </si>
  <si>
    <t>8663.75</t>
  </si>
  <si>
    <t>TRIGG ACQUIRES PAST-PRODUCING HIGH-GRADE ANTIMONY PROJECT</t>
  </si>
  <si>
    <t>https://app.mininghub.com/article/86713</t>
  </si>
  <si>
    <t>(of new ELAs: ELA 6870, ELA 6871, ELA 6872, if granted)</t>
  </si>
  <si>
    <t>Red Mountain Mining Limited</t>
  </si>
  <si>
    <t>ASX:AAJ</t>
  </si>
  <si>
    <t>Operator: Red Mountain Mining Limited 
Owner: Red Mountain Mining Limited (100%)</t>
  </si>
  <si>
    <t>ELA6810</t>
  </si>
  <si>
    <t>90,000 tonnes</t>
  </si>
  <si>
    <t>39078.16</t>
  </si>
  <si>
    <t>2789746.776</t>
  </si>
  <si>
    <t>Antimony Project Acquired in Australia's Premier Province</t>
  </si>
  <si>
    <t>https://app.mininghub.com/article/79920</t>
  </si>
  <si>
    <t>Mauro Piccini, Company Secretary</t>
  </si>
  <si>
    <t>of granted Exploration Licence (ELA6810) (to RMX)</t>
  </si>
  <si>
    <t>Lode Resources Ltd</t>
  </si>
  <si>
    <t>LVX:CA</t>
  </si>
  <si>
    <t>Operator: Lode Resources Ltd 
Owner: Lode Resources Ltd (100%)</t>
  </si>
  <si>
    <t>New England</t>
  </si>
  <si>
    <t>110219.72</t>
  </si>
  <si>
    <t>16987335.225</t>
  </si>
  <si>
    <t>Lode Secures Strategic Antimony Prospects</t>
  </si>
  <si>
    <t>https://app.mininghub.com/article/69225</t>
  </si>
  <si>
    <t>Ted Leschke, Lode Resource Ltd’s Managing Director</t>
  </si>
  <si>
    <t>Grant of 100% of EL9662 (to Lode Resources)</t>
  </si>
  <si>
    <t>Operator: Trigg Minerals Limited 
Owner: Stanford Rocks Pty Ltd. (100%)
Optioner: Stanford Rocks Pty Ltd., Optionee: Trigg Minerals Limited</t>
  </si>
  <si>
    <t>Nundle</t>
  </si>
  <si>
    <t>1.52Mt @ 1.97% Sb (29,902t Sb)</t>
  </si>
  <si>
    <t>24604.36</t>
  </si>
  <si>
    <t>TMG EXPANDS ANTIMONY-GOLD TENURE UP TO 61% Sb, 1045 g/t Au</t>
  </si>
  <si>
    <t>https://app.mininghub.com/article/91764</t>
  </si>
  <si>
    <t>Acquisition of 100% of Nundle, Upper Hunter, Cobark/Copeland projects (EL 9594, EL 9655, EL 9653) (by Trigg from Stanford Rocks)</t>
  </si>
  <si>
    <t>Spartan</t>
  </si>
  <si>
    <t>7.2 Mt @ 1.3% Sb (93 kt Sb)</t>
  </si>
  <si>
    <t>7987.68</t>
  </si>
  <si>
    <t>EXPANSION OF ULTRA HIGH GRADE ANTIMONY PORTFOLIO UP TO 57%Sb</t>
  </si>
  <si>
    <t>https://app.mininghub.com/article/75676</t>
  </si>
  <si>
    <t>Acquisition of 100% of Spartan West (ELA 6821 from Obscure Minerals) and Taylors Arm East (ELA 6802 from Pinpoint Prospecting) applications (by Trigg)</t>
  </si>
  <si>
    <t>Taylors Arm</t>
  </si>
  <si>
    <t>63.0% Sb</t>
  </si>
  <si>
    <t>33460.96</t>
  </si>
  <si>
    <t>ACQUISITION OF HIGH-GRADE ANTIMONY PORTFOLIO UP TO 63% Sb</t>
  </si>
  <si>
    <t>https://app.mininghub.com/article/71983</t>
  </si>
  <si>
    <t>Acquisition of 100% of Spartan and Taylors Arm Antimony Projects (one granted EL, one ELA) (by Trigg from Bullseye Gold)</t>
  </si>
  <si>
    <t>ASX:AM5</t>
  </si>
  <si>
    <t>Owner: Ten Star Mining Pty Ltd  (100%)
Optioner: Ten Star Mining Pty Ltd , Optionee: Lode Resources Ltd</t>
  </si>
  <si>
    <t>Montezuma</t>
  </si>
  <si>
    <t>Sb,Ag,Pb</t>
  </si>
  <si>
    <t>1.85m @ 9.3% Sb</t>
  </si>
  <si>
    <t>9560.41</t>
  </si>
  <si>
    <t>Antimony &amp; Silver Project Acquisition</t>
  </si>
  <si>
    <t>Listing,Mergers &amp; Acquisitions,Project Acquisition,Metallurgy</t>
  </si>
  <si>
    <t>https://app.mininghub.com/article/75779</t>
  </si>
  <si>
    <t>Agreement to acquire 100% of Montezuma Antimony Project (by Lode Resources)</t>
  </si>
  <si>
    <t>Resolution Minerals Ltd</t>
  </si>
  <si>
    <t>ASX:LSR</t>
  </si>
  <si>
    <t>Operator: Resolution Minerals Ltd 
Owner: DEVIL PROSPECTING PTY LTD (100%)
Optioner: DEVIL PROSPECTING PTY LTD, Optionee: Resolution Minerals Ltd</t>
  </si>
  <si>
    <t>Drake East</t>
  </si>
  <si>
    <t>Sb,Au</t>
  </si>
  <si>
    <t>300000m3 @ 1g/t Au containing 0.75t Au</t>
  </si>
  <si>
    <t>10812.58</t>
  </si>
  <si>
    <t>4206294.84</t>
  </si>
  <si>
    <t>High Grade Antimony and Antimony-Gold Acquisition Update</t>
  </si>
  <si>
    <t>https://app.mininghub.com/article/92569</t>
  </si>
  <si>
    <t>Aharon Zaetz, RML’s Executive Director</t>
  </si>
  <si>
    <t>Acquisition of 100% of share capital of DEVIL PROSPECTING and 1205 PTY LTD (by RML)</t>
  </si>
  <si>
    <t>Thunderbird Resources Limited</t>
  </si>
  <si>
    <t>ASX:MGA</t>
  </si>
  <si>
    <t>Operator: Thunderbird Resources Limited 
Owner: Kooky Resources (100%)
Optioner: Kooky Resources, Optionee: Thunderbird Resources Limited</t>
  </si>
  <si>
    <t>Kookabookra</t>
  </si>
  <si>
    <t>16.8Mt @ 0.73g/t Au for 396,800 oz Au</t>
  </si>
  <si>
    <t>24857.08</t>
  </si>
  <si>
    <t>3288972.708</t>
  </si>
  <si>
    <t>Significant Increase in Landholding at Kookabrooka</t>
  </si>
  <si>
    <t>https://app.mininghub.com/article/91725</t>
  </si>
  <si>
    <t>George Bauk, Thunderbird Executive Chairman</t>
  </si>
  <si>
    <t>This article is a webinar invite about a previous acquisition, no new % acquisition detailed. Refers to Hillside Antimony-Gold Project acquisition.</t>
  </si>
  <si>
    <t>NGT:CA</t>
  </si>
  <si>
    <t>Rockvale</t>
  </si>
  <si>
    <t>16.8Mt @ 0.73g/t Au (396,800 oz Au)</t>
  </si>
  <si>
    <t>35790.18</t>
  </si>
  <si>
    <t>Acquisition of Highly Prospective Antimony and Gold Projects</t>
  </si>
  <si>
    <t>https://app.mininghub.com/article/78576</t>
  </si>
  <si>
    <t>Acquisition of 100% interest in exploration portfolio (EL9053 &amp; EL9147 via Kooky Resources acquisition) (by Thunderbird Resources)</t>
  </si>
  <si>
    <t>ASX:CMO</t>
  </si>
  <si>
    <t>Bingara</t>
  </si>
  <si>
    <t>Sb,Cu</t>
  </si>
  <si>
    <t>29.9 kt Sb</t>
  </si>
  <si>
    <t>48636.96</t>
  </si>
  <si>
    <t>Option to Buy High Grade NSW Gold, Antimony, Copper Projects</t>
  </si>
  <si>
    <t>https://app.mininghub.com/article/87544</t>
  </si>
  <si>
    <t>(of Newco, which holds the Bingara and Nundle projects)</t>
  </si>
  <si>
    <t>Rimfire Pacific Mining Limited</t>
  </si>
  <si>
    <t>Operator: Rimfire Pacific Mining Limited 
Owner: Rimfire Pacific Mining Limited (100%)</t>
  </si>
  <si>
    <t>Rabbit Trap</t>
  </si>
  <si>
    <t>Sc</t>
  </si>
  <si>
    <t>15Kt Scandium</t>
  </si>
  <si>
    <t>14505.68</t>
  </si>
  <si>
    <t>57911559.539</t>
  </si>
  <si>
    <t>RIM: Rimfire expands Scandium exposure in Central NSW</t>
  </si>
  <si>
    <t>https://app.mininghub.com/article/77378</t>
  </si>
  <si>
    <t>Mr David Hutton, Rimfire’s Managing Director</t>
  </si>
  <si>
    <t>Option to purchase 100% of EL 8666 (Javelin Tenement) (by Rimfire from Javelin Minerals)</t>
  </si>
  <si>
    <t>Caspin Resources Limited</t>
  </si>
  <si>
    <t>ASX:CPN</t>
  </si>
  <si>
    <t>Operator: Caspin Resources Limited 
Owner: Caspin Resources Limited (100%)</t>
  </si>
  <si>
    <t>Bygoo</t>
  </si>
  <si>
    <t>Sn</t>
  </si>
  <si>
    <t>118857.57</t>
  </si>
  <si>
    <t>9872732.808</t>
  </si>
  <si>
    <t>Acquisition Bygoo Tin Project Complete, Drilling to Commence</t>
  </si>
  <si>
    <t>Drilling Update,Planned Drilling,Project Acquisition</t>
  </si>
  <si>
    <t>https://app.mininghub.com/article/80826</t>
  </si>
  <si>
    <t>Mr Greg Miles, Caspin’s Managing Director</t>
  </si>
  <si>
    <t>(of Bygoo Tin Project via acquisition of Riverston Tin Pty Ltd)</t>
  </si>
  <si>
    <t>Critica Limited</t>
  </si>
  <si>
    <t>ASX:ILT</t>
  </si>
  <si>
    <t>Operator: Critica Limited 
Owner: Critica Limited (100%)</t>
  </si>
  <si>
    <t>Mount Lindsay</t>
  </si>
  <si>
    <t>37638280.442</t>
  </si>
  <si>
    <t>Venture Minerals Board Update</t>
  </si>
  <si>
    <t>Management Changes,AGM,Project Acquisition</t>
  </si>
  <si>
    <t>https://app.mininghub.com/article/57956</t>
  </si>
  <si>
    <t>Andrew Radonjic, Managing Director</t>
  </si>
  <si>
    <t>No direct acquisition by Venture Minerals; refers to Chalice Mining (ASX: CHN) earning further 19% (total 70%) in Venture’s South West Project.</t>
  </si>
  <si>
    <t>Stellar Resources Limited</t>
  </si>
  <si>
    <t>Operator: Stellar Resources Limited 
Owner: Stellar Resources Limited (100%)</t>
  </si>
  <si>
    <t>Heemskirk</t>
  </si>
  <si>
    <t>7.48Mt @ 1.04% Sn, containing 77.87kt of tin</t>
  </si>
  <si>
    <t>837.60</t>
  </si>
  <si>
    <t>33276009.088</t>
  </si>
  <si>
    <t>MOU Signed On Nearby Infrastructure at Heemskirk</t>
  </si>
  <si>
    <t>https://app.mininghub.com/article/80658</t>
  </si>
  <si>
    <t>Mr Simon Taylor, Stellar’s Managing Director</t>
  </si>
  <si>
    <t>MOU for potential infrastructure use (no project acquisition)</t>
  </si>
  <si>
    <t>Terra Uranium Limited</t>
  </si>
  <si>
    <t>ASX:T92</t>
  </si>
  <si>
    <t>Operator: LCT Metals Pty Ltd 
Owner: LCT Metals Pty Ltd (100%)
Optioner: LCT Metals Pty Ltd, Optionee: Terra Uranium Limited</t>
  </si>
  <si>
    <t>Ottery</t>
  </si>
  <si>
    <t>2.7kt @ 2% Sn</t>
  </si>
  <si>
    <t>4784.14</t>
  </si>
  <si>
    <t>2870041.251</t>
  </si>
  <si>
    <t>New High-grade NSW Tin, Silver &amp; Gold projects and Placement</t>
  </si>
  <si>
    <t>https://app.mininghub.com/article/91829</t>
  </si>
  <si>
    <t>Andrew J. Vigar, Executive Chairman</t>
  </si>
  <si>
    <t>Acquisition of 100% of Ottery Tin Mine, Castle Rag Silver, Mole River Silver/Tin projects (via acquisition of LCT Metals) (by Terra Uranium)</t>
  </si>
  <si>
    <t>Heavy Rare Earths Limited</t>
  </si>
  <si>
    <t>ASX:IG6</t>
  </si>
  <si>
    <t>Operator: Heavy Rare Earths Limited 
Owner: Havilah Resources Limited (20%)
Owner: Heavy Rare Earths Limited (80%)
Optioner: Havilah Resources Limited, Optionee: Heavy Rare Earths Limited</t>
  </si>
  <si>
    <t>Prospect Hill</t>
  </si>
  <si>
    <t>4466.09</t>
  </si>
  <si>
    <t>5200847.05</t>
  </si>
  <si>
    <t>Acquisition timetable update</t>
  </si>
  <si>
    <t>https://app.mininghub.com/article/83188</t>
  </si>
  <si>
    <t>Richard Brescianini, Executive Director</t>
  </si>
  <si>
    <t>This is an update on a previously announced acquisition; no new acquisition percentage stated. Refers to acquisition of three uranium projects.</t>
  </si>
  <si>
    <t>TinOne Resources Inc.</t>
  </si>
  <si>
    <t>ASX:REE</t>
  </si>
  <si>
    <t>Operator: TinOne Resources Inc. 
Owner: TinOne Resources Inc. (100%)</t>
  </si>
  <si>
    <t>Mount Maurice</t>
  </si>
  <si>
    <t>Sn,Li</t>
  </si>
  <si>
    <t>881067</t>
  </si>
  <si>
    <t>TINONE ACQUIRES THE PROSPECTIVE TIN-LITHIUM MOUNT MAURICE PROJECT, TASMANIA, AUSTRALIA</t>
  </si>
  <si>
    <t>https://app.mininghub.com/article/37800</t>
  </si>
  <si>
    <t>Chris Donaldson, Executive Chairman</t>
  </si>
  <si>
    <t>Duketon Mining Limited</t>
  </si>
  <si>
    <t>ASX:DKM</t>
  </si>
  <si>
    <t>Operator: Duketon Mining Limited 
Owner: Duketon Mining Limited (100%)</t>
  </si>
  <si>
    <t>Barlee</t>
  </si>
  <si>
    <t>Ti</t>
  </si>
  <si>
    <t>51195.79</t>
  </si>
  <si>
    <t>11751511.776</t>
  </si>
  <si>
    <t>Barlee South Tenement Granted</t>
  </si>
  <si>
    <t>https://app.mininghub.com/article/92920</t>
  </si>
  <si>
    <t>Stuart Fogarty, Managing Director</t>
  </si>
  <si>
    <t>(of new tenement E77/3160)</t>
  </si>
  <si>
    <t>Leka II Shipping Limited</t>
  </si>
  <si>
    <t>ASX:CNB</t>
  </si>
  <si>
    <t>Operator: Leka II Shipping Limited 
Owner: Leka II Shipping Limited (100%)
NSR: Korab Resources Limited (10%)
NSR: Korab Resources Limited (1%)</t>
  </si>
  <si>
    <t>Geolsec</t>
  </si>
  <si>
    <t>U</t>
  </si>
  <si>
    <t>2936400</t>
  </si>
  <si>
    <t>Sale of Geolsec Mineral Lease update</t>
  </si>
  <si>
    <t>https://app.mininghub.com/article/82601</t>
  </si>
  <si>
    <t>Andrej K. Karpinski, Executive Chairman</t>
  </si>
  <si>
    <t>Sale of 100% of Geolsec mineral lease ML27362 (by Korab)</t>
  </si>
  <si>
    <t>DevEx Resources Limited</t>
  </si>
  <si>
    <t>ASX:CDT</t>
  </si>
  <si>
    <t>Operator: DevEx Resources Limited 
Owner: DevEx Resources Limited (100%)</t>
  </si>
  <si>
    <t>Nabarlek</t>
  </si>
  <si>
    <t>32.9Mlbs @ 1.09% U3O8</t>
  </si>
  <si>
    <t>75575.24</t>
  </si>
  <si>
    <t>32685109.654</t>
  </si>
  <si>
    <t>High-Priority Uranium Tenements Granted North of Nabarlek</t>
  </si>
  <si>
    <t>https://app.mininghub.com/article/87478</t>
  </si>
  <si>
    <t>Todd Ross, Managing Director</t>
  </si>
  <si>
    <t>of granted tenements EL29897 and EL25384 (Nabarlek Project) (to DevEx)</t>
  </si>
  <si>
    <t>Alligator Energy Limited</t>
  </si>
  <si>
    <t>ASX:TAR</t>
  </si>
  <si>
    <t>Operator: Alligator Energy Limited 
Owner: Alligator Energy Limited (100%)</t>
  </si>
  <si>
    <t>Samphire</t>
  </si>
  <si>
    <t>49045.54</t>
  </si>
  <si>
    <t>96839983.625</t>
  </si>
  <si>
    <t>Significant Marketing Progress - Traxys Relationship</t>
  </si>
  <si>
    <t>https://app.mininghub.com/article/56510</t>
  </si>
  <si>
    <t>Greg Hall, Alligator’s CEO and Managing Director</t>
  </si>
  <si>
    <t>This article is a market update, refers to previous Traxys agreement for marketing and potential financing, not a project equity acquisition.</t>
  </si>
  <si>
    <t>Harris Belt Holdings Pty Ltd</t>
  </si>
  <si>
    <t>ASX:CR3</t>
  </si>
  <si>
    <t>Operator: Harris Belt Holdings Pty Ltd 
Owner: Harris Belt Holdings Pty Ltd (100%)
Optioner: Harris Belt Holdings Pty Ltd, Optionee: Core Energy Minerals Ltd.</t>
  </si>
  <si>
    <t>Cummins</t>
  </si>
  <si>
    <t>71.6 Mlbs U3O8 @ 620ppm</t>
  </si>
  <si>
    <t>95159.40</t>
  </si>
  <si>
    <t>3754763.364</t>
  </si>
  <si>
    <t>Acquisition of Two Highly Prospective Uranium Projects</t>
  </si>
  <si>
    <t>https://app.mininghub.com/article/84661</t>
  </si>
  <si>
    <t>Tony Greenaway, Executive Director</t>
  </si>
  <si>
    <t>Up to 100% (Staged option to acquire Cummins Project and Harris Greenstone Project)</t>
  </si>
  <si>
    <t>Greenvale Energy Ltd</t>
  </si>
  <si>
    <t>ASX:SMR</t>
  </si>
  <si>
    <t>Operator: Greenvale Energy Ltd 
Owner: Gempart (NT) Pty Ltd. (100%)
Optioner: Gempart (NT) Pty Ltd., Optionee: Greenvale Energy Ltd</t>
  </si>
  <si>
    <t>Douglas River</t>
  </si>
  <si>
    <t>46320.09</t>
  </si>
  <si>
    <t>24121173.824</t>
  </si>
  <si>
    <t>Acquisition of High-Potential Uranium Project (Re-Release)</t>
  </si>
  <si>
    <t>https://app.mininghub.com/article/70357</t>
  </si>
  <si>
    <t>Mark Turner, Greenvale CEO</t>
  </si>
  <si>
    <t>Acquisition of initial 80% interest in Douglas River Uranium Project (by Greenvale)</t>
  </si>
  <si>
    <t>Elkedra</t>
  </si>
  <si>
    <t>56497.71</t>
  </si>
  <si>
    <t>Greenvale adds fourth highly prospective NT uranium project</t>
  </si>
  <si>
    <t>https://app.mininghub.com/article/79337</t>
  </si>
  <si>
    <t>Acquisition of initial 80% interest in Elkedra Uranium Project (by Greenvale)</t>
  </si>
  <si>
    <t>Aurora Energy Metals Limited</t>
  </si>
  <si>
    <t>ASX: 1AE</t>
  </si>
  <si>
    <t>Operator: Aurora Energy Metals Limited 
Owner: Metalbelt Holdings Pty Ltd (100%)
Optioner: Metalbelt Holdings Pty Ltd, Optionee: Aurora Energy Metals Limited</t>
  </si>
  <si>
    <t>Harris Lake</t>
  </si>
  <si>
    <t>107.3Mt @ 214ppm U3O8 for 50.6 Mlbs U3O8</t>
  </si>
  <si>
    <t>13496.08</t>
  </si>
  <si>
    <t>8236931.902</t>
  </si>
  <si>
    <t>Aurora Secures Option Over WA Uranium Exploration Projects</t>
  </si>
  <si>
    <t>https://app.mininghub.com/article/79170</t>
  </si>
  <si>
    <t>Peter Lester, Aurora Chairman</t>
  </si>
  <si>
    <t>Option to acquire 100% of Metalbelt Holdings (by Aurora)</t>
  </si>
  <si>
    <t>Eclipse Metals Limited.</t>
  </si>
  <si>
    <t>TORC:CA</t>
  </si>
  <si>
    <t>Operator: Eclipse Metals Limited. 
Owner: Eclipse Metals Limited. (100%)
Optioner: Eclipse Metals Limited., Optionee: Boss Energy Ltd</t>
  </si>
  <si>
    <t>Liverpool</t>
  </si>
  <si>
    <t>146491.28</t>
  </si>
  <si>
    <t>11439276.116</t>
  </si>
  <si>
    <t>BOE: Boss takes option over uranium exploration in NT</t>
  </si>
  <si>
    <t>https://app.mininghub.com/article/90392</t>
  </si>
  <si>
    <t>Carl Popal, Executive Chairman</t>
  </si>
  <si>
    <t>Option to earn up to 80% (potentially 90%) of Liverpool Uranium Project (by Boss Energy from Eclipse Metals)</t>
  </si>
  <si>
    <t>Orange Minerals NL</t>
  </si>
  <si>
    <t>Operator: Orange Minerals NL 
Owner: Orange Minerals NL (100%)</t>
  </si>
  <si>
    <t>Mulga Rock</t>
  </si>
  <si>
    <t>115 Mt @ 420 ppm for 104.8 Mlb</t>
  </si>
  <si>
    <t>123436.05</t>
  </si>
  <si>
    <t>3110863.7</t>
  </si>
  <si>
    <t>Mulga Rock Tenements Granted</t>
  </si>
  <si>
    <t>https://app.mininghub.com/article/82394</t>
  </si>
  <si>
    <t>Chris Michael</t>
  </si>
  <si>
    <t>of five granted tenements (E28/3449, E28/3450, E39/2479, E39/2481, E39/2482) at Mulga Rock Project (to Orange Minerals)</t>
  </si>
  <si>
    <t>Operator: Greenvale Energy Ltd 
Owner: Maverick Exploration Pty (100%)
Optioner: Maverick Exploration Pty, Optionee: Greenvale Energy Ltd</t>
  </si>
  <si>
    <t>Oasis</t>
  </si>
  <si>
    <t>17176.21</t>
  </si>
  <si>
    <t>Greenvale Acquires Advanced High Grade Oasis Uranium Project</t>
  </si>
  <si>
    <t>https://app.mininghub.com/article/83759</t>
  </si>
  <si>
    <t>Acquisition of 100% interest in EPM 27565 (Oasis Uranium Project) (by Greenvale from Maverick/Remlain/Mineral Intelligence)</t>
  </si>
  <si>
    <t>Australian Rare Earths Limited</t>
  </si>
  <si>
    <t>ASX:AR3</t>
  </si>
  <si>
    <t>Operator: Australian Rare Earths Limited 
Owner: Australian Rare Earths Limited (100%)</t>
  </si>
  <si>
    <t>Overland</t>
  </si>
  <si>
    <t>298142.43</t>
  </si>
  <si>
    <t>11447260.344</t>
  </si>
  <si>
    <t>AR3 expands Overland Uranium Project with Strategic Farm-In</t>
  </si>
  <si>
    <t>https://app.mininghub.com/article/79168</t>
  </si>
  <si>
    <t>Travis Beinke, AR3 Managing Director and Chief Executive</t>
  </si>
  <si>
    <t>Right to acquire 100% of sedimentary-hosted uranium rights of EL6678 (Overland Uranium Project) (by AR3 from Sheer Gold)</t>
  </si>
  <si>
    <t>Tobermorey</t>
  </si>
  <si>
    <t>9.45Mt @ 382ppm U3O8 for 8.03 Mlbs U3O8</t>
  </si>
  <si>
    <t>61306.45</t>
  </si>
  <si>
    <t>Greenvale acquires Tobermorey Uranium Project in the NT</t>
  </si>
  <si>
    <t>https://app.mininghub.com/article/74818</t>
  </si>
  <si>
    <t>Acquisition of initial 80% interest in Tobermorey Uranium Project (EL33692, EL33621) (by Greenvale from Gempart)</t>
  </si>
  <si>
    <t>NewPeak Metals Limited</t>
  </si>
  <si>
    <t>ASX:NPM</t>
  </si>
  <si>
    <t>Operator: NewPeak Metals Limited 
Owner: NewPeak Metals Limited (100%)
NSR: Yacimiento Pty Ltd (2%)</t>
  </si>
  <si>
    <t>Treuer Range</t>
  </si>
  <si>
    <t>U,V</t>
  </si>
  <si>
    <t>7.5 MT @ 0.13% U3O8 and 0.119% V2O5</t>
  </si>
  <si>
    <t>23004.84</t>
  </si>
  <si>
    <t>3864860.772</t>
  </si>
  <si>
    <t>Acquisition of Treuer Range Uranium - Vanadium Project</t>
  </si>
  <si>
    <t>https://app.mininghub.com/article/65530</t>
  </si>
  <si>
    <t>Mr David Mason, Chief Executive Officer</t>
  </si>
  <si>
    <t>Acquisition of 100% of Treuer Range Uranium-Vanadium Project (Permit EL 33611) (by NewPeak from Yacimiento - SPA executed)</t>
  </si>
  <si>
    <t>Operator: NewPeak Metals Limited 
Owner: Mineral Road Discovery Inc. (100%)
Optioner: AusVan Battery Metals Pty Ltd, Optionee: NewPeak Metals Limited</t>
  </si>
  <si>
    <t>Allaru</t>
  </si>
  <si>
    <t>V</t>
  </si>
  <si>
    <t>710 Mt @ 0.46% V2O5</t>
  </si>
  <si>
    <t>150895.53</t>
  </si>
  <si>
    <t>NewPeak to acquire significant Queensland vanadium project</t>
  </si>
  <si>
    <t>https://app.mininghub.com/article/80967</t>
  </si>
  <si>
    <t>(of AusVan)</t>
  </si>
  <si>
    <t>Viking Mines Limited</t>
  </si>
  <si>
    <t>ASX:VKA</t>
  </si>
  <si>
    <t>Operator: Viking Mines Limited 
Owner: Viking Mines Limited (100%)</t>
  </si>
  <si>
    <t>Canegrass</t>
  </si>
  <si>
    <t>V,Fe,Ti</t>
  </si>
  <si>
    <t>146Mt at 0.70% V2O5, 31.8% Fe &amp; 6.6% TiO2</t>
  </si>
  <si>
    <t>9297031.24</t>
  </si>
  <si>
    <t>VIKING MOVES TO 100% OWNERSHIP OF CANEGRASS PROJECT</t>
  </si>
  <si>
    <t>https://app.mininghub.com/article/70338</t>
  </si>
  <si>
    <t>Julian Woodcock, Viking Mines Managing Director &amp; CEO</t>
  </si>
  <si>
    <t>51% (Viking acquiring remaining 51% of Canegrass Project via Flinders Canegrass Pty Ltd acquisition to move to 100%)</t>
  </si>
  <si>
    <t>Tungsten Mining NL</t>
  </si>
  <si>
    <t>ASX: TGN</t>
  </si>
  <si>
    <t>Owner: Tungsten Mining NL (100%)</t>
  </si>
  <si>
    <t>Hatches Creek</t>
  </si>
  <si>
    <t>W</t>
  </si>
  <si>
    <t>7440.99</t>
  </si>
  <si>
    <t>79962915.525</t>
  </si>
  <si>
    <t>GWR: GWR Completes Sale of Hatches Creek Tungsten Project</t>
  </si>
  <si>
    <t>https://app.mininghub.com/article/82023</t>
  </si>
  <si>
    <t>Gary Lyons, Tungsten Mining’s Chairman</t>
  </si>
  <si>
    <t>Acquisition of remaining 80% interest in Hatches Creek Project (by TGN from GWR, TGN now holds 100%)</t>
  </si>
  <si>
    <t>ASX:WC1</t>
  </si>
  <si>
    <t>Operator: Tungsten Mining NL 
Owner: Tungsten Mining NL (100%)</t>
  </si>
  <si>
    <t>Mt Mulgine</t>
  </si>
  <si>
    <t>W,Mo</t>
  </si>
  <si>
    <t>3151.63</t>
  </si>
  <si>
    <t>Settlement to Acquire Mt Mulgine Project Assets Completed</t>
  </si>
  <si>
    <t>https://app.mininghub.com/article/82141</t>
  </si>
  <si>
    <t>Acquisition of 100% of assets comprising Mt Mulgine Project (by Tungsten Mining from Minjar)</t>
  </si>
  <si>
    <t>Boab Metals Limited</t>
  </si>
  <si>
    <t>Operator: Boab Metals Limited 
Owner: Boab Metals Limited (100%)</t>
  </si>
  <si>
    <t>Sorby Hills</t>
  </si>
  <si>
    <t>Zn,Ag,Pb</t>
  </si>
  <si>
    <t>47.3 Mt @ 3.1% Pb (1,465 kt Pb)</t>
  </si>
  <si>
    <t>4156.48</t>
  </si>
  <si>
    <t>26840437.19</t>
  </si>
  <si>
    <t>BML to Acquire 100% of Sorby Hills</t>
  </si>
  <si>
    <t>https://app.mininghub.com/article/72123</t>
  </si>
  <si>
    <t>Simon Noon, Boab Managing Director and CEO</t>
  </si>
  <si>
    <t>Option for Boab to acquire remaining 25% interest in Sorby Hills Project (from Yuguang) to move to 100%</t>
  </si>
  <si>
    <t>Lodestar Minerals Limited</t>
  </si>
  <si>
    <t>Operator: Lodestar Minerals Limited 
Owner: Lodestar Minerals Limited (100%)</t>
  </si>
  <si>
    <t>Earaheedy</t>
  </si>
  <si>
    <t>Zn,Pb,Ag</t>
  </si>
  <si>
    <t>79946.74</t>
  </si>
  <si>
    <t>4457933.508</t>
  </si>
  <si>
    <t>Tenement Granted at Earaheedy and Ned's Creek Update</t>
  </si>
  <si>
    <t>https://app.mininghub.com/article/76172</t>
  </si>
  <si>
    <t>Ed Turner, Lodestar Managing Director</t>
  </si>
  <si>
    <t>of granted tenement E69/3532 (to Lodestar)</t>
  </si>
  <si>
    <t>Austchina Holdings Limited</t>
  </si>
  <si>
    <t>ASX:HTM</t>
  </si>
  <si>
    <t>Operator: Austchina Holdings Limited 
Owner: Austchina Holdings Limited (100%)</t>
  </si>
  <si>
    <t>Mersey</t>
  </si>
  <si>
    <t>Zn,Pb,Cu,Au</t>
  </si>
  <si>
    <t>20229.32</t>
  </si>
  <si>
    <t>2750383.635</t>
  </si>
  <si>
    <t>AUH completes Due Diligence and proceeds to acquisition</t>
  </si>
  <si>
    <t>https://app.mininghub.com/article/89072</t>
  </si>
  <si>
    <t>Andrew Fogg, Chief Executive Officer</t>
  </si>
  <si>
    <t>Acquisition of 100% of Penwortham Exploration Pty Ltd (by AustChina)</t>
  </si>
  <si>
    <t>Newcam Minerals Pty Ltd</t>
  </si>
  <si>
    <t>ASX:CAV</t>
  </si>
  <si>
    <t>Operator: Newcam Minerals Pty Ltd 
Owner: Newcam Minerals Pty Ltd (100%)</t>
  </si>
  <si>
    <t>JWD</t>
  </si>
  <si>
    <t>37244.76</t>
  </si>
  <si>
    <t>Completion of JWD Mining Rights Sale</t>
  </si>
  <si>
    <t>https://app.mininghub.com/article/77553</t>
  </si>
  <si>
    <t>Sale of 100% of Mining Rights at JWD to Newcam Minerals (by CuFe)</t>
  </si>
  <si>
    <t>agg. promedio</t>
  </si>
  <si>
    <t>count</t>
  </si>
  <si>
    <t xml:space="preserve">count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</si>
</sst>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dd/MM/yyyy HH:mm:ss"/>
  </numFmts>
  <fonts count="14">
    <font>
      <sz val="11.0"/>
      <color theme="1"/>
      <name val="Calibri"/>
      <scheme val="minor"/>
    </font>
    <font>
      <color theme="1"/>
      <name val="Calibri"/>
    </font>
    <font>
      <u/>
      <color rgb="FF0000FF"/>
      <name val="Roboto"/>
    </font>
    <font>
      <u/>
      <color rgb="FF0000FF"/>
      <name val="Calibri"/>
    </font>
    <font>
      <u/>
      <color rgb="FF0000FF"/>
      <name val="Calibri"/>
    </font>
    <font>
      <sz val="8.0"/>
      <color theme="1"/>
      <name val="Calibri"/>
    </font>
    <font>
      <sz val="8.0"/>
      <color rgb="FFFF0000"/>
      <name val="Calibri"/>
    </font>
    <font>
      <b/>
      <sz val="8.0"/>
      <color theme="1"/>
      <name val="Calibri"/>
    </font>
    <font>
      <b/>
      <sz val="12.0"/>
      <color theme="1"/>
      <name val="Calibri"/>
      <scheme val="minor"/>
    </font>
    <font>
      <b/>
      <color theme="1"/>
      <name val="Calibri"/>
    </font>
    <font>
      <sz val="11.0"/>
      <color theme="1"/>
      <name val="Calibri"/>
    </font>
    <font>
      <u/>
      <color rgb="FF0000FF"/>
      <name val="Calibri"/>
    </font>
    <font>
      <color theme="1"/>
      <name val="Calibri"/>
      <scheme val="minor"/>
    </font>
    <font>
      <u/>
      <sz val="11.0"/>
      <color rgb="FF0000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49" xfId="0" applyAlignment="1" applyBorder="1" applyFont="1" applyNumberFormat="1">
      <alignment horizontal="left" shrinkToFit="0" vertical="center" wrapText="0"/>
    </xf>
    <xf borderId="1" fillId="2" fontId="1" numFmtId="0" xfId="0" applyAlignment="1" applyBorder="1" applyFill="1" applyFont="1">
      <alignment horizontal="left" shrinkToFit="0" vertical="center" wrapText="0"/>
    </xf>
    <xf borderId="1" fillId="3" fontId="1" numFmtId="0" xfId="0" applyAlignment="1" applyBorder="1" applyFill="1" applyFont="1">
      <alignment horizontal="left" shrinkToFit="0" vertical="center" wrapText="0"/>
    </xf>
    <xf borderId="1" fillId="2" fontId="1" numFmtId="1" xfId="0" applyAlignment="1" applyBorder="1" applyFont="1" applyNumberFormat="1">
      <alignment horizontal="left"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3" fillId="0" fontId="1" numFmtId="1" xfId="0" applyAlignment="1" applyBorder="1" applyFont="1" applyNumberFormat="1">
      <alignment shrinkToFit="0" vertical="center" wrapText="0"/>
    </xf>
    <xf borderId="4" fillId="0" fontId="1" numFmtId="165" xfId="0" applyAlignment="1" applyBorder="1" applyFont="1" applyNumberForma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3" fillId="0" fontId="1" numFmtId="0" xfId="0" applyBorder="1" applyFont="1"/>
    <xf borderId="3" fillId="0" fontId="3" numFmtId="0" xfId="0" applyAlignment="1" applyBorder="1" applyFont="1">
      <alignment shrinkToFit="0" vertical="center" wrapText="0"/>
    </xf>
    <xf borderId="0" fillId="0" fontId="1" numFmtId="0" xfId="0" applyFont="1"/>
    <xf borderId="2" fillId="4" fontId="1" numFmtId="0" xfId="0" applyAlignment="1" applyBorder="1" applyFill="1" applyFont="1">
      <alignment shrinkToFit="0" vertical="center" wrapText="0"/>
    </xf>
    <xf borderId="3" fillId="4" fontId="1" numFmtId="0" xfId="0" applyAlignment="1" applyBorder="1" applyFont="1">
      <alignment shrinkToFit="0" vertical="center" wrapText="0"/>
    </xf>
    <xf borderId="3" fillId="4" fontId="1" numFmtId="164" xfId="0" applyAlignment="1" applyBorder="1" applyFont="1" applyNumberFormat="1">
      <alignment shrinkToFit="0" vertical="center" wrapText="0"/>
    </xf>
    <xf borderId="3" fillId="4" fontId="1" numFmtId="9" xfId="0" applyAlignment="1" applyBorder="1" applyFont="1" applyNumberFormat="1">
      <alignment shrinkToFit="0" vertical="center" wrapText="0"/>
    </xf>
    <xf borderId="3" fillId="4" fontId="1" numFmtId="1" xfId="0" applyAlignment="1" applyBorder="1" applyFont="1" applyNumberFormat="1">
      <alignment shrinkToFit="0" vertical="center" wrapText="0"/>
    </xf>
    <xf borderId="4" fillId="4" fontId="1" numFmtId="165" xfId="0" applyAlignment="1" applyBorder="1" applyFont="1" applyNumberFormat="1">
      <alignment shrinkToFit="0" vertical="center" wrapText="0"/>
    </xf>
    <xf borderId="3" fillId="4" fontId="4" numFmtId="0" xfId="0" applyAlignment="1" applyBorder="1" applyFont="1">
      <alignment shrinkToFit="0" vertical="center" wrapText="0"/>
    </xf>
    <xf borderId="3" fillId="0" fontId="1" numFmtId="3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165" xfId="0" applyAlignment="1" applyBorder="1" applyFont="1" applyNumberFormat="1">
      <alignment shrinkToFit="0" vertical="center" wrapText="0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6" numFmtId="164" xfId="0" applyFont="1" applyNumberFormat="1"/>
    <xf borderId="0" fillId="0" fontId="6" numFmtId="0" xfId="0" applyAlignment="1" applyFont="1">
      <alignment horizontal="left"/>
    </xf>
    <xf borderId="0" fillId="0" fontId="6" numFmtId="1" xfId="0" applyFont="1" applyNumberFormat="1"/>
    <xf borderId="0" fillId="0" fontId="1" numFmtId="1" xfId="0" applyFont="1" applyNumberFormat="1"/>
    <xf borderId="8" fillId="0" fontId="1" numFmtId="0" xfId="0" applyAlignment="1" applyBorder="1" applyFont="1">
      <alignment shrinkToFit="0" vertical="center" wrapText="0"/>
    </xf>
    <xf borderId="0" fillId="0" fontId="8" numFmtId="0" xfId="0" applyAlignment="1" applyFont="1">
      <alignment readingOrder="0"/>
    </xf>
    <xf borderId="0" fillId="0" fontId="1" numFmtId="0" xfId="0" applyAlignment="1" applyFont="1">
      <alignment shrinkToFit="0" vertical="center" wrapText="0"/>
    </xf>
    <xf borderId="9" fillId="0" fontId="9" numFmtId="0" xfId="0" applyAlignment="1" applyBorder="1" applyFont="1">
      <alignment readingOrder="0" shrinkToFit="0" vertical="center" wrapText="0"/>
    </xf>
    <xf borderId="9" fillId="0" fontId="9" numFmtId="0" xfId="0" applyAlignment="1" applyBorder="1" applyFont="1">
      <alignment shrinkToFit="0" vertical="center" wrapText="0"/>
    </xf>
    <xf borderId="8" fillId="0" fontId="1" numFmtId="1" xfId="0" applyAlignment="1" applyBorder="1" applyFont="1" applyNumberFormat="1">
      <alignment shrinkToFit="0" vertical="center" wrapText="0"/>
    </xf>
    <xf borderId="9" fillId="0" fontId="9" numFmtId="1" xfId="0" applyAlignment="1" applyBorder="1" applyFont="1" applyNumberFormat="1">
      <alignment shrinkToFit="0" vertical="center" wrapText="0"/>
    </xf>
    <xf borderId="2" fillId="5" fontId="10" numFmtId="0" xfId="0" applyBorder="1" applyFill="1" applyFont="1"/>
    <xf borderId="3" fillId="5" fontId="10" numFmtId="0" xfId="0" applyBorder="1" applyFont="1"/>
    <xf borderId="3" fillId="5" fontId="10" numFmtId="0" xfId="0" applyAlignment="1" applyBorder="1" applyFont="1">
      <alignment horizontal="right"/>
    </xf>
    <xf borderId="3" fillId="5" fontId="10" numFmtId="164" xfId="0" applyAlignment="1" applyBorder="1" applyFont="1" applyNumberFormat="1">
      <alignment horizontal="right"/>
    </xf>
    <xf borderId="3" fillId="5" fontId="10" numFmtId="9" xfId="0" applyAlignment="1" applyBorder="1" applyFont="1" applyNumberFormat="1">
      <alignment horizontal="right"/>
    </xf>
    <xf borderId="3" fillId="5" fontId="10" numFmtId="1" xfId="0" applyAlignment="1" applyBorder="1" applyFont="1" applyNumberFormat="1">
      <alignment horizontal="right"/>
    </xf>
    <xf borderId="4" fillId="5" fontId="10" numFmtId="165" xfId="0" applyAlignment="1" applyBorder="1" applyFont="1" applyNumberFormat="1">
      <alignment horizontal="right"/>
    </xf>
    <xf borderId="2" fillId="6" fontId="10" numFmtId="0" xfId="0" applyBorder="1" applyFill="1" applyFont="1"/>
    <xf borderId="3" fillId="6" fontId="10" numFmtId="0" xfId="0" applyBorder="1" applyFont="1"/>
    <xf borderId="3" fillId="6" fontId="10" numFmtId="0" xfId="0" applyAlignment="1" applyBorder="1" applyFont="1">
      <alignment horizontal="right"/>
    </xf>
    <xf borderId="3" fillId="6" fontId="10" numFmtId="164" xfId="0" applyAlignment="1" applyBorder="1" applyFont="1" applyNumberFormat="1">
      <alignment horizontal="right"/>
    </xf>
    <xf borderId="3" fillId="6" fontId="10" numFmtId="9" xfId="0" applyAlignment="1" applyBorder="1" applyFont="1" applyNumberFormat="1">
      <alignment horizontal="right"/>
    </xf>
    <xf borderId="3" fillId="6" fontId="10" numFmtId="1" xfId="0" applyAlignment="1" applyBorder="1" applyFont="1" applyNumberFormat="1">
      <alignment horizontal="right"/>
    </xf>
    <xf borderId="4" fillId="6" fontId="10" numFmtId="165" xfId="0" applyAlignment="1" applyBorder="1" applyFont="1" applyNumberFormat="1">
      <alignment horizontal="right"/>
    </xf>
    <xf borderId="0" fillId="6" fontId="10" numFmtId="0" xfId="0" applyAlignment="1" applyFont="1">
      <alignment horizontal="right"/>
    </xf>
    <xf borderId="3" fillId="0" fontId="11" numFmtId="0" xfId="0" applyAlignment="1" applyBorder="1" applyFont="1">
      <alignment readingOrder="0" shrinkToFit="0" vertical="center" wrapText="0"/>
    </xf>
    <xf borderId="3" fillId="5" fontId="10" numFmtId="0" xfId="0" applyAlignment="1" applyBorder="1" applyFont="1">
      <alignment vertical="bottom"/>
    </xf>
    <xf borderId="0" fillId="0" fontId="12" numFmtId="1" xfId="0" applyFont="1" applyNumberFormat="1"/>
    <xf borderId="3" fillId="5" fontId="1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0">
    <tableStyle count="3" pivot="0" name="Exported Data-style">
      <tableStyleElement dxfId="1" type="headerRow"/>
      <tableStyleElement dxfId="2" type="firstRowStripe"/>
      <tableStyleElement dxfId="3" type="secondRowStripe"/>
    </tableStyle>
    <tableStyle count="3" pivot="0" name="early stage Sn-style">
      <tableStyleElement dxfId="1" type="headerRow"/>
      <tableStyleElement dxfId="2" type="firstRowStripe"/>
      <tableStyleElement dxfId="3" type="secondRowStripe"/>
    </tableStyle>
    <tableStyle count="2" pivot="0" name="early stage Sn-style 2">
      <tableStyleElement dxfId="3" type="firstRowStripe"/>
      <tableStyleElement dxfId="2" type="secondRowStripe"/>
    </tableStyle>
    <tableStyle count="3" pivot="0" name="early stage Sb-style">
      <tableStyleElement dxfId="1" type="headerRow"/>
      <tableStyleElement dxfId="2" type="firstRowStripe"/>
      <tableStyleElement dxfId="3" type="secondRowStripe"/>
    </tableStyle>
    <tableStyle count="2" pivot="0" name="early stage Sb-style 2">
      <tableStyleElement dxfId="3" type="firstRowStripe"/>
      <tableStyleElement dxfId="2" type="secondRowStripe"/>
    </tableStyle>
    <tableStyle count="3" pivot="0" name="advanced stage U-style">
      <tableStyleElement dxfId="1" type="headerRow"/>
      <tableStyleElement dxfId="2" type="firstRowStripe"/>
      <tableStyleElement dxfId="3" type="secondRowStripe"/>
    </tableStyle>
    <tableStyle count="2" pivot="0" name="advanced stage U-style 2">
      <tableStyleElement dxfId="2" type="firstRowStripe"/>
      <tableStyleElement dxfId="3" type="secondRowStripe"/>
    </tableStyle>
    <tableStyle count="3" pivot="0" name="early stage U-style">
      <tableStyleElement dxfId="1" type="headerRow"/>
      <tableStyleElement dxfId="2" type="firstRowStripe"/>
      <tableStyleElement dxfId="3" type="secondRowStripe"/>
    </tableStyle>
    <tableStyle count="2" pivot="0" name="early stage U-style 2">
      <tableStyleElement dxfId="3" type="firstRowStripe"/>
      <tableStyleElement dxfId="2" type="secondRowStripe"/>
    </tableStyle>
    <tableStyle count="3" pivot="0" name="early stage REE-style">
      <tableStyleElement dxfId="1" type="headerRow"/>
      <tableStyleElement dxfId="2" type="firstRowStripe"/>
      <tableStyleElement dxfId="3" type="secondRowStripe"/>
    </tableStyle>
    <tableStyle count="2" pivot="0" name="early stage REE-style 2">
      <tableStyleElement dxfId="2" type="firstRowStripe"/>
      <tableStyleElement dxfId="3" type="secondRowStripe"/>
    </tableStyle>
    <tableStyle count="3" pivot="0" name="advanced stage Li-style">
      <tableStyleElement dxfId="1" type="headerRow"/>
      <tableStyleElement dxfId="2" type="firstRowStripe"/>
      <tableStyleElement dxfId="3" type="secondRowStripe"/>
    </tableStyle>
    <tableStyle count="2" pivot="0" name="advanced stage Li-style 2">
      <tableStyleElement dxfId="3" type="firstRowStripe"/>
      <tableStyleElement dxfId="2" type="secondRowStripe"/>
    </tableStyle>
    <tableStyle count="3" pivot="0" name="early stage Li-style">
      <tableStyleElement dxfId="1" type="headerRow"/>
      <tableStyleElement dxfId="2" type="firstRowStripe"/>
      <tableStyleElement dxfId="3" type="secondRowStripe"/>
    </tableStyle>
    <tableStyle count="2" pivot="0" name="early stage Li-style 2">
      <tableStyleElement dxfId="2" type="firstRowStripe"/>
      <tableStyleElement dxfId="3" type="secondRowStripe"/>
    </tableStyle>
    <tableStyle count="3" pivot="0" name="Early stage Cu-style">
      <tableStyleElement dxfId="1" type="headerRow"/>
      <tableStyleElement dxfId="2" type="firstRowStripe"/>
      <tableStyleElement dxfId="3" type="secondRowStripe"/>
    </tableStyle>
    <tableStyle count="2" pivot="0" name="Early stage Cu-style 2">
      <tableStyleElement dxfId="3" type="firstRowStripe"/>
      <tableStyleElement dxfId="2" type="secondRowStripe"/>
    </tableStyle>
    <tableStyle count="3" pivot="0" name="advanced Cu-style">
      <tableStyleElement dxfId="1" type="headerRow"/>
      <tableStyleElement dxfId="2" type="firstRowStripe"/>
      <tableStyleElement dxfId="3" type="secondRowStripe"/>
    </tableStyle>
    <tableStyle count="2" pivot="0" name="advanced Cu-style 2">
      <tableStyleElement dxfId="2" type="firstRowStripe"/>
      <tableStyleElement dxfId="3" type="secondRowStripe"/>
    </tableStyle>
    <tableStyle count="2" pivot="0" name="advanced Cu-style 3">
      <tableStyleElement dxfId="3" type="firstRowStripe"/>
      <tableStyleElement dxfId="2" type="secondRowStripe"/>
    </tableStyle>
    <tableStyle count="2" pivot="0" name="advanced Cu-style 4">
      <tableStyleElement dxfId="3" type="firstRowStripe"/>
      <tableStyleElement dxfId="2" type="secondRowStripe"/>
    </tableStyle>
    <tableStyle count="3" pivot="0" name="early stage Au-style">
      <tableStyleElement dxfId="1" type="headerRow"/>
      <tableStyleElement dxfId="2" type="firstRowStripe"/>
      <tableStyleElement dxfId="3" type="secondRowStripe"/>
    </tableStyle>
    <tableStyle count="2" pivot="0" name="early stage Au-style 2">
      <tableStyleElement dxfId="3" type="firstRowStripe"/>
      <tableStyleElement dxfId="2" type="secondRowStripe"/>
    </tableStyle>
    <tableStyle count="2" pivot="0" name="early stage Au-style 3">
      <tableStyleElement dxfId="3" type="firstRowStripe"/>
      <tableStyleElement dxfId="2" type="secondRowStripe"/>
    </tableStyle>
    <tableStyle count="3" pivot="0" name="advanced Au-style">
      <tableStyleElement dxfId="1" type="headerRow"/>
      <tableStyleElement dxfId="2" type="firstRowStripe"/>
      <tableStyleElement dxfId="3" type="secondRowStripe"/>
    </tableStyle>
    <tableStyle count="2" pivot="0" name="advanced Au-style 2">
      <tableStyleElement dxfId="2" type="firstRowStripe"/>
      <tableStyleElement dxfId="3" type="secondRowStripe"/>
    </tableStyle>
    <tableStyle count="2" pivot="0" name="advanced Au-style 3">
      <tableStyleElement dxfId="2" type="firstRowStripe"/>
      <tableStyleElement dxfId="3" type="secondRowStripe"/>
    </tableStyle>
    <tableStyle count="2" pivot="0" name="advanced Au-style 4">
      <tableStyleElement dxfId="3" type="firstRowStripe"/>
      <tableStyleElement dxfId="2" type="secondRowStripe"/>
    </tableStyle>
    <tableStyle count="2" pivot="0" name="advanced Au-style 5">
      <tableStyleElement dxfId="3" type="firstRowStripe"/>
      <tableStyleElement dxfId="2" type="secondRowStripe"/>
    </tableStyle>
    <tableStyle count="2" pivot="0" name="advanced Au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L244" displayName="Table_1" 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xported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AL1" displayName="Table_10" name="Table_10" id="10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RE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2:AL8" displayName="Table_11" name="Table_11" id="1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REE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1:AL1" displayName="Table_12" name="Table_12" id="12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stage L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2:AL6" displayName="Table_13" name="Table_13" id="13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stage Li-style 2" showColumnStripes="0" showFirstColumn="1" showLastColumn="1" showRowStripes="1"/>
</table>
</file>

<file path=xl/tables/table14.xml><?xml version="1.0" encoding="utf-8"?>
<table xmlns="http://schemas.openxmlformats.org/spreadsheetml/2006/main" headerRowCount="0" ref="A1:AL1" displayName="Table_14" name="Table_14" id="14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L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2:AL13" displayName="Table_15" name="Table_15" id="15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Li-style 2" showColumnStripes="0" showFirstColumn="1" showLastColumn="1" showRowStripes="1"/>
</table>
</file>

<file path=xl/tables/table16.xml><?xml version="1.0" encoding="utf-8"?>
<table xmlns="http://schemas.openxmlformats.org/spreadsheetml/2006/main" headerRowCount="0" ref="A1:AL1" displayName="Table_16" name="Table_16" id="16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C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5:AL20" displayName="Table_17" name="Table_17" id="17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Cu-style 2" showColumnStripes="0" showFirstColumn="1" showLastColumn="1" showRowStripes="1"/>
</table>
</file>

<file path=xl/tables/table18.xml><?xml version="1.0" encoding="utf-8"?>
<table xmlns="http://schemas.openxmlformats.org/spreadsheetml/2006/main" headerRowCount="0" ref="A1:AL1" displayName="Table_18" name="Table_18" id="18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C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2:AL8" displayName="Table_19" name="Table_19" id="19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Cu-style 2" showColumnStripes="0" showFirstColumn="1" showLastColumn="1" showRowStripes="1"/>
</table>
</file>

<file path=xl/tables/table2.xml><?xml version="1.0" encoding="utf-8"?>
<table xmlns="http://schemas.openxmlformats.org/spreadsheetml/2006/main" headerRowCount="0" ref="A1:AL1" displayName="Table_2" name="Table_2" id="2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S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9:AL16" displayName="Table_20" name="Table_20" id="20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Cu-style 3" showColumnStripes="0" showFirstColumn="1" showLastColumn="1" showRowStripes="1"/>
</table>
</file>

<file path=xl/tables/table21.xml><?xml version="1.0" encoding="utf-8"?>
<table xmlns="http://schemas.openxmlformats.org/spreadsheetml/2006/main" headerRowCount="0" ref="Z23:AA24" displayName="Table_21" name="Table_21" id="21">
  <tableColumns count="2">
    <tableColumn name="Column1" id="1"/>
    <tableColumn name="Column2" id="2"/>
  </tableColumns>
  <tableStyleInfo name="advanced Cu-style 4" showColumnStripes="0" showFirstColumn="1" showLastColumn="1" showRowStripes="1"/>
</table>
</file>

<file path=xl/tables/table22.xml><?xml version="1.0" encoding="utf-8"?>
<table xmlns="http://schemas.openxmlformats.org/spreadsheetml/2006/main" headerRowCount="0" ref="A1:AL1" displayName="Table_22" name="Table_22" id="22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A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A2:AL38" displayName="Table_23" name="Table_23" id="23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Au-style 2" showColumnStripes="0" showFirstColumn="1" showLastColumn="1" showRowStripes="1"/>
</table>
</file>

<file path=xl/tables/table24.xml><?xml version="1.0" encoding="utf-8"?>
<table xmlns="http://schemas.openxmlformats.org/spreadsheetml/2006/main" headerRowCount="0" ref="A45:AL49" displayName="Table_24" name="Table_24" id="24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Au-style 3" showColumnStripes="0" showFirstColumn="1" showLastColumn="1" showRowStripes="1"/>
</table>
</file>

<file path=xl/tables/table25.xml><?xml version="1.0" encoding="utf-8"?>
<table xmlns="http://schemas.openxmlformats.org/spreadsheetml/2006/main" headerRowCount="0" ref="A1:AL1" displayName="Table_25" name="Table_25" id="25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A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A2:AL46" displayName="Table_26" name="Table_26" id="26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Au-style 2" showColumnStripes="0" showFirstColumn="1" showLastColumn="1" showRowStripes="1"/>
</table>
</file>

<file path=xl/tables/table27.xml><?xml version="1.0" encoding="utf-8"?>
<table xmlns="http://schemas.openxmlformats.org/spreadsheetml/2006/main" headerRowCount="0" ref="A47:AL52" displayName="Table_27" name="Table_27" id="27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Au-style 3" showColumnStripes="0" showFirstColumn="1" showLastColumn="1" showRowStripes="1"/>
</table>
</file>

<file path=xl/tables/table28.xml><?xml version="1.0" encoding="utf-8"?>
<table xmlns="http://schemas.openxmlformats.org/spreadsheetml/2006/main" headerRowCount="0" ref="A53:AL54" displayName="Table_28" name="Table_28" id="28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Au-style 4" showColumnStripes="0" showFirstColumn="1" showLastColumn="1" showRowStripes="1"/>
</table>
</file>

<file path=xl/tables/table29.xml><?xml version="1.0" encoding="utf-8"?>
<table xmlns="http://schemas.openxmlformats.org/spreadsheetml/2006/main" headerRowCount="0" ref="A55:AL55" displayName="Table_29" name="Table_29" id="29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Au-style 5" showColumnStripes="0" showFirstColumn="1" showLastColumn="1" showRowStripes="1"/>
</table>
</file>

<file path=xl/tables/table3.xml><?xml version="1.0" encoding="utf-8"?>
<table xmlns="http://schemas.openxmlformats.org/spreadsheetml/2006/main" headerRowCount="0" ref="A2:AL7" displayName="Table_3" name="Table_3" id="3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Sn-style 2" showColumnStripes="0" showFirstColumn="1" showLastColumn="1" showRowStripes="1"/>
</table>
</file>

<file path=xl/tables/table30.xml><?xml version="1.0" encoding="utf-8"?>
<table xmlns="http://schemas.openxmlformats.org/spreadsheetml/2006/main" headerRowCount="0" ref="Z63:AA64" displayName="Table_30" name="Table_30" id="30">
  <tableColumns count="2">
    <tableColumn name="Column1" id="1"/>
    <tableColumn name="Column2" id="2"/>
  </tableColumns>
  <tableStyleInfo name="advanced Au-style 6" showColumnStripes="0" showFirstColumn="1" showLastColumn="1" showRowStripes="1"/>
</table>
</file>

<file path=xl/tables/table4.xml><?xml version="1.0" encoding="utf-8"?>
<table xmlns="http://schemas.openxmlformats.org/spreadsheetml/2006/main" headerRowCount="0" ref="A1:AL1" displayName="Table_4" name="Table_4" id="4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S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AL14" displayName="Table_5" name="Table_5" id="5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Sb-style 2" showColumnStripes="0" showFirstColumn="1" showLastColumn="1" showRowStripes="1"/>
</table>
</file>

<file path=xl/tables/table6.xml><?xml version="1.0" encoding="utf-8"?>
<table xmlns="http://schemas.openxmlformats.org/spreadsheetml/2006/main" headerRowCount="0" ref="A1:AL1" displayName="Table_6" name="Table_6" id="6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stage 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:AL6" displayName="Table_7" name="Table_7" id="7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advanced stage U-style 2" showColumnStripes="0" showFirstColumn="1" showLastColumn="1" showRowStripes="1"/>
</table>
</file>

<file path=xl/tables/table8.xml><?xml version="1.0" encoding="utf-8"?>
<table xmlns="http://schemas.openxmlformats.org/spreadsheetml/2006/main" headerRowCount="0" ref="A1:AL1" displayName="Table_8" name="Table_8" id="8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:AL13" displayName="Table_9" name="Table_9" id="9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arly stage U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mininghub.com/article/56668" TargetMode="External"/><Relationship Id="rId10" Type="http://schemas.openxmlformats.org/officeDocument/2006/relationships/hyperlink" Target="https://app.mininghub.com/article/82811" TargetMode="External"/><Relationship Id="rId13" Type="http://schemas.openxmlformats.org/officeDocument/2006/relationships/hyperlink" Target="https://app.mininghub.com/article/90975" TargetMode="External"/><Relationship Id="rId12" Type="http://schemas.openxmlformats.org/officeDocument/2006/relationships/hyperlink" Target="https://app.mininghub.com/article/86698" TargetMode="External"/><Relationship Id="rId1" Type="http://schemas.openxmlformats.org/officeDocument/2006/relationships/hyperlink" Target="https://app.mininghub.com/article/90687" TargetMode="External"/><Relationship Id="rId2" Type="http://schemas.openxmlformats.org/officeDocument/2006/relationships/hyperlink" Target="https://app.mininghub.com/article/30145" TargetMode="External"/><Relationship Id="rId3" Type="http://schemas.openxmlformats.org/officeDocument/2006/relationships/hyperlink" Target="https://app.mininghub.com/article/98825" TargetMode="External"/><Relationship Id="rId4" Type="http://schemas.openxmlformats.org/officeDocument/2006/relationships/hyperlink" Target="https://app.mininghub.com/article/79533" TargetMode="External"/><Relationship Id="rId9" Type="http://schemas.openxmlformats.org/officeDocument/2006/relationships/hyperlink" Target="https://app.mininghub.com/article/82270" TargetMode="External"/><Relationship Id="rId15" Type="http://schemas.openxmlformats.org/officeDocument/2006/relationships/hyperlink" Target="https://app.mininghub.com/article/89470" TargetMode="External"/><Relationship Id="rId14" Type="http://schemas.openxmlformats.org/officeDocument/2006/relationships/hyperlink" Target="https://app.mininghub.com/article/56120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app.mininghub.com/article/73046" TargetMode="External"/><Relationship Id="rId5" Type="http://schemas.openxmlformats.org/officeDocument/2006/relationships/hyperlink" Target="https://app.mininghub.com/article/87655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app.mininghub.com/article/87628" TargetMode="External"/><Relationship Id="rId7" Type="http://schemas.openxmlformats.org/officeDocument/2006/relationships/hyperlink" Target="https://app.mininghub.com/article/40175" TargetMode="External"/><Relationship Id="rId8" Type="http://schemas.openxmlformats.org/officeDocument/2006/relationships/hyperlink" Target="https://app.mininghub.com/article/69359" TargetMode="Externa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table" Target="../tables/table21.xml"/><Relationship Id="rId1" Type="http://schemas.openxmlformats.org/officeDocument/2006/relationships/hyperlink" Target="https://app.mininghub.com/article/36727" TargetMode="External"/><Relationship Id="rId2" Type="http://schemas.openxmlformats.org/officeDocument/2006/relationships/drawing" Target="../drawings/drawing10.xml"/><Relationship Id="rId9" Type="http://schemas.openxmlformats.org/officeDocument/2006/relationships/table" Target="../tables/table20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/Relationships>
</file>

<file path=xl/worksheets/_rels/sheet11.xml.rels><?xml version="1.0" encoding="UTF-8" standalone="yes"?><Relationships xmlns="http://schemas.openxmlformats.org/package/2006/relationships"><Relationship Id="rId10" Type="http://schemas.openxmlformats.org/officeDocument/2006/relationships/table" Target="../tables/table24.xml"/><Relationship Id="rId1" Type="http://schemas.openxmlformats.org/officeDocument/2006/relationships/hyperlink" Target="https://app.mininghub.com/article/87655" TargetMode="External"/><Relationship Id="rId2" Type="http://schemas.openxmlformats.org/officeDocument/2006/relationships/hyperlink" Target="https://app.mininghub.com/article/87628" TargetMode="External"/><Relationship Id="rId3" Type="http://schemas.openxmlformats.org/officeDocument/2006/relationships/hyperlink" Target="https://app.mininghub.com/article/40175" TargetMode="External"/><Relationship Id="rId4" Type="http://schemas.openxmlformats.org/officeDocument/2006/relationships/drawing" Target="../drawings/drawing11.xml"/><Relationship Id="rId9" Type="http://schemas.openxmlformats.org/officeDocument/2006/relationships/table" Target="../tables/table23.xml"/><Relationship Id="rId8" Type="http://schemas.openxmlformats.org/officeDocument/2006/relationships/table" Target="../tables/table22.xml"/></Relationships>
</file>

<file path=xl/worksheets/_rels/sheet12.xml.rels><?xml version="1.0" encoding="UTF-8" standalone="yes"?><Relationships xmlns="http://schemas.openxmlformats.org/package/2006/relationships"><Relationship Id="rId13" Type="http://schemas.openxmlformats.org/officeDocument/2006/relationships/table" Target="../tables/table25.xml"/><Relationship Id="rId1" Type="http://schemas.openxmlformats.org/officeDocument/2006/relationships/hyperlink" Target="https://app.mininghub.com/article/90687" TargetMode="External"/><Relationship Id="rId2" Type="http://schemas.openxmlformats.org/officeDocument/2006/relationships/hyperlink" Target="https://app.mininghub.com/article/30145" TargetMode="External"/><Relationship Id="rId3" Type="http://schemas.openxmlformats.org/officeDocument/2006/relationships/hyperlink" Target="https://app.mininghub.com/article/98825" TargetMode="External"/><Relationship Id="rId4" Type="http://schemas.openxmlformats.org/officeDocument/2006/relationships/hyperlink" Target="https://app.mininghub.com/article/79533" TargetMode="External"/><Relationship Id="rId15" Type="http://schemas.openxmlformats.org/officeDocument/2006/relationships/table" Target="../tables/table27.xml"/><Relationship Id="rId14" Type="http://schemas.openxmlformats.org/officeDocument/2006/relationships/table" Target="../tables/table26.xml"/><Relationship Id="rId17" Type="http://schemas.openxmlformats.org/officeDocument/2006/relationships/table" Target="../tables/table29.xml"/><Relationship Id="rId16" Type="http://schemas.openxmlformats.org/officeDocument/2006/relationships/table" Target="../tables/table28.xml"/><Relationship Id="rId5" Type="http://schemas.openxmlformats.org/officeDocument/2006/relationships/hyperlink" Target="https://app.mininghub.com/article/69359" TargetMode="External"/><Relationship Id="rId6" Type="http://schemas.openxmlformats.org/officeDocument/2006/relationships/drawing" Target="../drawings/drawing12.xml"/><Relationship Id="rId18" Type="http://schemas.openxmlformats.org/officeDocument/2006/relationships/table" Target="../tables/table3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29"/>
    <col customWidth="1" min="2" max="2" width="15.29"/>
    <col customWidth="1" min="3" max="3" width="43.0"/>
    <col customWidth="1" min="4" max="4" width="19.86"/>
    <col customWidth="1" min="5" max="5" width="20.86"/>
    <col customWidth="1" min="6" max="6" width="71.71"/>
    <col customWidth="1" min="7" max="7" width="22.71"/>
    <col customWidth="1" min="8" max="8" width="30.0"/>
    <col customWidth="1" min="9" max="9" width="29.57"/>
    <col customWidth="1" min="10" max="10" width="15.57"/>
    <col customWidth="1" min="11" max="11" width="15.43"/>
    <col customWidth="1" min="12" max="12" width="40.0"/>
    <col customWidth="1" min="13" max="13" width="20.86"/>
    <col customWidth="1" min="14" max="15" width="30.0"/>
    <col customWidth="1" min="16" max="17" width="40.0"/>
    <col customWidth="1" min="18" max="19" width="43.0"/>
    <col customWidth="1" min="20" max="20" width="28.43"/>
    <col customWidth="1" min="21" max="21" width="41.29"/>
    <col customWidth="1" min="22" max="22" width="43.0"/>
    <col customWidth="1" min="23" max="23" width="29.43"/>
    <col customWidth="1" min="24" max="24" width="24.29"/>
    <col customWidth="1" min="25" max="25" width="207.14"/>
    <col customWidth="1" min="26" max="27" width="22.0"/>
    <col customWidth="1" min="28" max="28" width="31.14"/>
    <col customWidth="1" min="29" max="29" width="33.43"/>
    <col customWidth="1" min="30" max="30" width="22.0"/>
    <col customWidth="1" min="31" max="31" width="36.0"/>
    <col customWidth="1" min="32" max="32" width="20.43"/>
    <col customWidth="1" min="33" max="33" width="35.43"/>
    <col customWidth="1" min="34" max="34" width="23.29"/>
    <col customWidth="1" min="35" max="35" width="27.0"/>
    <col customWidth="1" min="36" max="36" width="20.0"/>
    <col customWidth="1" min="37" max="37" width="12.43"/>
    <col customWidth="1" min="38" max="38" width="22.29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/>
      <c r="G2" s="7" t="s">
        <v>38</v>
      </c>
      <c r="H2" s="7" t="s">
        <v>39</v>
      </c>
      <c r="I2" s="7" t="s">
        <v>40</v>
      </c>
      <c r="J2" s="7">
        <v>116.82106283873901</v>
      </c>
      <c r="K2" s="7">
        <v>-21.109465473780165</v>
      </c>
      <c r="L2" s="7" t="s">
        <v>41</v>
      </c>
      <c r="M2" s="7" t="s">
        <v>42</v>
      </c>
      <c r="N2" s="7" t="s">
        <v>43</v>
      </c>
      <c r="O2" s="7" t="s">
        <v>43</v>
      </c>
      <c r="P2" s="7"/>
      <c r="Q2" s="7"/>
      <c r="R2" s="7" t="s">
        <v>44</v>
      </c>
      <c r="S2" s="7" t="s">
        <v>45</v>
      </c>
      <c r="T2" s="8">
        <v>18000.0</v>
      </c>
      <c r="U2" s="7" t="s">
        <v>46</v>
      </c>
      <c r="V2" s="7" t="s">
        <v>47</v>
      </c>
      <c r="W2" s="7"/>
      <c r="X2" s="9">
        <v>0.7</v>
      </c>
      <c r="Y2" s="7" t="s">
        <v>48</v>
      </c>
      <c r="Z2" s="7"/>
      <c r="AA2" s="10">
        <f>AB2+AC2+AH2</f>
        <v>11056350</v>
      </c>
      <c r="AB2" s="7">
        <v>1750000.0</v>
      </c>
      <c r="AC2" s="7">
        <v>660000.0</v>
      </c>
      <c r="AD2" s="7"/>
      <c r="AE2" s="7">
        <f t="shared" ref="AE2:AE4" si="1">AB2+AF2</f>
        <v>1750000</v>
      </c>
      <c r="AF2" s="7"/>
      <c r="AG2" s="10">
        <f t="shared" ref="AG2:AG48" si="2">AB2+AH2</f>
        <v>10396350</v>
      </c>
      <c r="AH2" s="10">
        <f t="shared" ref="AH2:AH48" si="3">AI2*AJ2</f>
        <v>8646350</v>
      </c>
      <c r="AI2" s="7">
        <v>4.45E7</v>
      </c>
      <c r="AJ2" s="7">
        <v>0.1943</v>
      </c>
      <c r="AK2" s="7">
        <v>2.0</v>
      </c>
      <c r="AL2" s="11">
        <v>45739.76459490741</v>
      </c>
    </row>
    <row r="3" ht="12.0" customHeight="1">
      <c r="A3" s="6" t="s">
        <v>49</v>
      </c>
      <c r="B3" s="7" t="s">
        <v>50</v>
      </c>
      <c r="C3" s="7" t="s">
        <v>51</v>
      </c>
      <c r="D3" s="7" t="s">
        <v>52</v>
      </c>
      <c r="E3" s="7" t="s">
        <v>53</v>
      </c>
      <c r="F3" s="7" t="s">
        <v>54</v>
      </c>
      <c r="G3" s="7" t="s">
        <v>38</v>
      </c>
      <c r="H3" s="7" t="s">
        <v>39</v>
      </c>
      <c r="I3" s="7" t="s">
        <v>40</v>
      </c>
      <c r="J3" s="7">
        <v>115.52500000000013</v>
      </c>
      <c r="K3" s="7">
        <v>-22.9499999993249</v>
      </c>
      <c r="L3" s="7" t="s">
        <v>41</v>
      </c>
      <c r="M3" s="7" t="s">
        <v>55</v>
      </c>
      <c r="N3" s="7" t="s">
        <v>56</v>
      </c>
      <c r="O3" s="7" t="s">
        <v>56</v>
      </c>
      <c r="P3" s="7"/>
      <c r="Q3" s="7"/>
      <c r="R3" s="7" t="s">
        <v>57</v>
      </c>
      <c r="S3" s="7" t="s">
        <v>58</v>
      </c>
      <c r="T3" s="8">
        <v>3150.0</v>
      </c>
      <c r="U3" s="7" t="s">
        <v>59</v>
      </c>
      <c r="V3" s="7" t="s">
        <v>60</v>
      </c>
      <c r="W3" s="7"/>
      <c r="X3" s="9">
        <v>1.0</v>
      </c>
      <c r="Y3" s="7" t="s">
        <v>61</v>
      </c>
      <c r="Z3" s="7"/>
      <c r="AA3" s="7">
        <f t="shared" ref="AA3:AA4" si="4">AB3+AC3+AF3</f>
        <v>95050</v>
      </c>
      <c r="AB3" s="7">
        <v>10050.0</v>
      </c>
      <c r="AC3" s="7"/>
      <c r="AD3" s="7"/>
      <c r="AE3" s="7">
        <f t="shared" si="1"/>
        <v>95050</v>
      </c>
      <c r="AF3" s="7">
        <v>85000.0</v>
      </c>
      <c r="AG3" s="10">
        <f t="shared" si="2"/>
        <v>10050</v>
      </c>
      <c r="AH3" s="10">
        <f t="shared" si="3"/>
        <v>0</v>
      </c>
      <c r="AI3" s="7"/>
      <c r="AJ3" s="7">
        <v>0.00536</v>
      </c>
      <c r="AK3" s="7"/>
      <c r="AL3" s="11">
        <v>45615.6378587963</v>
      </c>
    </row>
    <row r="4" ht="12.0" customHeight="1">
      <c r="A4" s="6" t="s">
        <v>62</v>
      </c>
      <c r="B4" s="7" t="s">
        <v>63</v>
      </c>
      <c r="C4" s="7" t="s">
        <v>64</v>
      </c>
      <c r="D4" s="7" t="s">
        <v>65</v>
      </c>
      <c r="E4" s="7" t="s">
        <v>66</v>
      </c>
      <c r="F4" s="7" t="s">
        <v>67</v>
      </c>
      <c r="G4" s="7" t="s">
        <v>38</v>
      </c>
      <c r="H4" s="7" t="s">
        <v>39</v>
      </c>
      <c r="I4" s="7" t="s">
        <v>68</v>
      </c>
      <c r="J4" s="7">
        <v>148.06433333358567</v>
      </c>
      <c r="K4" s="7">
        <v>-35.284333330000074</v>
      </c>
      <c r="L4" s="7" t="s">
        <v>41</v>
      </c>
      <c r="M4" s="7" t="s">
        <v>69</v>
      </c>
      <c r="N4" s="7" t="s">
        <v>70</v>
      </c>
      <c r="O4" s="7" t="s">
        <v>70</v>
      </c>
      <c r="P4" s="7"/>
      <c r="Q4" s="7"/>
      <c r="R4" s="7" t="s">
        <v>71</v>
      </c>
      <c r="S4" s="7" t="s">
        <v>58</v>
      </c>
      <c r="T4" s="8">
        <v>7000.0</v>
      </c>
      <c r="U4" s="12" t="s">
        <v>72</v>
      </c>
      <c r="V4" s="7" t="s">
        <v>73</v>
      </c>
      <c r="W4" s="7"/>
      <c r="X4" s="9">
        <v>0.51</v>
      </c>
      <c r="Y4" s="7" t="s">
        <v>74</v>
      </c>
      <c r="Z4" s="7"/>
      <c r="AA4" s="7">
        <f t="shared" si="4"/>
        <v>810000</v>
      </c>
      <c r="AB4" s="7">
        <v>300000.0</v>
      </c>
      <c r="AC4" s="7">
        <v>210000.0</v>
      </c>
      <c r="AD4" s="7"/>
      <c r="AE4" s="7">
        <f t="shared" si="1"/>
        <v>600000</v>
      </c>
      <c r="AF4" s="7">
        <v>300000.0</v>
      </c>
      <c r="AG4" s="10">
        <f t="shared" si="2"/>
        <v>300000</v>
      </c>
      <c r="AH4" s="10">
        <f t="shared" si="3"/>
        <v>0</v>
      </c>
      <c r="AI4" s="7"/>
      <c r="AJ4" s="7">
        <v>0.004690000000000001</v>
      </c>
      <c r="AK4" s="7"/>
      <c r="AL4" s="11">
        <v>45727.6965625</v>
      </c>
    </row>
    <row r="5" ht="12.0" customHeight="1">
      <c r="A5" s="6" t="s">
        <v>75</v>
      </c>
      <c r="B5" s="7" t="s">
        <v>76</v>
      </c>
      <c r="C5" s="7" t="s">
        <v>77</v>
      </c>
      <c r="D5" s="7" t="s">
        <v>78</v>
      </c>
      <c r="E5" s="7" t="s">
        <v>66</v>
      </c>
      <c r="F5" s="7"/>
      <c r="G5" s="7" t="s">
        <v>38</v>
      </c>
      <c r="H5" s="7" t="s">
        <v>39</v>
      </c>
      <c r="I5" s="7" t="s">
        <v>79</v>
      </c>
      <c r="J5" s="7">
        <v>142.93134286686063</v>
      </c>
      <c r="K5" s="7">
        <v>-36.59741028861784</v>
      </c>
      <c r="L5" s="7" t="s">
        <v>41</v>
      </c>
      <c r="M5" s="7" t="s">
        <v>80</v>
      </c>
      <c r="N5" s="7" t="s">
        <v>81</v>
      </c>
      <c r="O5" s="7" t="s">
        <v>81</v>
      </c>
      <c r="P5" s="7"/>
      <c r="Q5" s="7"/>
      <c r="R5" s="7" t="s">
        <v>82</v>
      </c>
      <c r="S5" s="7" t="s">
        <v>58</v>
      </c>
      <c r="T5" s="8">
        <v>106300.0</v>
      </c>
      <c r="U5" s="7" t="s">
        <v>83</v>
      </c>
      <c r="V5" s="7" t="s">
        <v>84</v>
      </c>
      <c r="W5" s="7"/>
      <c r="X5" s="9">
        <v>1.0</v>
      </c>
      <c r="Y5" s="7" t="s">
        <v>85</v>
      </c>
      <c r="Z5" s="7"/>
      <c r="AA5" s="10">
        <f>AB5+AC5+AH5</f>
        <v>1145170</v>
      </c>
      <c r="AB5" s="7">
        <f>1225000*0.67</f>
        <v>820750</v>
      </c>
      <c r="AC5" s="7">
        <v>240000.0</v>
      </c>
      <c r="AD5" s="7"/>
      <c r="AE5" s="7"/>
      <c r="AF5" s="7"/>
      <c r="AG5" s="10">
        <f t="shared" si="2"/>
        <v>905170</v>
      </c>
      <c r="AH5" s="10">
        <f t="shared" si="3"/>
        <v>84420</v>
      </c>
      <c r="AI5" s="7">
        <v>700000.0</v>
      </c>
      <c r="AJ5" s="7">
        <v>0.1206</v>
      </c>
      <c r="AK5" s="7"/>
      <c r="AL5" s="11">
        <v>45742.725011574075</v>
      </c>
    </row>
    <row r="6" ht="12.0" customHeight="1">
      <c r="A6" s="6" t="s">
        <v>86</v>
      </c>
      <c r="B6" s="7" t="s">
        <v>87</v>
      </c>
      <c r="C6" s="7" t="s">
        <v>88</v>
      </c>
      <c r="D6" s="7" t="s">
        <v>89</v>
      </c>
      <c r="E6" s="7" t="s">
        <v>66</v>
      </c>
      <c r="F6" s="13"/>
      <c r="G6" s="7" t="s">
        <v>38</v>
      </c>
      <c r="H6" s="7" t="s">
        <v>39</v>
      </c>
      <c r="I6" s="7" t="s">
        <v>40</v>
      </c>
      <c r="J6" s="7">
        <v>120.2145678368543</v>
      </c>
      <c r="K6" s="7">
        <v>-20.77727192049473</v>
      </c>
      <c r="L6" s="7" t="s">
        <v>41</v>
      </c>
      <c r="M6" s="7" t="s">
        <v>41</v>
      </c>
      <c r="N6" s="7" t="s">
        <v>90</v>
      </c>
      <c r="O6" s="7" t="s">
        <v>90</v>
      </c>
      <c r="P6" s="7" t="s">
        <v>91</v>
      </c>
      <c r="Q6" s="7" t="s">
        <v>91</v>
      </c>
      <c r="R6" s="7" t="s">
        <v>92</v>
      </c>
      <c r="S6" s="7" t="s">
        <v>58</v>
      </c>
      <c r="T6" s="8">
        <v>0.0</v>
      </c>
      <c r="U6" s="12" t="s">
        <v>93</v>
      </c>
      <c r="V6" s="7" t="s">
        <v>94</v>
      </c>
      <c r="W6" s="7"/>
      <c r="X6" s="7"/>
      <c r="Y6" s="7"/>
      <c r="Z6" s="7"/>
      <c r="AA6" s="7"/>
      <c r="AB6" s="7"/>
      <c r="AC6" s="7"/>
      <c r="AD6" s="7"/>
      <c r="AE6" s="7">
        <f t="shared" ref="AE6:AE68" si="5">AB6+AF6</f>
        <v>0</v>
      </c>
      <c r="AF6" s="7"/>
      <c r="AG6" s="10">
        <f t="shared" si="2"/>
        <v>0</v>
      </c>
      <c r="AH6" s="10">
        <f t="shared" si="3"/>
        <v>0</v>
      </c>
      <c r="AI6" s="7">
        <v>8431.0</v>
      </c>
      <c r="AJ6" s="7">
        <v>0.0</v>
      </c>
      <c r="AK6" s="7"/>
      <c r="AL6" s="11">
        <v>44946.339583333334</v>
      </c>
    </row>
    <row r="7" ht="12.0" customHeight="1">
      <c r="A7" s="6" t="s">
        <v>95</v>
      </c>
      <c r="B7" s="7" t="s">
        <v>96</v>
      </c>
      <c r="C7" s="7" t="s">
        <v>97</v>
      </c>
      <c r="D7" s="7" t="s">
        <v>98</v>
      </c>
      <c r="E7" s="7" t="s">
        <v>66</v>
      </c>
      <c r="F7" s="7" t="s">
        <v>99</v>
      </c>
      <c r="G7" s="7" t="s">
        <v>38</v>
      </c>
      <c r="H7" s="7" t="s">
        <v>39</v>
      </c>
      <c r="I7" s="7" t="s">
        <v>100</v>
      </c>
      <c r="J7" s="7">
        <v>146.82795010315473</v>
      </c>
      <c r="K7" s="7">
        <v>-41.223397352881435</v>
      </c>
      <c r="L7" s="7" t="s">
        <v>41</v>
      </c>
      <c r="M7" s="7" t="s">
        <v>101</v>
      </c>
      <c r="N7" s="7" t="s">
        <v>102</v>
      </c>
      <c r="O7" s="7" t="s">
        <v>102</v>
      </c>
      <c r="P7" s="7"/>
      <c r="Q7" s="7"/>
      <c r="R7" s="7" t="s">
        <v>103</v>
      </c>
      <c r="S7" s="7" t="s">
        <v>58</v>
      </c>
      <c r="T7" s="8">
        <v>4000.0</v>
      </c>
      <c r="U7" s="7" t="s">
        <v>104</v>
      </c>
      <c r="V7" s="7" t="s">
        <v>105</v>
      </c>
      <c r="W7" s="7"/>
      <c r="X7" s="9">
        <v>1.0</v>
      </c>
      <c r="Y7" s="7" t="s">
        <v>106</v>
      </c>
      <c r="Z7" s="7"/>
      <c r="AA7" s="7"/>
      <c r="AB7" s="7"/>
      <c r="AC7" s="7"/>
      <c r="AD7" s="7"/>
      <c r="AE7" s="7">
        <f t="shared" si="5"/>
        <v>0</v>
      </c>
      <c r="AF7" s="7"/>
      <c r="AG7" s="10">
        <f t="shared" si="2"/>
        <v>0</v>
      </c>
      <c r="AH7" s="10">
        <f t="shared" si="3"/>
        <v>0</v>
      </c>
      <c r="AI7" s="7"/>
      <c r="AJ7" s="7">
        <v>0.0201</v>
      </c>
      <c r="AK7" s="7"/>
      <c r="AL7" s="11">
        <v>45526.72162037037</v>
      </c>
    </row>
    <row r="8" ht="12.0" customHeight="1">
      <c r="A8" s="6" t="s">
        <v>107</v>
      </c>
      <c r="B8" s="7" t="s">
        <v>108</v>
      </c>
      <c r="C8" s="7" t="s">
        <v>109</v>
      </c>
      <c r="D8" s="7" t="s">
        <v>110</v>
      </c>
      <c r="E8" s="7" t="s">
        <v>66</v>
      </c>
      <c r="F8" s="7" t="s">
        <v>111</v>
      </c>
      <c r="G8" s="7" t="s">
        <v>38</v>
      </c>
      <c r="H8" s="7" t="s">
        <v>39</v>
      </c>
      <c r="I8" s="7" t="s">
        <v>40</v>
      </c>
      <c r="J8" s="7">
        <v>120.9678697303101</v>
      </c>
      <c r="K8" s="7">
        <v>-31.07768054545167</v>
      </c>
      <c r="L8" s="7" t="s">
        <v>41</v>
      </c>
      <c r="M8" s="7" t="s">
        <v>112</v>
      </c>
      <c r="N8" s="7" t="s">
        <v>113</v>
      </c>
      <c r="O8" s="7"/>
      <c r="P8" s="7"/>
      <c r="Q8" s="7"/>
      <c r="R8" s="7" t="s">
        <v>114</v>
      </c>
      <c r="S8" s="7" t="s">
        <v>58</v>
      </c>
      <c r="T8" s="8">
        <v>29300.0</v>
      </c>
      <c r="U8" s="12" t="s">
        <v>115</v>
      </c>
      <c r="V8" s="7" t="s">
        <v>116</v>
      </c>
      <c r="W8" s="7"/>
      <c r="X8" s="9">
        <v>1.0</v>
      </c>
      <c r="Y8" s="7"/>
      <c r="Z8" s="7"/>
      <c r="AA8" s="7">
        <f>AB8+AC8+AF8</f>
        <v>125600000</v>
      </c>
      <c r="AB8" s="7">
        <v>1.03E8</v>
      </c>
      <c r="AC8" s="7">
        <v>1.6E7</v>
      </c>
      <c r="AD8" s="7">
        <f>AB8+AF8</f>
        <v>109600000</v>
      </c>
      <c r="AE8" s="7">
        <f t="shared" si="5"/>
        <v>109600000</v>
      </c>
      <c r="AF8" s="7">
        <v>6600000.0</v>
      </c>
      <c r="AG8" s="10">
        <f t="shared" si="2"/>
        <v>103000000</v>
      </c>
      <c r="AH8" s="10">
        <f t="shared" si="3"/>
        <v>0</v>
      </c>
      <c r="AI8" s="7"/>
      <c r="AJ8" s="7">
        <v>0.08710000000000001</v>
      </c>
      <c r="AK8" s="7"/>
      <c r="AL8" s="11">
        <v>45753.68025462963</v>
      </c>
    </row>
    <row r="9" ht="12.0" customHeight="1">
      <c r="A9" s="6" t="s">
        <v>117</v>
      </c>
      <c r="B9" s="7" t="s">
        <v>118</v>
      </c>
      <c r="C9" s="7" t="s">
        <v>119</v>
      </c>
      <c r="D9" s="7" t="s">
        <v>120</v>
      </c>
      <c r="E9" s="7" t="s">
        <v>66</v>
      </c>
      <c r="F9" s="7"/>
      <c r="G9" s="7" t="s">
        <v>38</v>
      </c>
      <c r="H9" s="7" t="s">
        <v>39</v>
      </c>
      <c r="I9" s="7" t="s">
        <v>40</v>
      </c>
      <c r="J9" s="7">
        <v>127.81368776161271</v>
      </c>
      <c r="K9" s="7">
        <v>-18.43174191898515</v>
      </c>
      <c r="L9" s="7" t="s">
        <v>41</v>
      </c>
      <c r="M9" s="7" t="s">
        <v>121</v>
      </c>
      <c r="N9" s="7" t="s">
        <v>122</v>
      </c>
      <c r="O9" s="7" t="s">
        <v>123</v>
      </c>
      <c r="P9" s="7"/>
      <c r="Q9" s="7"/>
      <c r="R9" s="7" t="s">
        <v>124</v>
      </c>
      <c r="S9" s="7" t="s">
        <v>58</v>
      </c>
      <c r="T9" s="8">
        <v>0.0</v>
      </c>
      <c r="U9" s="12" t="s">
        <v>125</v>
      </c>
      <c r="V9" s="7" t="s">
        <v>126</v>
      </c>
      <c r="W9" s="7"/>
      <c r="X9" s="9">
        <v>1.0</v>
      </c>
      <c r="Y9" s="7" t="s">
        <v>127</v>
      </c>
      <c r="Z9" s="7"/>
      <c r="AA9" s="7">
        <f>AB9+AF9</f>
        <v>3350000</v>
      </c>
      <c r="AB9" s="7">
        <f>3250000*0.67</f>
        <v>2177500</v>
      </c>
      <c r="AC9" s="7"/>
      <c r="AD9" s="7">
        <v>5000000.0</v>
      </c>
      <c r="AE9" s="7">
        <f t="shared" si="5"/>
        <v>3350000</v>
      </c>
      <c r="AF9" s="7">
        <f>1750000*0.67</f>
        <v>1172500</v>
      </c>
      <c r="AG9" s="10">
        <f t="shared" si="2"/>
        <v>2177500</v>
      </c>
      <c r="AH9" s="10">
        <f t="shared" si="3"/>
        <v>0</v>
      </c>
      <c r="AI9" s="7"/>
      <c r="AJ9" s="7">
        <v>0.0</v>
      </c>
      <c r="AK9" s="7"/>
      <c r="AL9" s="11">
        <v>45616.87666666666</v>
      </c>
    </row>
    <row r="10" ht="12.0" customHeight="1">
      <c r="A10" s="6" t="s">
        <v>128</v>
      </c>
      <c r="B10" s="7" t="s">
        <v>129</v>
      </c>
      <c r="C10" s="7" t="s">
        <v>130</v>
      </c>
      <c r="D10" s="7" t="s">
        <v>131</v>
      </c>
      <c r="E10" s="7" t="s">
        <v>66</v>
      </c>
      <c r="F10" s="7"/>
      <c r="G10" s="7" t="s">
        <v>38</v>
      </c>
      <c r="H10" s="7" t="s">
        <v>39</v>
      </c>
      <c r="I10" s="7" t="s">
        <v>132</v>
      </c>
      <c r="J10" s="7">
        <v>140.69573934269576</v>
      </c>
      <c r="K10" s="7">
        <v>-20.943669634395675</v>
      </c>
      <c r="L10" s="7" t="s">
        <v>41</v>
      </c>
      <c r="M10" s="7" t="s">
        <v>133</v>
      </c>
      <c r="N10" s="7" t="s">
        <v>134</v>
      </c>
      <c r="O10" s="7"/>
      <c r="P10" s="7"/>
      <c r="Q10" s="7"/>
      <c r="R10" s="7" t="s">
        <v>135</v>
      </c>
      <c r="S10" s="7" t="s">
        <v>58</v>
      </c>
      <c r="T10" s="8">
        <v>44700.0</v>
      </c>
      <c r="U10" s="7" t="s">
        <v>136</v>
      </c>
      <c r="V10" s="7" t="s">
        <v>137</v>
      </c>
      <c r="W10" s="7"/>
      <c r="X10" s="9">
        <v>0.5</v>
      </c>
      <c r="Y10" s="7" t="s">
        <v>138</v>
      </c>
      <c r="Z10" s="7"/>
      <c r="AA10" s="7">
        <f>AC10</f>
        <v>3300000</v>
      </c>
      <c r="AB10" s="7"/>
      <c r="AC10" s="7">
        <v>3300000.0</v>
      </c>
      <c r="AD10" s="7"/>
      <c r="AE10" s="7">
        <f t="shared" si="5"/>
        <v>0</v>
      </c>
      <c r="AF10" s="7"/>
      <c r="AG10" s="10">
        <f t="shared" si="2"/>
        <v>0</v>
      </c>
      <c r="AH10" s="10">
        <f t="shared" si="3"/>
        <v>0</v>
      </c>
      <c r="AI10" s="7"/>
      <c r="AJ10" s="7">
        <v>0.0</v>
      </c>
      <c r="AK10" s="7"/>
      <c r="AL10" s="11">
        <v>45719.6622800926</v>
      </c>
    </row>
    <row r="11" ht="12.0" customHeight="1">
      <c r="A11" s="6" t="s">
        <v>139</v>
      </c>
      <c r="B11" s="7" t="s">
        <v>140</v>
      </c>
      <c r="C11" s="7" t="s">
        <v>141</v>
      </c>
      <c r="D11" s="7" t="s">
        <v>142</v>
      </c>
      <c r="E11" s="7" t="s">
        <v>66</v>
      </c>
      <c r="F11" s="7"/>
      <c r="G11" s="7" t="s">
        <v>38</v>
      </c>
      <c r="H11" s="7" t="s">
        <v>39</v>
      </c>
      <c r="I11" s="7" t="s">
        <v>40</v>
      </c>
      <c r="J11" s="7">
        <v>119.4184865702663</v>
      </c>
      <c r="K11" s="7">
        <v>-23.790325655116092</v>
      </c>
      <c r="L11" s="7" t="s">
        <v>41</v>
      </c>
      <c r="M11" s="7" t="s">
        <v>143</v>
      </c>
      <c r="N11" s="7" t="s">
        <v>144</v>
      </c>
      <c r="O11" s="7" t="s">
        <v>144</v>
      </c>
      <c r="P11" s="7"/>
      <c r="Q11" s="7"/>
      <c r="R11" s="7" t="s">
        <v>145</v>
      </c>
      <c r="S11" s="7" t="s">
        <v>58</v>
      </c>
      <c r="T11" s="8">
        <v>27000.0</v>
      </c>
      <c r="U11" s="7" t="s">
        <v>146</v>
      </c>
      <c r="V11" s="7" t="s">
        <v>147</v>
      </c>
      <c r="W11" s="7"/>
      <c r="X11" s="9">
        <v>1.0</v>
      </c>
      <c r="Y11" s="7" t="s">
        <v>148</v>
      </c>
      <c r="Z11" s="7"/>
      <c r="AA11" s="7">
        <f>AB11+AF11</f>
        <v>2000000</v>
      </c>
      <c r="AB11" s="7">
        <v>1000000.0</v>
      </c>
      <c r="AC11" s="7"/>
      <c r="AD11" s="7"/>
      <c r="AE11" s="7">
        <f t="shared" si="5"/>
        <v>2000000</v>
      </c>
      <c r="AF11" s="7">
        <v>1000000.0</v>
      </c>
      <c r="AG11" s="10">
        <f t="shared" si="2"/>
        <v>1000000</v>
      </c>
      <c r="AH11" s="10">
        <f t="shared" si="3"/>
        <v>0</v>
      </c>
      <c r="AI11" s="7"/>
      <c r="AJ11" s="7">
        <v>6.284600000000001</v>
      </c>
      <c r="AK11" s="7">
        <v>1.0</v>
      </c>
      <c r="AL11" s="11">
        <v>45704.92078703704</v>
      </c>
    </row>
    <row r="12" ht="12.0" customHeight="1">
      <c r="A12" s="6" t="s">
        <v>149</v>
      </c>
      <c r="B12" s="7" t="s">
        <v>150</v>
      </c>
      <c r="C12" s="7" t="s">
        <v>151</v>
      </c>
      <c r="D12" s="7" t="s">
        <v>152</v>
      </c>
      <c r="E12" s="7" t="s">
        <v>66</v>
      </c>
      <c r="F12" s="7"/>
      <c r="G12" s="7" t="s">
        <v>38</v>
      </c>
      <c r="H12" s="7" t="s">
        <v>39</v>
      </c>
      <c r="I12" s="7" t="s">
        <v>132</v>
      </c>
      <c r="J12" s="7">
        <v>142.41050143918497</v>
      </c>
      <c r="K12" s="7">
        <v>-18.77952707958833</v>
      </c>
      <c r="L12" s="7" t="s">
        <v>41</v>
      </c>
      <c r="M12" s="7" t="s">
        <v>153</v>
      </c>
      <c r="N12" s="7" t="s">
        <v>154</v>
      </c>
      <c r="O12" s="7"/>
      <c r="P12" s="7"/>
      <c r="Q12" s="7"/>
      <c r="R12" s="7" t="s">
        <v>155</v>
      </c>
      <c r="S12" s="7" t="s">
        <v>58</v>
      </c>
      <c r="T12" s="8">
        <v>0.0</v>
      </c>
      <c r="U12" s="7" t="s">
        <v>156</v>
      </c>
      <c r="V12" s="7" t="s">
        <v>157</v>
      </c>
      <c r="W12" s="7"/>
      <c r="X12" s="9">
        <v>0.7</v>
      </c>
      <c r="Y12" s="7" t="s">
        <v>158</v>
      </c>
      <c r="Z12" s="7"/>
      <c r="AA12" s="7">
        <f>AB12</f>
        <v>830000</v>
      </c>
      <c r="AB12" s="7">
        <v>830000.0</v>
      </c>
      <c r="AC12" s="7"/>
      <c r="AD12" s="7"/>
      <c r="AE12" s="7">
        <f t="shared" si="5"/>
        <v>830000</v>
      </c>
      <c r="AF12" s="7"/>
      <c r="AG12" s="10">
        <f t="shared" si="2"/>
        <v>830000</v>
      </c>
      <c r="AH12" s="10">
        <f t="shared" si="3"/>
        <v>0</v>
      </c>
      <c r="AI12" s="7"/>
      <c r="AJ12" s="7">
        <v>0.0</v>
      </c>
      <c r="AK12" s="7">
        <v>1.0</v>
      </c>
      <c r="AL12" s="11">
        <v>45697.64299768519</v>
      </c>
    </row>
    <row r="13" ht="12.0" customHeight="1">
      <c r="A13" s="6" t="s">
        <v>159</v>
      </c>
      <c r="B13" s="7" t="s">
        <v>160</v>
      </c>
      <c r="C13" s="7" t="s">
        <v>161</v>
      </c>
      <c r="D13" s="7" t="s">
        <v>162</v>
      </c>
      <c r="E13" s="7" t="s">
        <v>66</v>
      </c>
      <c r="F13" s="7" t="s">
        <v>163</v>
      </c>
      <c r="G13" s="7" t="s">
        <v>38</v>
      </c>
      <c r="H13" s="7" t="s">
        <v>39</v>
      </c>
      <c r="I13" s="7" t="s">
        <v>40</v>
      </c>
      <c r="J13" s="7">
        <v>121.262520951808</v>
      </c>
      <c r="K13" s="7">
        <v>-30.335749803035586</v>
      </c>
      <c r="L13" s="7" t="s">
        <v>41</v>
      </c>
      <c r="M13" s="7" t="s">
        <v>164</v>
      </c>
      <c r="N13" s="7" t="s">
        <v>165</v>
      </c>
      <c r="O13" s="7" t="s">
        <v>165</v>
      </c>
      <c r="P13" s="7"/>
      <c r="Q13" s="7"/>
      <c r="R13" s="7" t="s">
        <v>166</v>
      </c>
      <c r="S13" s="7" t="s">
        <v>167</v>
      </c>
      <c r="T13" s="8">
        <v>0.0</v>
      </c>
      <c r="U13" s="7" t="s">
        <v>168</v>
      </c>
      <c r="V13" s="7" t="s">
        <v>169</v>
      </c>
      <c r="W13" s="7"/>
      <c r="X13" s="9">
        <v>1.0</v>
      </c>
      <c r="Y13" s="7" t="s">
        <v>170</v>
      </c>
      <c r="Z13" s="7"/>
      <c r="AA13" s="7"/>
      <c r="AB13" s="7"/>
      <c r="AC13" s="7"/>
      <c r="AD13" s="7"/>
      <c r="AE13" s="7">
        <f t="shared" si="5"/>
        <v>0</v>
      </c>
      <c r="AF13" s="7"/>
      <c r="AG13" s="10">
        <f t="shared" si="2"/>
        <v>0</v>
      </c>
      <c r="AH13" s="10">
        <f t="shared" si="3"/>
        <v>0</v>
      </c>
      <c r="AI13" s="7"/>
      <c r="AJ13" s="7">
        <v>0.00134</v>
      </c>
      <c r="AK13" s="7"/>
      <c r="AL13" s="11">
        <v>45638.69436342592</v>
      </c>
    </row>
    <row r="14" ht="12.0" customHeight="1">
      <c r="A14" s="6" t="s">
        <v>171</v>
      </c>
      <c r="B14" s="7" t="s">
        <v>172</v>
      </c>
      <c r="C14" s="7" t="s">
        <v>173</v>
      </c>
      <c r="D14" s="7" t="s">
        <v>174</v>
      </c>
      <c r="E14" s="7" t="s">
        <v>66</v>
      </c>
      <c r="F14" s="7" t="s">
        <v>175</v>
      </c>
      <c r="G14" s="7" t="s">
        <v>38</v>
      </c>
      <c r="H14" s="7" t="s">
        <v>39</v>
      </c>
      <c r="I14" s="7" t="s">
        <v>40</v>
      </c>
      <c r="J14" s="7">
        <v>116.23314207631502</v>
      </c>
      <c r="K14" s="7">
        <v>-25.340136612579794</v>
      </c>
      <c r="L14" s="7" t="s">
        <v>41</v>
      </c>
      <c r="M14" s="7" t="s">
        <v>176</v>
      </c>
      <c r="N14" s="7" t="s">
        <v>177</v>
      </c>
      <c r="O14" s="7" t="s">
        <v>177</v>
      </c>
      <c r="P14" s="7" t="s">
        <v>178</v>
      </c>
      <c r="Q14" s="7" t="s">
        <v>178</v>
      </c>
      <c r="R14" s="7" t="s">
        <v>179</v>
      </c>
      <c r="S14" s="7" t="s">
        <v>58</v>
      </c>
      <c r="T14" s="8">
        <v>89800.0</v>
      </c>
      <c r="U14" s="7" t="s">
        <v>180</v>
      </c>
      <c r="V14" s="7" t="s">
        <v>181</v>
      </c>
      <c r="W14" s="7"/>
      <c r="X14" s="9">
        <v>1.0</v>
      </c>
      <c r="Y14" s="7" t="s">
        <v>182</v>
      </c>
      <c r="Z14" s="7"/>
      <c r="AA14" s="10">
        <f t="shared" ref="AA14:AA21" si="6">AB14+AC14+AF14</f>
        <v>468225</v>
      </c>
      <c r="AB14" s="7">
        <f>670000/2</f>
        <v>335000</v>
      </c>
      <c r="AC14" s="7"/>
      <c r="AD14" s="7"/>
      <c r="AE14" s="10">
        <f t="shared" si="5"/>
        <v>468225</v>
      </c>
      <c r="AF14" s="10">
        <v>133224.99999999997</v>
      </c>
      <c r="AG14" s="10">
        <f t="shared" si="2"/>
        <v>468225</v>
      </c>
      <c r="AH14" s="10">
        <f t="shared" si="3"/>
        <v>133225</v>
      </c>
      <c r="AI14" s="7">
        <v>500000.0</v>
      </c>
      <c r="AJ14" s="7">
        <f>0.365*0.73</f>
        <v>0.26645</v>
      </c>
      <c r="AK14" s="7">
        <v>0.75</v>
      </c>
      <c r="AL14" s="11">
        <v>45701.763194444444</v>
      </c>
    </row>
    <row r="15" ht="12.0" customHeight="1">
      <c r="A15" s="6" t="s">
        <v>183</v>
      </c>
      <c r="B15" s="7" t="s">
        <v>184</v>
      </c>
      <c r="C15" s="7" t="s">
        <v>185</v>
      </c>
      <c r="D15" s="7" t="s">
        <v>186</v>
      </c>
      <c r="E15" s="7" t="s">
        <v>66</v>
      </c>
      <c r="F15" s="7"/>
      <c r="G15" s="7" t="s">
        <v>38</v>
      </c>
      <c r="H15" s="7" t="s">
        <v>39</v>
      </c>
      <c r="I15" s="7" t="s">
        <v>40</v>
      </c>
      <c r="J15" s="7">
        <v>116.95918789948412</v>
      </c>
      <c r="K15" s="7">
        <v>-28.95751955942712</v>
      </c>
      <c r="L15" s="7" t="s">
        <v>41</v>
      </c>
      <c r="M15" s="7" t="s">
        <v>187</v>
      </c>
      <c r="N15" s="7" t="s">
        <v>188</v>
      </c>
      <c r="O15" s="7" t="s">
        <v>188</v>
      </c>
      <c r="P15" s="7"/>
      <c r="Q15" s="7"/>
      <c r="R15" s="7" t="s">
        <v>189</v>
      </c>
      <c r="S15" s="7" t="s">
        <v>58</v>
      </c>
      <c r="T15" s="8">
        <v>0.0</v>
      </c>
      <c r="U15" s="7" t="s">
        <v>190</v>
      </c>
      <c r="V15" s="7" t="s">
        <v>191</v>
      </c>
      <c r="W15" s="7"/>
      <c r="X15" s="9">
        <v>1.0</v>
      </c>
      <c r="Y15" s="7" t="s">
        <v>192</v>
      </c>
      <c r="Z15" s="7"/>
      <c r="AA15" s="7">
        <f t="shared" si="6"/>
        <v>1340000</v>
      </c>
      <c r="AB15" s="7">
        <v>1340000.0</v>
      </c>
      <c r="AC15" s="7"/>
      <c r="AD15" s="7"/>
      <c r="AE15" s="7">
        <f t="shared" si="5"/>
        <v>1340000</v>
      </c>
      <c r="AF15" s="7"/>
      <c r="AG15" s="10">
        <f t="shared" si="2"/>
        <v>1340000</v>
      </c>
      <c r="AH15" s="10">
        <f t="shared" si="3"/>
        <v>0</v>
      </c>
      <c r="AI15" s="7"/>
      <c r="AJ15" s="7">
        <v>0.07705000000000001</v>
      </c>
      <c r="AK15" s="7"/>
      <c r="AL15" s="11">
        <v>45495.68398148148</v>
      </c>
    </row>
    <row r="16" ht="12.0" customHeight="1">
      <c r="A16" s="6" t="s">
        <v>193</v>
      </c>
      <c r="B16" s="7" t="s">
        <v>194</v>
      </c>
      <c r="C16" s="7" t="s">
        <v>195</v>
      </c>
      <c r="D16" s="7" t="s">
        <v>196</v>
      </c>
      <c r="E16" s="7" t="s">
        <v>66</v>
      </c>
      <c r="F16" s="7"/>
      <c r="G16" s="7" t="s">
        <v>38</v>
      </c>
      <c r="H16" s="7" t="s">
        <v>39</v>
      </c>
      <c r="I16" s="7" t="s">
        <v>40</v>
      </c>
      <c r="J16" s="7">
        <v>122.07626189405482</v>
      </c>
      <c r="K16" s="7">
        <v>-29.04137588736817</v>
      </c>
      <c r="L16" s="7" t="s">
        <v>41</v>
      </c>
      <c r="M16" s="7" t="s">
        <v>197</v>
      </c>
      <c r="N16" s="7" t="s">
        <v>198</v>
      </c>
      <c r="O16" s="7" t="s">
        <v>198</v>
      </c>
      <c r="P16" s="7"/>
      <c r="Q16" s="7"/>
      <c r="R16" s="7" t="s">
        <v>199</v>
      </c>
      <c r="S16" s="7" t="s">
        <v>58</v>
      </c>
      <c r="T16" s="8">
        <v>15400.0</v>
      </c>
      <c r="U16" s="7" t="s">
        <v>200</v>
      </c>
      <c r="V16" s="7" t="s">
        <v>201</v>
      </c>
      <c r="W16" s="7"/>
      <c r="X16" s="7"/>
      <c r="Y16" s="7" t="s">
        <v>202</v>
      </c>
      <c r="Z16" s="7"/>
      <c r="AA16" s="7">
        <f t="shared" si="6"/>
        <v>10500000</v>
      </c>
      <c r="AB16" s="7"/>
      <c r="AC16" s="7">
        <v>1.05E7</v>
      </c>
      <c r="AD16" s="7"/>
      <c r="AE16" s="7">
        <f t="shared" si="5"/>
        <v>0</v>
      </c>
      <c r="AF16" s="7"/>
      <c r="AG16" s="10">
        <f t="shared" si="2"/>
        <v>0</v>
      </c>
      <c r="AH16" s="10">
        <f t="shared" si="3"/>
        <v>0</v>
      </c>
      <c r="AI16" s="14"/>
      <c r="AJ16" s="7">
        <v>0.067</v>
      </c>
      <c r="AK16" s="7"/>
      <c r="AL16" s="11">
        <v>45643.73243055555</v>
      </c>
    </row>
    <row r="17" ht="12.0" customHeight="1">
      <c r="A17" s="6" t="s">
        <v>203</v>
      </c>
      <c r="B17" s="7" t="s">
        <v>204</v>
      </c>
      <c r="C17" s="7" t="s">
        <v>205</v>
      </c>
      <c r="D17" s="7" t="s">
        <v>206</v>
      </c>
      <c r="E17" s="7" t="s">
        <v>66</v>
      </c>
      <c r="F17" s="7"/>
      <c r="G17" s="7" t="s">
        <v>38</v>
      </c>
      <c r="H17" s="7" t="s">
        <v>39</v>
      </c>
      <c r="I17" s="7" t="s">
        <v>40</v>
      </c>
      <c r="J17" s="7">
        <v>121.67038494819839</v>
      </c>
      <c r="K17" s="7">
        <v>-31.75869148903366</v>
      </c>
      <c r="L17" s="7" t="s">
        <v>41</v>
      </c>
      <c r="M17" s="7" t="s">
        <v>207</v>
      </c>
      <c r="N17" s="7" t="s">
        <v>208</v>
      </c>
      <c r="O17" s="7"/>
      <c r="P17" s="7"/>
      <c r="Q17" s="7"/>
      <c r="R17" s="7" t="s">
        <v>209</v>
      </c>
      <c r="S17" s="7" t="s">
        <v>58</v>
      </c>
      <c r="T17" s="8">
        <v>0.0</v>
      </c>
      <c r="U17" s="7" t="s">
        <v>210</v>
      </c>
      <c r="V17" s="7" t="s">
        <v>211</v>
      </c>
      <c r="W17" s="7"/>
      <c r="X17" s="9">
        <v>0.8</v>
      </c>
      <c r="Y17" s="7" t="s">
        <v>212</v>
      </c>
      <c r="Z17" s="7"/>
      <c r="AA17" s="7">
        <f t="shared" si="6"/>
        <v>105000</v>
      </c>
      <c r="AB17" s="7">
        <v>105000.0</v>
      </c>
      <c r="AC17" s="7"/>
      <c r="AD17" s="7"/>
      <c r="AE17" s="7">
        <f t="shared" si="5"/>
        <v>105000</v>
      </c>
      <c r="AF17" s="7"/>
      <c r="AG17" s="10">
        <f t="shared" si="2"/>
        <v>105000</v>
      </c>
      <c r="AH17" s="10">
        <f t="shared" si="3"/>
        <v>0</v>
      </c>
      <c r="AI17" s="7"/>
      <c r="AJ17" s="7">
        <v>0.0</v>
      </c>
      <c r="AK17" s="7"/>
      <c r="AL17" s="11">
        <v>45649.79980324074</v>
      </c>
    </row>
    <row r="18" ht="12.0" customHeight="1">
      <c r="A18" s="6" t="s">
        <v>213</v>
      </c>
      <c r="B18" s="7" t="s">
        <v>214</v>
      </c>
      <c r="C18" s="7" t="s">
        <v>215</v>
      </c>
      <c r="D18" s="7" t="s">
        <v>216</v>
      </c>
      <c r="E18" s="7" t="s">
        <v>66</v>
      </c>
      <c r="F18" s="7" t="s">
        <v>217</v>
      </c>
      <c r="G18" s="7" t="s">
        <v>38</v>
      </c>
      <c r="H18" s="7" t="s">
        <v>39</v>
      </c>
      <c r="I18" s="7" t="s">
        <v>79</v>
      </c>
      <c r="J18" s="7">
        <v>142.91777151804936</v>
      </c>
      <c r="K18" s="7">
        <v>-37.601917869708394</v>
      </c>
      <c r="L18" s="7" t="s">
        <v>41</v>
      </c>
      <c r="M18" s="7" t="s">
        <v>218</v>
      </c>
      <c r="N18" s="7" t="s">
        <v>219</v>
      </c>
      <c r="O18" s="7" t="s">
        <v>219</v>
      </c>
      <c r="P18" s="7"/>
      <c r="Q18" s="7"/>
      <c r="R18" s="7" t="s">
        <v>220</v>
      </c>
      <c r="S18" s="7" t="s">
        <v>58</v>
      </c>
      <c r="T18" s="8">
        <v>97.0</v>
      </c>
      <c r="U18" s="7" t="s">
        <v>221</v>
      </c>
      <c r="V18" s="7" t="s">
        <v>222</v>
      </c>
      <c r="W18" s="7"/>
      <c r="X18" s="9">
        <v>1.0</v>
      </c>
      <c r="Y18" s="7" t="s">
        <v>223</v>
      </c>
      <c r="Z18" s="7"/>
      <c r="AA18" s="7">
        <f t="shared" si="6"/>
        <v>1474000</v>
      </c>
      <c r="AB18" s="7">
        <f>2200000*0.67</f>
        <v>1474000</v>
      </c>
      <c r="AC18" s="7"/>
      <c r="AD18" s="7"/>
      <c r="AE18" s="7">
        <f t="shared" si="5"/>
        <v>1474000</v>
      </c>
      <c r="AF18" s="7"/>
      <c r="AG18" s="10">
        <f t="shared" si="2"/>
        <v>1474000</v>
      </c>
      <c r="AH18" s="10">
        <f t="shared" si="3"/>
        <v>0</v>
      </c>
      <c r="AI18" s="7"/>
      <c r="AJ18" s="7">
        <v>0.0</v>
      </c>
      <c r="AK18" s="7"/>
      <c r="AL18" s="11">
        <v>45739.75099537037</v>
      </c>
    </row>
    <row r="19" ht="12.0" customHeight="1">
      <c r="A19" s="6" t="s">
        <v>224</v>
      </c>
      <c r="B19" s="7" t="s">
        <v>225</v>
      </c>
      <c r="C19" s="7" t="s">
        <v>226</v>
      </c>
      <c r="D19" s="7" t="s">
        <v>227</v>
      </c>
      <c r="E19" s="7" t="s">
        <v>66</v>
      </c>
      <c r="F19" s="7"/>
      <c r="G19" s="7" t="s">
        <v>38</v>
      </c>
      <c r="H19" s="7" t="s">
        <v>39</v>
      </c>
      <c r="I19" s="7" t="s">
        <v>40</v>
      </c>
      <c r="J19" s="7">
        <v>121.53005267714913</v>
      </c>
      <c r="K19" s="7">
        <v>-30.6217485711468</v>
      </c>
      <c r="L19" s="7" t="s">
        <v>41</v>
      </c>
      <c r="M19" s="7" t="s">
        <v>228</v>
      </c>
      <c r="N19" s="7" t="s">
        <v>229</v>
      </c>
      <c r="O19" s="7" t="s">
        <v>229</v>
      </c>
      <c r="P19" s="7"/>
      <c r="Q19" s="7"/>
      <c r="R19" s="7" t="s">
        <v>230</v>
      </c>
      <c r="S19" s="7" t="s">
        <v>58</v>
      </c>
      <c r="T19" s="8">
        <v>3200.0</v>
      </c>
      <c r="U19" s="7" t="s">
        <v>231</v>
      </c>
      <c r="V19" s="7" t="s">
        <v>232</v>
      </c>
      <c r="W19" s="7"/>
      <c r="X19" s="9">
        <v>1.0</v>
      </c>
      <c r="Y19" s="7" t="s">
        <v>233</v>
      </c>
      <c r="Z19" s="7"/>
      <c r="AA19" s="7">
        <f t="shared" si="6"/>
        <v>33500</v>
      </c>
      <c r="AB19" s="7"/>
      <c r="AC19" s="7"/>
      <c r="AD19" s="7"/>
      <c r="AE19" s="7">
        <f t="shared" si="5"/>
        <v>33500</v>
      </c>
      <c r="AF19" s="7">
        <v>33500.0</v>
      </c>
      <c r="AG19" s="10">
        <f t="shared" si="2"/>
        <v>0</v>
      </c>
      <c r="AH19" s="10">
        <f t="shared" si="3"/>
        <v>0</v>
      </c>
      <c r="AI19" s="7"/>
      <c r="AJ19" s="7">
        <v>0.01139</v>
      </c>
      <c r="AK19" s="7"/>
      <c r="AL19" s="11">
        <v>45522.68368055555</v>
      </c>
    </row>
    <row r="20" ht="12.0" customHeight="1">
      <c r="A20" s="6" t="s">
        <v>234</v>
      </c>
      <c r="B20" s="7" t="s">
        <v>235</v>
      </c>
      <c r="C20" s="7" t="s">
        <v>236</v>
      </c>
      <c r="D20" s="7" t="s">
        <v>237</v>
      </c>
      <c r="E20" s="7" t="s">
        <v>66</v>
      </c>
      <c r="F20" s="7" t="s">
        <v>238</v>
      </c>
      <c r="G20" s="7" t="s">
        <v>38</v>
      </c>
      <c r="H20" s="7" t="s">
        <v>39</v>
      </c>
      <c r="I20" s="7" t="s">
        <v>40</v>
      </c>
      <c r="J20" s="7">
        <v>117.91540900934086</v>
      </c>
      <c r="K20" s="7">
        <v>-33.32350916338009</v>
      </c>
      <c r="L20" s="7" t="s">
        <v>41</v>
      </c>
      <c r="M20" s="7" t="s">
        <v>239</v>
      </c>
      <c r="N20" s="7" t="s">
        <v>240</v>
      </c>
      <c r="O20" s="7" t="s">
        <v>240</v>
      </c>
      <c r="P20" s="7"/>
      <c r="Q20" s="7"/>
      <c r="R20" s="7" t="s">
        <v>241</v>
      </c>
      <c r="S20" s="7" t="s">
        <v>58</v>
      </c>
      <c r="T20" s="8">
        <v>1026.0</v>
      </c>
      <c r="U20" s="7" t="s">
        <v>242</v>
      </c>
      <c r="V20" s="7" t="s">
        <v>243</v>
      </c>
      <c r="W20" s="7"/>
      <c r="X20" s="9">
        <v>1.0</v>
      </c>
      <c r="Y20" s="7" t="s">
        <v>244</v>
      </c>
      <c r="Z20" s="7"/>
      <c r="AA20" s="7">
        <f t="shared" si="6"/>
        <v>7209200</v>
      </c>
      <c r="AB20" s="7">
        <f>10760000*0.67</f>
        <v>7209200</v>
      </c>
      <c r="AC20" s="7"/>
      <c r="AD20" s="7"/>
      <c r="AE20" s="7">
        <f t="shared" si="5"/>
        <v>7209200</v>
      </c>
      <c r="AF20" s="7"/>
      <c r="AG20" s="10">
        <f t="shared" si="2"/>
        <v>7209200</v>
      </c>
      <c r="AH20" s="10">
        <f t="shared" si="3"/>
        <v>0</v>
      </c>
      <c r="AI20" s="7"/>
      <c r="AJ20" s="7">
        <v>0.41540000000000005</v>
      </c>
      <c r="AK20" s="7"/>
      <c r="AL20" s="11">
        <v>45578.68099537037</v>
      </c>
    </row>
    <row r="21" ht="12.0" customHeight="1">
      <c r="A21" s="6" t="s">
        <v>245</v>
      </c>
      <c r="B21" s="7" t="s">
        <v>246</v>
      </c>
      <c r="C21" s="7" t="s">
        <v>247</v>
      </c>
      <c r="D21" s="7" t="s">
        <v>248</v>
      </c>
      <c r="E21" s="7" t="s">
        <v>66</v>
      </c>
      <c r="F21" s="7"/>
      <c r="G21" s="7" t="s">
        <v>38</v>
      </c>
      <c r="H21" s="7" t="s">
        <v>39</v>
      </c>
      <c r="I21" s="7" t="s">
        <v>40</v>
      </c>
      <c r="J21" s="7">
        <v>121.34513180648479</v>
      </c>
      <c r="K21" s="7">
        <v>-29.267672709757825</v>
      </c>
      <c r="L21" s="7" t="s">
        <v>41</v>
      </c>
      <c r="M21" s="7" t="s">
        <v>249</v>
      </c>
      <c r="N21" s="7" t="s">
        <v>250</v>
      </c>
      <c r="O21" s="7" t="s">
        <v>250</v>
      </c>
      <c r="P21" s="7"/>
      <c r="Q21" s="7"/>
      <c r="R21" s="7" t="s">
        <v>251</v>
      </c>
      <c r="S21" s="7" t="s">
        <v>58</v>
      </c>
      <c r="T21" s="8">
        <v>0.0</v>
      </c>
      <c r="U21" s="7" t="s">
        <v>252</v>
      </c>
      <c r="V21" s="7" t="s">
        <v>253</v>
      </c>
      <c r="W21" s="7"/>
      <c r="X21" s="9">
        <v>1.0</v>
      </c>
      <c r="Y21" s="7" t="s">
        <v>254</v>
      </c>
      <c r="Z21" s="7"/>
      <c r="AA21" s="7">
        <f t="shared" si="6"/>
        <v>271350</v>
      </c>
      <c r="AB21" s="7">
        <v>271350.0</v>
      </c>
      <c r="AC21" s="7"/>
      <c r="AD21" s="7"/>
      <c r="AE21" s="7">
        <f t="shared" si="5"/>
        <v>271350</v>
      </c>
      <c r="AF21" s="7"/>
      <c r="AG21" s="10">
        <f t="shared" si="2"/>
        <v>271350</v>
      </c>
      <c r="AH21" s="10">
        <f t="shared" si="3"/>
        <v>0</v>
      </c>
      <c r="AI21" s="7"/>
      <c r="AJ21" s="7">
        <v>0.00268</v>
      </c>
      <c r="AK21" s="7">
        <v>1.0</v>
      </c>
      <c r="AL21" s="11">
        <v>45602.08018518519</v>
      </c>
    </row>
    <row r="22" ht="12.0" customHeight="1">
      <c r="A22" s="6" t="s">
        <v>255</v>
      </c>
      <c r="B22" s="7" t="s">
        <v>256</v>
      </c>
      <c r="C22" s="7" t="s">
        <v>257</v>
      </c>
      <c r="D22" s="7" t="s">
        <v>258</v>
      </c>
      <c r="E22" s="7" t="s">
        <v>66</v>
      </c>
      <c r="F22" s="7"/>
      <c r="G22" s="7" t="s">
        <v>38</v>
      </c>
      <c r="H22" s="7" t="s">
        <v>39</v>
      </c>
      <c r="I22" s="7" t="s">
        <v>40</v>
      </c>
      <c r="J22" s="7">
        <v>120.70191644498657</v>
      </c>
      <c r="K22" s="7">
        <v>-30.541239710277797</v>
      </c>
      <c r="L22" s="7" t="s">
        <v>41</v>
      </c>
      <c r="M22" s="7" t="s">
        <v>259</v>
      </c>
      <c r="N22" s="7" t="s">
        <v>260</v>
      </c>
      <c r="O22" s="7" t="s">
        <v>260</v>
      </c>
      <c r="P22" s="7"/>
      <c r="Q22" s="7"/>
      <c r="R22" s="7" t="s">
        <v>261</v>
      </c>
      <c r="S22" s="7" t="s">
        <v>167</v>
      </c>
      <c r="T22" s="8">
        <v>0.0</v>
      </c>
      <c r="U22" s="7" t="s">
        <v>262</v>
      </c>
      <c r="V22" s="7" t="s">
        <v>263</v>
      </c>
      <c r="W22" s="7"/>
      <c r="X22" s="9">
        <v>0.5</v>
      </c>
      <c r="Y22" s="7" t="s">
        <v>264</v>
      </c>
      <c r="Z22" s="7"/>
      <c r="AA22" s="7"/>
      <c r="AB22" s="7"/>
      <c r="AC22" s="7"/>
      <c r="AD22" s="7"/>
      <c r="AE22" s="7">
        <f t="shared" si="5"/>
        <v>0</v>
      </c>
      <c r="AF22" s="7"/>
      <c r="AG22" s="10">
        <f t="shared" si="2"/>
        <v>0</v>
      </c>
      <c r="AH22" s="10">
        <f t="shared" si="3"/>
        <v>0</v>
      </c>
      <c r="AI22" s="7"/>
      <c r="AJ22" s="7">
        <v>0.018760000000000002</v>
      </c>
      <c r="AK22" s="7"/>
      <c r="AL22" s="11">
        <v>45538.71878472222</v>
      </c>
    </row>
    <row r="23" ht="12.0" customHeight="1">
      <c r="A23" s="6" t="s">
        <v>265</v>
      </c>
      <c r="B23" s="7" t="s">
        <v>266</v>
      </c>
      <c r="C23" s="7" t="s">
        <v>267</v>
      </c>
      <c r="D23" s="7" t="s">
        <v>268</v>
      </c>
      <c r="E23" s="7" t="s">
        <v>66</v>
      </c>
      <c r="F23" s="7" t="s">
        <v>269</v>
      </c>
      <c r="G23" s="7" t="s">
        <v>38</v>
      </c>
      <c r="H23" s="7" t="s">
        <v>39</v>
      </c>
      <c r="I23" s="7" t="s">
        <v>40</v>
      </c>
      <c r="J23" s="7">
        <v>122.49465906007667</v>
      </c>
      <c r="K23" s="7">
        <v>-29.236683415248603</v>
      </c>
      <c r="L23" s="7" t="s">
        <v>41</v>
      </c>
      <c r="M23" s="7" t="s">
        <v>270</v>
      </c>
      <c r="N23" s="7" t="s">
        <v>271</v>
      </c>
      <c r="O23" s="7" t="s">
        <v>271</v>
      </c>
      <c r="P23" s="7"/>
      <c r="Q23" s="7"/>
      <c r="R23" s="7" t="s">
        <v>272</v>
      </c>
      <c r="S23" s="7" t="s">
        <v>58</v>
      </c>
      <c r="T23" s="8">
        <v>0.0</v>
      </c>
      <c r="U23" s="7" t="s">
        <v>273</v>
      </c>
      <c r="V23" s="7" t="s">
        <v>274</v>
      </c>
      <c r="W23" s="7"/>
      <c r="X23" s="7"/>
      <c r="Y23" s="7" t="s">
        <v>275</v>
      </c>
      <c r="Z23" s="7"/>
      <c r="AA23" s="7">
        <f t="shared" ref="AA23:AA24" si="7">AB23+AC23+AF23</f>
        <v>5360000</v>
      </c>
      <c r="AB23" s="7">
        <v>5360000.0</v>
      </c>
      <c r="AC23" s="7"/>
      <c r="AD23" s="7"/>
      <c r="AE23" s="7">
        <f t="shared" si="5"/>
        <v>5360000</v>
      </c>
      <c r="AF23" s="7"/>
      <c r="AG23" s="10">
        <f t="shared" si="2"/>
        <v>5360000</v>
      </c>
      <c r="AH23" s="10">
        <f t="shared" si="3"/>
        <v>0</v>
      </c>
      <c r="AI23" s="7"/>
      <c r="AJ23" s="7">
        <v>0.044890000000000006</v>
      </c>
      <c r="AK23" s="7"/>
      <c r="AL23" s="11">
        <v>45714.70370370371</v>
      </c>
    </row>
    <row r="24" ht="12.0" customHeight="1">
      <c r="A24" s="6" t="s">
        <v>276</v>
      </c>
      <c r="B24" s="7" t="s">
        <v>277</v>
      </c>
      <c r="C24" s="7" t="s">
        <v>278</v>
      </c>
      <c r="D24" s="7" t="s">
        <v>279</v>
      </c>
      <c r="E24" s="7" t="s">
        <v>66</v>
      </c>
      <c r="F24" s="7" t="s">
        <v>280</v>
      </c>
      <c r="G24" s="7" t="s">
        <v>38</v>
      </c>
      <c r="H24" s="7" t="s">
        <v>39</v>
      </c>
      <c r="I24" s="7" t="s">
        <v>40</v>
      </c>
      <c r="J24" s="7">
        <v>122.81111326895186</v>
      </c>
      <c r="K24" s="7">
        <v>-30.448604117576693</v>
      </c>
      <c r="L24" s="7" t="s">
        <v>41</v>
      </c>
      <c r="M24" s="7" t="s">
        <v>281</v>
      </c>
      <c r="N24" s="7" t="s">
        <v>282</v>
      </c>
      <c r="O24" s="7" t="s">
        <v>282</v>
      </c>
      <c r="P24" s="7"/>
      <c r="Q24" s="7"/>
      <c r="R24" s="7" t="s">
        <v>283</v>
      </c>
      <c r="S24" s="7" t="s">
        <v>58</v>
      </c>
      <c r="T24" s="8">
        <v>50900.0</v>
      </c>
      <c r="U24" s="7" t="s">
        <v>284</v>
      </c>
      <c r="V24" s="7" t="s">
        <v>285</v>
      </c>
      <c r="W24" s="7"/>
      <c r="X24" s="7"/>
      <c r="Y24" s="7" t="s">
        <v>286</v>
      </c>
      <c r="Z24" s="7"/>
      <c r="AA24" s="7">
        <f t="shared" si="7"/>
        <v>94315</v>
      </c>
      <c r="AB24" s="7">
        <v>94315.0</v>
      </c>
      <c r="AC24" s="7"/>
      <c r="AD24" s="7"/>
      <c r="AE24" s="7">
        <f t="shared" si="5"/>
        <v>94315</v>
      </c>
      <c r="AF24" s="7"/>
      <c r="AG24" s="10">
        <f t="shared" si="2"/>
        <v>94315</v>
      </c>
      <c r="AH24" s="10">
        <f t="shared" si="3"/>
        <v>0</v>
      </c>
      <c r="AI24" s="7"/>
      <c r="AJ24" s="7">
        <v>0.04154</v>
      </c>
      <c r="AK24" s="7">
        <v>2.0</v>
      </c>
      <c r="AL24" s="11">
        <v>45721.67418981482</v>
      </c>
    </row>
    <row r="25" ht="12.0" customHeight="1">
      <c r="A25" s="6" t="s">
        <v>287</v>
      </c>
      <c r="B25" s="7" t="s">
        <v>288</v>
      </c>
      <c r="C25" s="7" t="s">
        <v>289</v>
      </c>
      <c r="D25" s="7" t="s">
        <v>290</v>
      </c>
      <c r="E25" s="7" t="s">
        <v>66</v>
      </c>
      <c r="F25" s="7" t="s">
        <v>291</v>
      </c>
      <c r="G25" s="7" t="s">
        <v>38</v>
      </c>
      <c r="H25" s="7" t="s">
        <v>39</v>
      </c>
      <c r="I25" s="7" t="s">
        <v>40</v>
      </c>
      <c r="J25" s="7">
        <v>122.51916262807126</v>
      </c>
      <c r="K25" s="7">
        <v>-28.80426027245791</v>
      </c>
      <c r="L25" s="7" t="s">
        <v>41</v>
      </c>
      <c r="M25" s="7" t="s">
        <v>292</v>
      </c>
      <c r="N25" s="7" t="s">
        <v>293</v>
      </c>
      <c r="O25" s="7" t="s">
        <v>293</v>
      </c>
      <c r="P25" s="7"/>
      <c r="Q25" s="7"/>
      <c r="R25" s="7" t="s">
        <v>294</v>
      </c>
      <c r="S25" s="7" t="s">
        <v>58</v>
      </c>
      <c r="T25" s="8">
        <v>0.0</v>
      </c>
      <c r="U25" s="7" t="s">
        <v>295</v>
      </c>
      <c r="V25" s="7" t="s">
        <v>296</v>
      </c>
      <c r="W25" s="7"/>
      <c r="X25" s="9">
        <v>1.0</v>
      </c>
      <c r="Y25" s="7" t="s">
        <v>297</v>
      </c>
      <c r="Z25" s="7"/>
      <c r="AA25" s="7"/>
      <c r="AB25" s="7"/>
      <c r="AC25" s="7"/>
      <c r="AD25" s="7"/>
      <c r="AE25" s="7">
        <f t="shared" si="5"/>
        <v>0</v>
      </c>
      <c r="AF25" s="7"/>
      <c r="AG25" s="10">
        <f t="shared" si="2"/>
        <v>0</v>
      </c>
      <c r="AH25" s="10">
        <f t="shared" si="3"/>
        <v>0</v>
      </c>
      <c r="AI25" s="7"/>
      <c r="AJ25" s="7">
        <v>0.00134</v>
      </c>
      <c r="AK25" s="7"/>
      <c r="AL25" s="11">
        <v>45642.634606481486</v>
      </c>
    </row>
    <row r="26" ht="12.0" customHeight="1">
      <c r="A26" s="6" t="s">
        <v>298</v>
      </c>
      <c r="B26" s="7" t="s">
        <v>246</v>
      </c>
      <c r="C26" s="7" t="s">
        <v>299</v>
      </c>
      <c r="D26" s="7" t="s">
        <v>300</v>
      </c>
      <c r="E26" s="7" t="s">
        <v>66</v>
      </c>
      <c r="F26" s="7" t="s">
        <v>301</v>
      </c>
      <c r="G26" s="7" t="s">
        <v>38</v>
      </c>
      <c r="H26" s="7" t="s">
        <v>39</v>
      </c>
      <c r="I26" s="7" t="s">
        <v>40</v>
      </c>
      <c r="J26" s="7">
        <v>121.70104767540562</v>
      </c>
      <c r="K26" s="7">
        <v>-30.318785236575536</v>
      </c>
      <c r="L26" s="7" t="s">
        <v>41</v>
      </c>
      <c r="M26" s="7" t="s">
        <v>302</v>
      </c>
      <c r="N26" s="7" t="s">
        <v>303</v>
      </c>
      <c r="O26" s="7"/>
      <c r="P26" s="7"/>
      <c r="Q26" s="7"/>
      <c r="R26" s="7" t="s">
        <v>304</v>
      </c>
      <c r="S26" s="7" t="s">
        <v>58</v>
      </c>
      <c r="T26" s="8">
        <v>3300.0</v>
      </c>
      <c r="U26" s="7" t="s">
        <v>305</v>
      </c>
      <c r="V26" s="7" t="s">
        <v>306</v>
      </c>
      <c r="W26" s="7"/>
      <c r="X26" s="9">
        <v>1.0</v>
      </c>
      <c r="Y26" s="7" t="s">
        <v>307</v>
      </c>
      <c r="Z26" s="7"/>
      <c r="AA26" s="7">
        <f t="shared" ref="AA26:AA33" si="8">AB26+AC26+AF26</f>
        <v>2680000</v>
      </c>
      <c r="AB26" s="7">
        <f>2000000*0.67</f>
        <v>1340000</v>
      </c>
      <c r="AC26" s="7"/>
      <c r="AD26" s="7">
        <v>4000000.0</v>
      </c>
      <c r="AE26" s="7">
        <f t="shared" si="5"/>
        <v>2680000</v>
      </c>
      <c r="AF26" s="7">
        <f>2000000*0.67</f>
        <v>1340000</v>
      </c>
      <c r="AG26" s="10">
        <f t="shared" si="2"/>
        <v>1340000</v>
      </c>
      <c r="AH26" s="10">
        <f t="shared" si="3"/>
        <v>0</v>
      </c>
      <c r="AI26" s="7"/>
      <c r="AJ26" s="7">
        <v>0.0</v>
      </c>
      <c r="AK26" s="7">
        <v>3.5</v>
      </c>
      <c r="AL26" s="11">
        <v>45714.62673611111</v>
      </c>
    </row>
    <row r="27" ht="12.0" customHeight="1">
      <c r="A27" s="6" t="s">
        <v>308</v>
      </c>
      <c r="B27" s="7" t="s">
        <v>309</v>
      </c>
      <c r="C27" s="7" t="s">
        <v>310</v>
      </c>
      <c r="D27" s="7" t="s">
        <v>311</v>
      </c>
      <c r="E27" s="7" t="s">
        <v>66</v>
      </c>
      <c r="F27" s="7"/>
      <c r="G27" s="7" t="s">
        <v>38</v>
      </c>
      <c r="H27" s="7" t="s">
        <v>39</v>
      </c>
      <c r="I27" s="7" t="s">
        <v>40</v>
      </c>
      <c r="J27" s="7">
        <v>121.7088250186487</v>
      </c>
      <c r="K27" s="7">
        <v>-31.789919104049783</v>
      </c>
      <c r="L27" s="7" t="s">
        <v>41</v>
      </c>
      <c r="M27" s="7" t="s">
        <v>312</v>
      </c>
      <c r="N27" s="7" t="s">
        <v>303</v>
      </c>
      <c r="O27" s="7" t="s">
        <v>303</v>
      </c>
      <c r="P27" s="7"/>
      <c r="Q27" s="7"/>
      <c r="R27" s="7" t="s">
        <v>313</v>
      </c>
      <c r="S27" s="7" t="s">
        <v>58</v>
      </c>
      <c r="T27" s="8">
        <v>11300.0</v>
      </c>
      <c r="U27" s="7" t="s">
        <v>314</v>
      </c>
      <c r="V27" s="7" t="s">
        <v>315</v>
      </c>
      <c r="W27" s="7"/>
      <c r="X27" s="9">
        <v>1.0</v>
      </c>
      <c r="Y27" s="7" t="s">
        <v>316</v>
      </c>
      <c r="Z27" s="7"/>
      <c r="AA27" s="7">
        <f t="shared" si="8"/>
        <v>725000</v>
      </c>
      <c r="AB27" s="7">
        <v>725000.0</v>
      </c>
      <c r="AC27" s="7"/>
      <c r="AD27" s="7"/>
      <c r="AE27" s="7">
        <f t="shared" si="5"/>
        <v>725000</v>
      </c>
      <c r="AF27" s="7"/>
      <c r="AG27" s="10">
        <f t="shared" si="2"/>
        <v>725000</v>
      </c>
      <c r="AH27" s="10">
        <f t="shared" si="3"/>
        <v>0</v>
      </c>
      <c r="AI27" s="7"/>
      <c r="AJ27" s="7">
        <v>0.134</v>
      </c>
      <c r="AK27" s="7">
        <v>1.5</v>
      </c>
      <c r="AL27" s="11">
        <v>45712.62670138889</v>
      </c>
    </row>
    <row r="28" ht="12.0" customHeight="1">
      <c r="A28" s="6" t="s">
        <v>317</v>
      </c>
      <c r="B28" s="7" t="s">
        <v>140</v>
      </c>
      <c r="C28" s="7" t="s">
        <v>318</v>
      </c>
      <c r="D28" s="7" t="s">
        <v>319</v>
      </c>
      <c r="E28" s="7" t="s">
        <v>66</v>
      </c>
      <c r="F28" s="7" t="s">
        <v>320</v>
      </c>
      <c r="G28" s="7" t="s">
        <v>38</v>
      </c>
      <c r="H28" s="7" t="s">
        <v>39</v>
      </c>
      <c r="I28" s="7" t="s">
        <v>40</v>
      </c>
      <c r="J28" s="7">
        <v>119.45148211981592</v>
      </c>
      <c r="K28" s="7">
        <v>-27.3538480601732</v>
      </c>
      <c r="L28" s="7" t="s">
        <v>41</v>
      </c>
      <c r="M28" s="7" t="s">
        <v>321</v>
      </c>
      <c r="N28" s="7" t="s">
        <v>322</v>
      </c>
      <c r="O28" s="7" t="s">
        <v>323</v>
      </c>
      <c r="P28" s="7"/>
      <c r="Q28" s="7"/>
      <c r="R28" s="7" t="s">
        <v>324</v>
      </c>
      <c r="S28" s="7" t="s">
        <v>58</v>
      </c>
      <c r="T28" s="8">
        <v>0.0</v>
      </c>
      <c r="U28" s="7" t="s">
        <v>325</v>
      </c>
      <c r="V28" s="7" t="s">
        <v>326</v>
      </c>
      <c r="W28" s="7"/>
      <c r="X28" s="7"/>
      <c r="Y28" s="7" t="s">
        <v>327</v>
      </c>
      <c r="Z28" s="7"/>
      <c r="AA28" s="10">
        <f t="shared" si="8"/>
        <v>8040000.003</v>
      </c>
      <c r="AB28" s="7">
        <f>5000000*0.67</f>
        <v>3350000</v>
      </c>
      <c r="AC28" s="7"/>
      <c r="AD28" s="10">
        <f>AF28+AB28</f>
        <v>8040000.003</v>
      </c>
      <c r="AE28" s="10">
        <f t="shared" si="5"/>
        <v>8040000.003</v>
      </c>
      <c r="AF28" s="10">
        <f t="shared" ref="AF28:AF30" si="9">AH28</f>
        <v>4690000.003</v>
      </c>
      <c r="AG28" s="10">
        <f t="shared" si="2"/>
        <v>8040000.003</v>
      </c>
      <c r="AH28" s="10">
        <f t="shared" si="3"/>
        <v>4690000.003</v>
      </c>
      <c r="AI28" s="7">
        <v>4.66666667E8</v>
      </c>
      <c r="AJ28" s="7">
        <f>0.015*0.67</f>
        <v>0.01005</v>
      </c>
      <c r="AK28" s="7"/>
      <c r="AL28" s="11">
        <v>45504.74832175926</v>
      </c>
    </row>
    <row r="29" ht="12.0" customHeight="1">
      <c r="A29" s="6" t="s">
        <v>171</v>
      </c>
      <c r="B29" s="7" t="s">
        <v>328</v>
      </c>
      <c r="C29" s="7" t="s">
        <v>329</v>
      </c>
      <c r="D29" s="7" t="s">
        <v>330</v>
      </c>
      <c r="E29" s="7" t="s">
        <v>66</v>
      </c>
      <c r="F29" s="7" t="s">
        <v>331</v>
      </c>
      <c r="G29" s="7" t="s">
        <v>38</v>
      </c>
      <c r="H29" s="7" t="s">
        <v>39</v>
      </c>
      <c r="I29" s="7" t="s">
        <v>40</v>
      </c>
      <c r="J29" s="7">
        <v>117.63230554767586</v>
      </c>
      <c r="K29" s="7">
        <v>-24.936643769603673</v>
      </c>
      <c r="L29" s="7" t="s">
        <v>41</v>
      </c>
      <c r="M29" s="7" t="s">
        <v>332</v>
      </c>
      <c r="N29" s="7" t="s">
        <v>333</v>
      </c>
      <c r="O29" s="7" t="s">
        <v>177</v>
      </c>
      <c r="P29" s="7"/>
      <c r="Q29" s="7" t="s">
        <v>178</v>
      </c>
      <c r="R29" s="7" t="s">
        <v>334</v>
      </c>
      <c r="S29" s="7" t="s">
        <v>58</v>
      </c>
      <c r="T29" s="8">
        <v>17959.0</v>
      </c>
      <c r="U29" s="7" t="s">
        <v>335</v>
      </c>
      <c r="V29" s="7" t="s">
        <v>181</v>
      </c>
      <c r="W29" s="7"/>
      <c r="X29" s="9">
        <v>1.0</v>
      </c>
      <c r="Y29" s="7" t="s">
        <v>336</v>
      </c>
      <c r="Z29" s="7"/>
      <c r="AA29" s="10">
        <f t="shared" si="8"/>
        <v>10561250</v>
      </c>
      <c r="AB29" s="7">
        <v>670000.0</v>
      </c>
      <c r="AC29" s="7">
        <v>1600000.0</v>
      </c>
      <c r="AD29" s="7">
        <v>4020000.0</v>
      </c>
      <c r="AE29" s="10">
        <f t="shared" si="5"/>
        <v>8961250</v>
      </c>
      <c r="AF29" s="10">
        <f t="shared" si="9"/>
        <v>8291250</v>
      </c>
      <c r="AG29" s="10">
        <f t="shared" si="2"/>
        <v>8961250</v>
      </c>
      <c r="AH29" s="10">
        <f t="shared" si="3"/>
        <v>8291250</v>
      </c>
      <c r="AI29" s="7">
        <v>3.3E7</v>
      </c>
      <c r="AJ29" s="7">
        <v>0.25125000000000003</v>
      </c>
      <c r="AK29" s="7"/>
      <c r="AL29" s="11">
        <v>45599.79325231482</v>
      </c>
    </row>
    <row r="30" ht="12.0" customHeight="1">
      <c r="A30" s="6" t="s">
        <v>337</v>
      </c>
      <c r="B30" s="7" t="s">
        <v>338</v>
      </c>
      <c r="C30" s="7" t="s">
        <v>339</v>
      </c>
      <c r="D30" s="7" t="s">
        <v>340</v>
      </c>
      <c r="E30" s="7" t="s">
        <v>66</v>
      </c>
      <c r="F30" s="7" t="s">
        <v>341</v>
      </c>
      <c r="G30" s="7" t="s">
        <v>38</v>
      </c>
      <c r="H30" s="7" t="s">
        <v>39</v>
      </c>
      <c r="I30" s="7" t="s">
        <v>40</v>
      </c>
      <c r="J30" s="7">
        <v>121.46173264421878</v>
      </c>
      <c r="K30" s="7">
        <v>-26.79796895133637</v>
      </c>
      <c r="L30" s="7" t="s">
        <v>41</v>
      </c>
      <c r="M30" s="7" t="s">
        <v>342</v>
      </c>
      <c r="N30" s="7" t="s">
        <v>343</v>
      </c>
      <c r="O30" s="7" t="s">
        <v>344</v>
      </c>
      <c r="P30" s="7"/>
      <c r="Q30" s="7"/>
      <c r="R30" s="7" t="s">
        <v>345</v>
      </c>
      <c r="S30" s="7" t="s">
        <v>58</v>
      </c>
      <c r="T30" s="8">
        <v>19700.0</v>
      </c>
      <c r="U30" s="7" t="s">
        <v>346</v>
      </c>
      <c r="V30" s="7" t="s">
        <v>347</v>
      </c>
      <c r="W30" s="7"/>
      <c r="X30" s="9">
        <v>1.0</v>
      </c>
      <c r="Y30" s="7" t="s">
        <v>348</v>
      </c>
      <c r="Z30" s="7"/>
      <c r="AA30" s="10">
        <f t="shared" si="8"/>
        <v>4115550</v>
      </c>
      <c r="AB30" s="7">
        <v>1005000.0</v>
      </c>
      <c r="AC30" s="7">
        <v>3000000.0</v>
      </c>
      <c r="AD30" s="7"/>
      <c r="AE30" s="10">
        <f t="shared" si="5"/>
        <v>1115550</v>
      </c>
      <c r="AF30" s="10">
        <f t="shared" si="9"/>
        <v>110550</v>
      </c>
      <c r="AG30" s="10">
        <f t="shared" si="2"/>
        <v>1115550</v>
      </c>
      <c r="AH30" s="10">
        <f t="shared" si="3"/>
        <v>110550</v>
      </c>
      <c r="AI30" s="7">
        <v>1000000.0</v>
      </c>
      <c r="AJ30" s="7">
        <v>0.11055000000000001</v>
      </c>
      <c r="AK30" s="7">
        <v>1.0</v>
      </c>
      <c r="AL30" s="11">
        <v>45711.68923611111</v>
      </c>
    </row>
    <row r="31" ht="12.0" customHeight="1">
      <c r="A31" s="6" t="s">
        <v>139</v>
      </c>
      <c r="B31" s="7" t="s">
        <v>349</v>
      </c>
      <c r="C31" s="7" t="s">
        <v>350</v>
      </c>
      <c r="D31" s="7" t="s">
        <v>351</v>
      </c>
      <c r="E31" s="7" t="s">
        <v>66</v>
      </c>
      <c r="F31" s="7"/>
      <c r="G31" s="7" t="s">
        <v>38</v>
      </c>
      <c r="H31" s="7" t="s">
        <v>39</v>
      </c>
      <c r="I31" s="7" t="s">
        <v>40</v>
      </c>
      <c r="J31" s="7">
        <v>117.27425969012741</v>
      </c>
      <c r="K31" s="7">
        <v>-29.53039081438914</v>
      </c>
      <c r="L31" s="7" t="s">
        <v>41</v>
      </c>
      <c r="M31" s="7" t="s">
        <v>352</v>
      </c>
      <c r="N31" s="7" t="s">
        <v>144</v>
      </c>
      <c r="O31" s="7" t="s">
        <v>144</v>
      </c>
      <c r="P31" s="7"/>
      <c r="Q31" s="7"/>
      <c r="R31" s="7" t="s">
        <v>353</v>
      </c>
      <c r="S31" s="7" t="s">
        <v>58</v>
      </c>
      <c r="T31" s="8">
        <v>21900.0</v>
      </c>
      <c r="U31" s="7" t="s">
        <v>354</v>
      </c>
      <c r="V31" s="7" t="s">
        <v>147</v>
      </c>
      <c r="W31" s="7"/>
      <c r="X31" s="9">
        <v>1.0</v>
      </c>
      <c r="Y31" s="7" t="s">
        <v>355</v>
      </c>
      <c r="Z31" s="7"/>
      <c r="AA31" s="7">
        <f t="shared" si="8"/>
        <v>2317000</v>
      </c>
      <c r="AB31" s="7">
        <v>67000.0</v>
      </c>
      <c r="AC31" s="7"/>
      <c r="AD31" s="7">
        <v>3500000.0</v>
      </c>
      <c r="AE31" s="7">
        <f t="shared" si="5"/>
        <v>2317000</v>
      </c>
      <c r="AF31" s="7">
        <v>2250000.0</v>
      </c>
      <c r="AG31" s="10">
        <f t="shared" si="2"/>
        <v>67000</v>
      </c>
      <c r="AH31" s="10">
        <f t="shared" si="3"/>
        <v>0</v>
      </c>
      <c r="AI31" s="7"/>
      <c r="AJ31" s="7">
        <v>6.284600000000001</v>
      </c>
      <c r="AK31" s="7"/>
      <c r="AL31" s="11">
        <v>45687.64384259259</v>
      </c>
    </row>
    <row r="32" ht="12.0" customHeight="1">
      <c r="A32" s="6" t="s">
        <v>356</v>
      </c>
      <c r="B32" s="7" t="s">
        <v>357</v>
      </c>
      <c r="C32" s="7" t="s">
        <v>358</v>
      </c>
      <c r="D32" s="7" t="s">
        <v>359</v>
      </c>
      <c r="E32" s="7" t="s">
        <v>66</v>
      </c>
      <c r="F32" s="7" t="s">
        <v>360</v>
      </c>
      <c r="G32" s="7" t="s">
        <v>38</v>
      </c>
      <c r="H32" s="7" t="s">
        <v>39</v>
      </c>
      <c r="I32" s="7" t="s">
        <v>40</v>
      </c>
      <c r="J32" s="7">
        <v>118.91855691605134</v>
      </c>
      <c r="K32" s="7">
        <v>-21.116300212872034</v>
      </c>
      <c r="L32" s="7" t="s">
        <v>41</v>
      </c>
      <c r="M32" s="7" t="s">
        <v>361</v>
      </c>
      <c r="N32" s="7" t="s">
        <v>362</v>
      </c>
      <c r="O32" s="7" t="s">
        <v>362</v>
      </c>
      <c r="P32" s="7"/>
      <c r="Q32" s="7"/>
      <c r="R32" s="7" t="s">
        <v>363</v>
      </c>
      <c r="S32" s="7" t="s">
        <v>58</v>
      </c>
      <c r="T32" s="8">
        <v>0.0</v>
      </c>
      <c r="U32" s="7" t="s">
        <v>364</v>
      </c>
      <c r="V32" s="7" t="s">
        <v>365</v>
      </c>
      <c r="W32" s="7"/>
      <c r="X32" s="9">
        <v>1.0</v>
      </c>
      <c r="Y32" s="7" t="s">
        <v>366</v>
      </c>
      <c r="Z32" s="7"/>
      <c r="AA32" s="7">
        <f t="shared" si="8"/>
        <v>20000000</v>
      </c>
      <c r="AB32" s="7">
        <v>1.0E7</v>
      </c>
      <c r="AC32" s="7"/>
      <c r="AD32" s="7">
        <v>2.0E7</v>
      </c>
      <c r="AE32" s="7">
        <f t="shared" si="5"/>
        <v>20000000</v>
      </c>
      <c r="AF32" s="7">
        <v>1.0E7</v>
      </c>
      <c r="AG32" s="10">
        <f t="shared" si="2"/>
        <v>10000000</v>
      </c>
      <c r="AH32" s="10">
        <f t="shared" si="3"/>
        <v>0</v>
      </c>
      <c r="AI32" s="7"/>
      <c r="AJ32" s="7">
        <v>0.018760000000000002</v>
      </c>
      <c r="AK32" s="7"/>
      <c r="AL32" s="11">
        <v>45539.69542824074</v>
      </c>
    </row>
    <row r="33" ht="12.0" customHeight="1">
      <c r="A33" s="6" t="s">
        <v>367</v>
      </c>
      <c r="B33" s="7" t="s">
        <v>368</v>
      </c>
      <c r="C33" s="7" t="s">
        <v>369</v>
      </c>
      <c r="D33" s="7" t="s">
        <v>370</v>
      </c>
      <c r="E33" s="7" t="s">
        <v>66</v>
      </c>
      <c r="F33" s="7" t="s">
        <v>371</v>
      </c>
      <c r="G33" s="7" t="s">
        <v>38</v>
      </c>
      <c r="H33" s="7" t="s">
        <v>39</v>
      </c>
      <c r="I33" s="7" t="s">
        <v>40</v>
      </c>
      <c r="J33" s="7">
        <v>121.3322229868013</v>
      </c>
      <c r="K33" s="7">
        <v>-28.336367983566664</v>
      </c>
      <c r="L33" s="7" t="s">
        <v>41</v>
      </c>
      <c r="M33" s="7" t="s">
        <v>372</v>
      </c>
      <c r="N33" s="7" t="s">
        <v>373</v>
      </c>
      <c r="O33" s="7" t="s">
        <v>373</v>
      </c>
      <c r="P33" s="7"/>
      <c r="Q33" s="7"/>
      <c r="R33" s="7" t="s">
        <v>374</v>
      </c>
      <c r="S33" s="7" t="s">
        <v>58</v>
      </c>
      <c r="T33" s="8">
        <v>134500.0</v>
      </c>
      <c r="U33" s="7" t="s">
        <v>375</v>
      </c>
      <c r="V33" s="7" t="s">
        <v>376</v>
      </c>
      <c r="W33" s="7"/>
      <c r="X33" s="9">
        <v>1.0</v>
      </c>
      <c r="Y33" s="7" t="s">
        <v>377</v>
      </c>
      <c r="Z33" s="7"/>
      <c r="AA33" s="7">
        <f t="shared" si="8"/>
        <v>184250</v>
      </c>
      <c r="AB33" s="7">
        <f>275000*0.67</f>
        <v>184250</v>
      </c>
      <c r="AC33" s="7"/>
      <c r="AD33" s="7"/>
      <c r="AE33" s="7">
        <f t="shared" si="5"/>
        <v>184250</v>
      </c>
      <c r="AF33" s="7"/>
      <c r="AG33" s="10">
        <f t="shared" si="2"/>
        <v>184250</v>
      </c>
      <c r="AH33" s="10">
        <f t="shared" si="3"/>
        <v>0</v>
      </c>
      <c r="AI33" s="7"/>
      <c r="AJ33" s="7">
        <v>0.019430000000000003</v>
      </c>
      <c r="AK33" s="7"/>
      <c r="AL33" s="11">
        <v>45600.679444444446</v>
      </c>
    </row>
    <row r="34" ht="12.0" customHeight="1">
      <c r="A34" s="6" t="s">
        <v>378</v>
      </c>
      <c r="B34" s="7" t="s">
        <v>379</v>
      </c>
      <c r="C34" s="7" t="s">
        <v>380</v>
      </c>
      <c r="D34" s="7" t="s">
        <v>381</v>
      </c>
      <c r="E34" s="7" t="s">
        <v>66</v>
      </c>
      <c r="F34" s="7" t="s">
        <v>382</v>
      </c>
      <c r="G34" s="7" t="s">
        <v>38</v>
      </c>
      <c r="H34" s="7" t="s">
        <v>39</v>
      </c>
      <c r="I34" s="7" t="s">
        <v>40</v>
      </c>
      <c r="J34" s="7">
        <v>119.71888311665143</v>
      </c>
      <c r="K34" s="7">
        <v>-23.53616297381163</v>
      </c>
      <c r="L34" s="7" t="s">
        <v>41</v>
      </c>
      <c r="M34" s="7" t="s">
        <v>383</v>
      </c>
      <c r="N34" s="7" t="s">
        <v>384</v>
      </c>
      <c r="O34" s="7" t="s">
        <v>384</v>
      </c>
      <c r="P34" s="7"/>
      <c r="Q34" s="7"/>
      <c r="R34" s="7" t="s">
        <v>385</v>
      </c>
      <c r="S34" s="7" t="s">
        <v>58</v>
      </c>
      <c r="T34" s="8">
        <v>0.0</v>
      </c>
      <c r="U34" s="7" t="s">
        <v>386</v>
      </c>
      <c r="V34" s="7" t="s">
        <v>387</v>
      </c>
      <c r="W34" s="7"/>
      <c r="X34" s="9">
        <v>0.6</v>
      </c>
      <c r="Y34" s="7" t="s">
        <v>388</v>
      </c>
      <c r="Z34" s="7"/>
      <c r="AA34" s="7"/>
      <c r="AB34" s="7"/>
      <c r="AC34" s="7"/>
      <c r="AD34" s="7"/>
      <c r="AE34" s="7">
        <f t="shared" si="5"/>
        <v>0</v>
      </c>
      <c r="AF34" s="7"/>
      <c r="AG34" s="10">
        <f t="shared" si="2"/>
        <v>0</v>
      </c>
      <c r="AH34" s="10">
        <f t="shared" si="3"/>
        <v>0</v>
      </c>
      <c r="AI34" s="7"/>
      <c r="AJ34" s="7">
        <v>0.09045000000000002</v>
      </c>
      <c r="AK34" s="7"/>
      <c r="AL34" s="11">
        <v>45741.85891203704</v>
      </c>
    </row>
    <row r="35" ht="12.0" customHeight="1">
      <c r="A35" s="6" t="s">
        <v>389</v>
      </c>
      <c r="B35" s="7" t="s">
        <v>390</v>
      </c>
      <c r="C35" s="7" t="s">
        <v>391</v>
      </c>
      <c r="D35" s="7" t="s">
        <v>392</v>
      </c>
      <c r="E35" s="7" t="s">
        <v>66</v>
      </c>
      <c r="F35" s="7" t="s">
        <v>393</v>
      </c>
      <c r="G35" s="7" t="s">
        <v>38</v>
      </c>
      <c r="H35" s="7" t="s">
        <v>39</v>
      </c>
      <c r="I35" s="7" t="s">
        <v>40</v>
      </c>
      <c r="J35" s="7">
        <v>122.66294872794758</v>
      </c>
      <c r="K35" s="7">
        <v>-30.073778769590337</v>
      </c>
      <c r="L35" s="7" t="s">
        <v>41</v>
      </c>
      <c r="M35" s="7" t="s">
        <v>394</v>
      </c>
      <c r="N35" s="7" t="s">
        <v>395</v>
      </c>
      <c r="O35" s="7" t="s">
        <v>395</v>
      </c>
      <c r="P35" s="7"/>
      <c r="Q35" s="7"/>
      <c r="R35" s="7" t="s">
        <v>396</v>
      </c>
      <c r="S35" s="7" t="s">
        <v>58</v>
      </c>
      <c r="T35" s="8">
        <v>7000.0</v>
      </c>
      <c r="U35" s="7" t="s">
        <v>397</v>
      </c>
      <c r="V35" s="7" t="s">
        <v>398</v>
      </c>
      <c r="W35" s="7"/>
      <c r="X35" s="9">
        <v>1.0</v>
      </c>
      <c r="Y35" s="7" t="s">
        <v>399</v>
      </c>
      <c r="Z35" s="7"/>
      <c r="AA35" s="7">
        <f t="shared" ref="AA35:AA48" si="10">AB35+AC35+AF35</f>
        <v>70000</v>
      </c>
      <c r="AB35" s="7"/>
      <c r="AC35" s="7"/>
      <c r="AD35" s="7"/>
      <c r="AE35" s="7">
        <f t="shared" si="5"/>
        <v>70000</v>
      </c>
      <c r="AF35" s="7">
        <v>70000.0</v>
      </c>
      <c r="AG35" s="10">
        <f t="shared" si="2"/>
        <v>0</v>
      </c>
      <c r="AH35" s="10">
        <f t="shared" si="3"/>
        <v>0</v>
      </c>
      <c r="AI35" s="7"/>
      <c r="AJ35" s="7">
        <v>0.0</v>
      </c>
      <c r="AK35" s="7">
        <v>1.0</v>
      </c>
      <c r="AL35" s="11">
        <v>45631.68826388889</v>
      </c>
    </row>
    <row r="36" ht="12.0" customHeight="1">
      <c r="A36" s="6" t="s">
        <v>400</v>
      </c>
      <c r="B36" s="7" t="s">
        <v>401</v>
      </c>
      <c r="C36" s="7" t="s">
        <v>402</v>
      </c>
      <c r="D36" s="7" t="s">
        <v>403</v>
      </c>
      <c r="E36" s="7" t="s">
        <v>66</v>
      </c>
      <c r="F36" s="7" t="s">
        <v>404</v>
      </c>
      <c r="G36" s="7" t="s">
        <v>38</v>
      </c>
      <c r="H36" s="7" t="s">
        <v>39</v>
      </c>
      <c r="I36" s="7" t="s">
        <v>40</v>
      </c>
      <c r="J36" s="7">
        <v>118.51802760087583</v>
      </c>
      <c r="K36" s="7">
        <v>-26.813990313756914</v>
      </c>
      <c r="L36" s="7" t="s">
        <v>41</v>
      </c>
      <c r="M36" s="7" t="s">
        <v>405</v>
      </c>
      <c r="N36" s="7" t="s">
        <v>406</v>
      </c>
      <c r="O36" s="7" t="s">
        <v>406</v>
      </c>
      <c r="P36" s="7"/>
      <c r="Q36" s="7"/>
      <c r="R36" s="7" t="s">
        <v>407</v>
      </c>
      <c r="S36" s="7" t="s">
        <v>58</v>
      </c>
      <c r="T36" s="8">
        <v>0.0</v>
      </c>
      <c r="U36" s="7" t="s">
        <v>408</v>
      </c>
      <c r="V36" s="7" t="s">
        <v>409</v>
      </c>
      <c r="W36" s="7"/>
      <c r="X36" s="9">
        <v>0.75</v>
      </c>
      <c r="Y36" s="7" t="s">
        <v>410</v>
      </c>
      <c r="Z36" s="7"/>
      <c r="AA36" s="7">
        <f t="shared" si="10"/>
        <v>700000</v>
      </c>
      <c r="AB36" s="7"/>
      <c r="AC36" s="7">
        <v>600000.0</v>
      </c>
      <c r="AD36" s="7"/>
      <c r="AE36" s="7">
        <f t="shared" si="5"/>
        <v>100000</v>
      </c>
      <c r="AF36" s="7">
        <v>100000.0</v>
      </c>
      <c r="AG36" s="10">
        <f t="shared" si="2"/>
        <v>0</v>
      </c>
      <c r="AH36" s="10">
        <f t="shared" si="3"/>
        <v>0</v>
      </c>
      <c r="AI36" s="7"/>
      <c r="AJ36" s="7">
        <v>0.06298000000000001</v>
      </c>
      <c r="AK36" s="7"/>
      <c r="AL36" s="11">
        <v>45676.68096064815</v>
      </c>
    </row>
    <row r="37" ht="12.0" customHeight="1">
      <c r="A37" s="6" t="s">
        <v>411</v>
      </c>
      <c r="B37" s="7" t="s">
        <v>412</v>
      </c>
      <c r="C37" s="7" t="s">
        <v>413</v>
      </c>
      <c r="D37" s="7" t="s">
        <v>414</v>
      </c>
      <c r="E37" s="7" t="s">
        <v>66</v>
      </c>
      <c r="F37" s="7" t="s">
        <v>415</v>
      </c>
      <c r="G37" s="7" t="s">
        <v>38</v>
      </c>
      <c r="H37" s="7" t="s">
        <v>39</v>
      </c>
      <c r="I37" s="7" t="s">
        <v>79</v>
      </c>
      <c r="J37" s="7">
        <v>144.7821922603948</v>
      </c>
      <c r="K37" s="7">
        <v>-36.79395562182677</v>
      </c>
      <c r="L37" s="7" t="s">
        <v>41</v>
      </c>
      <c r="M37" s="7" t="s">
        <v>416</v>
      </c>
      <c r="N37" s="7" t="s">
        <v>417</v>
      </c>
      <c r="O37" s="7" t="s">
        <v>418</v>
      </c>
      <c r="P37" s="7"/>
      <c r="Q37" s="7" t="s">
        <v>419</v>
      </c>
      <c r="R37" s="7" t="s">
        <v>420</v>
      </c>
      <c r="S37" s="7" t="s">
        <v>58</v>
      </c>
      <c r="T37" s="8">
        <v>187.0</v>
      </c>
      <c r="U37" s="7" t="s">
        <v>421</v>
      </c>
      <c r="V37" s="7" t="s">
        <v>422</v>
      </c>
      <c r="W37" s="7"/>
      <c r="X37" s="9">
        <v>1.0</v>
      </c>
      <c r="Y37" s="7" t="s">
        <v>423</v>
      </c>
      <c r="Z37" s="7"/>
      <c r="AA37" s="7">
        <f t="shared" si="10"/>
        <v>167500</v>
      </c>
      <c r="AB37" s="7">
        <v>167500.0</v>
      </c>
      <c r="AC37" s="7"/>
      <c r="AD37" s="7"/>
      <c r="AE37" s="7">
        <f t="shared" si="5"/>
        <v>167500</v>
      </c>
      <c r="AF37" s="7"/>
      <c r="AG37" s="10">
        <f t="shared" si="2"/>
        <v>167500</v>
      </c>
      <c r="AH37" s="10">
        <f t="shared" si="3"/>
        <v>0</v>
      </c>
      <c r="AI37" s="7"/>
      <c r="AJ37" s="7">
        <v>3.4505000000000003</v>
      </c>
      <c r="AK37" s="7">
        <v>1.5</v>
      </c>
      <c r="AL37" s="11">
        <v>45589.68925925926</v>
      </c>
    </row>
    <row r="38" ht="12.0" customHeight="1">
      <c r="A38" s="6" t="s">
        <v>424</v>
      </c>
      <c r="B38" s="7" t="s">
        <v>425</v>
      </c>
      <c r="C38" s="7" t="s">
        <v>426</v>
      </c>
      <c r="D38" s="7" t="s">
        <v>427</v>
      </c>
      <c r="E38" s="7" t="s">
        <v>66</v>
      </c>
      <c r="F38" s="7" t="s">
        <v>428</v>
      </c>
      <c r="G38" s="7" t="s">
        <v>38</v>
      </c>
      <c r="H38" s="7" t="s">
        <v>39</v>
      </c>
      <c r="I38" s="7" t="s">
        <v>40</v>
      </c>
      <c r="J38" s="7">
        <v>118.60188335404585</v>
      </c>
      <c r="K38" s="7">
        <v>-26.568851632596807</v>
      </c>
      <c r="L38" s="7" t="s">
        <v>41</v>
      </c>
      <c r="M38" s="7" t="s">
        <v>429</v>
      </c>
      <c r="N38" s="7" t="s">
        <v>430</v>
      </c>
      <c r="O38" s="7" t="s">
        <v>430</v>
      </c>
      <c r="P38" s="7"/>
      <c r="Q38" s="7"/>
      <c r="R38" s="7" t="s">
        <v>431</v>
      </c>
      <c r="S38" s="7" t="s">
        <v>58</v>
      </c>
      <c r="T38" s="8">
        <v>0.0</v>
      </c>
      <c r="U38" s="7" t="s">
        <v>432</v>
      </c>
      <c r="V38" s="7" t="s">
        <v>433</v>
      </c>
      <c r="W38" s="7"/>
      <c r="X38" s="9">
        <v>0.8</v>
      </c>
      <c r="Y38" s="7" t="s">
        <v>434</v>
      </c>
      <c r="Z38" s="7"/>
      <c r="AA38" s="7">
        <f t="shared" si="10"/>
        <v>80000</v>
      </c>
      <c r="AB38" s="7"/>
      <c r="AC38" s="7"/>
      <c r="AD38" s="7">
        <v>160000.0</v>
      </c>
      <c r="AE38" s="7">
        <f t="shared" si="5"/>
        <v>80000</v>
      </c>
      <c r="AF38" s="7">
        <v>80000.0</v>
      </c>
      <c r="AG38" s="10">
        <f t="shared" si="2"/>
        <v>0</v>
      </c>
      <c r="AH38" s="10">
        <f t="shared" si="3"/>
        <v>0</v>
      </c>
      <c r="AI38" s="7"/>
      <c r="AJ38" s="7">
        <v>0.046900000000000004</v>
      </c>
      <c r="AK38" s="7"/>
      <c r="AL38" s="11">
        <v>45558.6827662037</v>
      </c>
    </row>
    <row r="39" ht="12.0" customHeight="1">
      <c r="A39" s="6" t="s">
        <v>411</v>
      </c>
      <c r="B39" s="7" t="s">
        <v>435</v>
      </c>
      <c r="C39" s="7" t="s">
        <v>436</v>
      </c>
      <c r="D39" s="7" t="s">
        <v>437</v>
      </c>
      <c r="E39" s="7" t="s">
        <v>66</v>
      </c>
      <c r="F39" s="7"/>
      <c r="G39" s="7" t="s">
        <v>38</v>
      </c>
      <c r="H39" s="7" t="s">
        <v>39</v>
      </c>
      <c r="I39" s="7" t="s">
        <v>79</v>
      </c>
      <c r="J39" s="7">
        <v>145.11904867600998</v>
      </c>
      <c r="K39" s="7">
        <v>-37.30522377878056</v>
      </c>
      <c r="L39" s="7" t="s">
        <v>41</v>
      </c>
      <c r="M39" s="7" t="s">
        <v>438</v>
      </c>
      <c r="N39" s="7" t="s">
        <v>418</v>
      </c>
      <c r="O39" s="7" t="s">
        <v>418</v>
      </c>
      <c r="P39" s="7" t="s">
        <v>419</v>
      </c>
      <c r="Q39" s="7" t="s">
        <v>419</v>
      </c>
      <c r="R39" s="7" t="s">
        <v>439</v>
      </c>
      <c r="S39" s="7" t="s">
        <v>58</v>
      </c>
      <c r="T39" s="8">
        <v>0.0</v>
      </c>
      <c r="U39" s="7" t="s">
        <v>440</v>
      </c>
      <c r="V39" s="7" t="s">
        <v>441</v>
      </c>
      <c r="W39" s="7"/>
      <c r="X39" s="7"/>
      <c r="Y39" s="7"/>
      <c r="Z39" s="7"/>
      <c r="AA39" s="7">
        <f t="shared" si="10"/>
        <v>852910</v>
      </c>
      <c r="AB39" s="7">
        <v>852910.0</v>
      </c>
      <c r="AC39" s="7"/>
      <c r="AD39" s="7"/>
      <c r="AE39" s="7">
        <f t="shared" si="5"/>
        <v>852910</v>
      </c>
      <c r="AF39" s="7"/>
      <c r="AG39" s="10">
        <f t="shared" si="2"/>
        <v>1000904.089</v>
      </c>
      <c r="AH39" s="10">
        <f t="shared" si="3"/>
        <v>147994.089</v>
      </c>
      <c r="AI39" s="7">
        <v>2.208867E7</v>
      </c>
      <c r="AJ39" s="7">
        <v>0.0067</v>
      </c>
      <c r="AK39" s="7"/>
      <c r="AL39" s="11">
        <v>45569.1875</v>
      </c>
    </row>
    <row r="40" ht="12.0" customHeight="1">
      <c r="A40" s="6" t="s">
        <v>442</v>
      </c>
      <c r="B40" s="7" t="s">
        <v>443</v>
      </c>
      <c r="C40" s="7" t="s">
        <v>444</v>
      </c>
      <c r="D40" s="7" t="s">
        <v>445</v>
      </c>
      <c r="E40" s="7" t="s">
        <v>66</v>
      </c>
      <c r="F40" s="7" t="s">
        <v>446</v>
      </c>
      <c r="G40" s="7" t="s">
        <v>38</v>
      </c>
      <c r="H40" s="7" t="s">
        <v>39</v>
      </c>
      <c r="I40" s="7" t="s">
        <v>132</v>
      </c>
      <c r="J40" s="7">
        <v>151.3706298025289</v>
      </c>
      <c r="K40" s="7">
        <v>-24.299396998650437</v>
      </c>
      <c r="L40" s="7" t="s">
        <v>41</v>
      </c>
      <c r="M40" s="7" t="s">
        <v>447</v>
      </c>
      <c r="N40" s="7" t="s">
        <v>448</v>
      </c>
      <c r="O40" s="7" t="s">
        <v>448</v>
      </c>
      <c r="P40" s="7"/>
      <c r="Q40" s="7"/>
      <c r="R40" s="7" t="s">
        <v>449</v>
      </c>
      <c r="S40" s="7" t="s">
        <v>58</v>
      </c>
      <c r="T40" s="8">
        <v>13760.0</v>
      </c>
      <c r="U40" s="7" t="s">
        <v>450</v>
      </c>
      <c r="V40" s="7" t="s">
        <v>451</v>
      </c>
      <c r="W40" s="7"/>
      <c r="X40" s="9">
        <v>1.0</v>
      </c>
      <c r="Y40" s="7" t="s">
        <v>452</v>
      </c>
      <c r="Z40" s="7"/>
      <c r="AA40" s="7">
        <f t="shared" si="10"/>
        <v>636500</v>
      </c>
      <c r="AB40" s="7">
        <v>636500.0</v>
      </c>
      <c r="AC40" s="7"/>
      <c r="AD40" s="7"/>
      <c r="AE40" s="7">
        <f t="shared" si="5"/>
        <v>636500</v>
      </c>
      <c r="AF40" s="7"/>
      <c r="AG40" s="10">
        <f t="shared" si="2"/>
        <v>859833.3324</v>
      </c>
      <c r="AH40" s="10">
        <f t="shared" si="3"/>
        <v>223333.3324</v>
      </c>
      <c r="AI40" s="7">
        <v>8.3333333E7</v>
      </c>
      <c r="AJ40" s="7">
        <v>0.00268</v>
      </c>
      <c r="AK40" s="7"/>
      <c r="AL40" s="11">
        <v>45559.721608796295</v>
      </c>
    </row>
    <row r="41" ht="12.0" customHeight="1">
      <c r="A41" s="6" t="s">
        <v>453</v>
      </c>
      <c r="B41" s="7" t="s">
        <v>454</v>
      </c>
      <c r="C41" s="7" t="s">
        <v>455</v>
      </c>
      <c r="D41" s="7" t="s">
        <v>456</v>
      </c>
      <c r="E41" s="7" t="s">
        <v>66</v>
      </c>
      <c r="F41" s="7" t="s">
        <v>457</v>
      </c>
      <c r="G41" s="7" t="s">
        <v>38</v>
      </c>
      <c r="H41" s="7" t="s">
        <v>39</v>
      </c>
      <c r="I41" s="7" t="s">
        <v>132</v>
      </c>
      <c r="J41" s="7">
        <v>147.09793247262903</v>
      </c>
      <c r="K41" s="7">
        <v>-21.96495345286641</v>
      </c>
      <c r="L41" s="7" t="s">
        <v>41</v>
      </c>
      <c r="M41" s="7" t="s">
        <v>458</v>
      </c>
      <c r="N41" s="7" t="s">
        <v>459</v>
      </c>
      <c r="O41" s="7" t="s">
        <v>459</v>
      </c>
      <c r="P41" s="7"/>
      <c r="Q41" s="7"/>
      <c r="R41" s="7" t="s">
        <v>460</v>
      </c>
      <c r="S41" s="7" t="s">
        <v>58</v>
      </c>
      <c r="T41" s="8">
        <v>0.0</v>
      </c>
      <c r="U41" s="7" t="s">
        <v>461</v>
      </c>
      <c r="V41" s="7" t="s">
        <v>462</v>
      </c>
      <c r="W41" s="7"/>
      <c r="X41" s="7"/>
      <c r="Y41" s="7" t="s">
        <v>463</v>
      </c>
      <c r="Z41" s="7"/>
      <c r="AA41" s="7">
        <f t="shared" si="10"/>
        <v>8693400</v>
      </c>
      <c r="AB41" s="7">
        <v>2693400.0</v>
      </c>
      <c r="AC41" s="7">
        <v>6000000.0</v>
      </c>
      <c r="AD41" s="7"/>
      <c r="AE41" s="7">
        <f t="shared" si="5"/>
        <v>2693400</v>
      </c>
      <c r="AF41" s="7"/>
      <c r="AG41" s="10">
        <f t="shared" si="2"/>
        <v>2693400</v>
      </c>
      <c r="AH41" s="10">
        <f t="shared" si="3"/>
        <v>0</v>
      </c>
      <c r="AI41" s="7"/>
      <c r="AJ41" s="7">
        <v>0.00536</v>
      </c>
      <c r="AK41" s="7"/>
      <c r="AL41" s="11">
        <v>45585.679444444446</v>
      </c>
    </row>
    <row r="42" ht="12.0" customHeight="1">
      <c r="A42" s="6" t="s">
        <v>464</v>
      </c>
      <c r="B42" s="7" t="s">
        <v>465</v>
      </c>
      <c r="C42" s="7" t="s">
        <v>466</v>
      </c>
      <c r="D42" s="7" t="s">
        <v>467</v>
      </c>
      <c r="E42" s="7" t="s">
        <v>66</v>
      </c>
      <c r="F42" s="7" t="s">
        <v>468</v>
      </c>
      <c r="G42" s="7" t="s">
        <v>38</v>
      </c>
      <c r="H42" s="7" t="s">
        <v>39</v>
      </c>
      <c r="I42" s="7" t="s">
        <v>40</v>
      </c>
      <c r="J42" s="7">
        <v>119.6493865671558</v>
      </c>
      <c r="K42" s="7">
        <v>-32.15183006713117</v>
      </c>
      <c r="L42" s="7" t="s">
        <v>41</v>
      </c>
      <c r="M42" s="7" t="s">
        <v>469</v>
      </c>
      <c r="N42" s="7" t="s">
        <v>470</v>
      </c>
      <c r="O42" s="7" t="s">
        <v>470</v>
      </c>
      <c r="P42" s="7"/>
      <c r="Q42" s="7"/>
      <c r="R42" s="7" t="s">
        <v>471</v>
      </c>
      <c r="S42" s="7" t="s">
        <v>58</v>
      </c>
      <c r="T42" s="8">
        <v>0.0</v>
      </c>
      <c r="U42" s="7" t="s">
        <v>472</v>
      </c>
      <c r="V42" s="7" t="s">
        <v>473</v>
      </c>
      <c r="W42" s="7"/>
      <c r="X42" s="9">
        <v>0.8</v>
      </c>
      <c r="Y42" s="7" t="s">
        <v>474</v>
      </c>
      <c r="Z42" s="7"/>
      <c r="AA42" s="10">
        <f t="shared" si="10"/>
        <v>1785885</v>
      </c>
      <c r="AB42" s="7">
        <v>1346700.0</v>
      </c>
      <c r="AC42" s="7"/>
      <c r="AD42" s="7">
        <v>4000000.0</v>
      </c>
      <c r="AE42" s="10">
        <f t="shared" si="5"/>
        <v>1785885</v>
      </c>
      <c r="AF42" s="10">
        <f>AH42</f>
        <v>439185</v>
      </c>
      <c r="AG42" s="10">
        <f t="shared" si="2"/>
        <v>1785885</v>
      </c>
      <c r="AH42" s="10">
        <f t="shared" si="3"/>
        <v>439185</v>
      </c>
      <c r="AI42" s="7">
        <v>5700000.0</v>
      </c>
      <c r="AJ42" s="7">
        <v>0.07705000000000001</v>
      </c>
      <c r="AK42" s="7"/>
      <c r="AL42" s="11">
        <v>45721.69965277778</v>
      </c>
    </row>
    <row r="43" ht="12.0" customHeight="1">
      <c r="A43" s="6" t="s">
        <v>475</v>
      </c>
      <c r="B43" s="7" t="s">
        <v>476</v>
      </c>
      <c r="C43" s="7" t="s">
        <v>477</v>
      </c>
      <c r="D43" s="7" t="s">
        <v>478</v>
      </c>
      <c r="E43" s="7" t="s">
        <v>66</v>
      </c>
      <c r="F43" s="7" t="s">
        <v>479</v>
      </c>
      <c r="G43" s="7" t="s">
        <v>38</v>
      </c>
      <c r="H43" s="7" t="s">
        <v>39</v>
      </c>
      <c r="I43" s="7" t="s">
        <v>40</v>
      </c>
      <c r="J43" s="7">
        <v>121.24626995607822</v>
      </c>
      <c r="K43" s="7">
        <v>-30.343716066320184</v>
      </c>
      <c r="L43" s="7" t="s">
        <v>41</v>
      </c>
      <c r="M43" s="7" t="s">
        <v>480</v>
      </c>
      <c r="N43" s="7" t="s">
        <v>481</v>
      </c>
      <c r="O43" s="7" t="s">
        <v>481</v>
      </c>
      <c r="P43" s="7"/>
      <c r="Q43" s="7"/>
      <c r="R43" s="7" t="s">
        <v>482</v>
      </c>
      <c r="S43" s="7" t="s">
        <v>58</v>
      </c>
      <c r="T43" s="8">
        <v>0.0</v>
      </c>
      <c r="U43" s="7" t="s">
        <v>483</v>
      </c>
      <c r="V43" s="7" t="s">
        <v>484</v>
      </c>
      <c r="W43" s="7"/>
      <c r="X43" s="9">
        <v>1.0</v>
      </c>
      <c r="Y43" s="7" t="s">
        <v>485</v>
      </c>
      <c r="Z43" s="7"/>
      <c r="AA43" s="7">
        <f t="shared" si="10"/>
        <v>317000</v>
      </c>
      <c r="AB43" s="7">
        <v>67000.0</v>
      </c>
      <c r="AC43" s="7">
        <v>150000.0</v>
      </c>
      <c r="AD43" s="7">
        <v>100000.0</v>
      </c>
      <c r="AE43" s="7">
        <f t="shared" si="5"/>
        <v>167000</v>
      </c>
      <c r="AF43" s="7">
        <v>100000.0</v>
      </c>
      <c r="AG43" s="10">
        <f t="shared" si="2"/>
        <v>67000</v>
      </c>
      <c r="AH43" s="10">
        <f t="shared" si="3"/>
        <v>0</v>
      </c>
      <c r="AI43" s="7"/>
      <c r="AJ43" s="7">
        <v>0.01273</v>
      </c>
      <c r="AK43" s="7">
        <v>1.5</v>
      </c>
      <c r="AL43" s="11">
        <v>45572.71362268519</v>
      </c>
    </row>
    <row r="44" ht="12.0" customHeight="1">
      <c r="A44" s="6" t="s">
        <v>486</v>
      </c>
      <c r="B44" s="7" t="s">
        <v>487</v>
      </c>
      <c r="C44" s="7" t="s">
        <v>488</v>
      </c>
      <c r="D44" s="7" t="s">
        <v>489</v>
      </c>
      <c r="E44" s="7" t="s">
        <v>66</v>
      </c>
      <c r="F44" s="7"/>
      <c r="G44" s="7" t="s">
        <v>38</v>
      </c>
      <c r="H44" s="7" t="s">
        <v>39</v>
      </c>
      <c r="I44" s="7" t="s">
        <v>40</v>
      </c>
      <c r="J44" s="7">
        <v>116.64924846664269</v>
      </c>
      <c r="K44" s="7">
        <v>-28.25363596932471</v>
      </c>
      <c r="L44" s="7" t="s">
        <v>41</v>
      </c>
      <c r="M44" s="7" t="s">
        <v>490</v>
      </c>
      <c r="N44" s="7" t="s">
        <v>333</v>
      </c>
      <c r="O44" s="7" t="s">
        <v>333</v>
      </c>
      <c r="P44" s="7"/>
      <c r="Q44" s="7"/>
      <c r="R44" s="7" t="s">
        <v>491</v>
      </c>
      <c r="S44" s="7" t="s">
        <v>58</v>
      </c>
      <c r="T44" s="8">
        <v>0.0</v>
      </c>
      <c r="U44" s="7" t="s">
        <v>492</v>
      </c>
      <c r="V44" s="7" t="s">
        <v>493</v>
      </c>
      <c r="W44" s="7"/>
      <c r="X44" s="7"/>
      <c r="Y44" s="7" t="s">
        <v>494</v>
      </c>
      <c r="Z44" s="7"/>
      <c r="AA44" s="7">
        <f t="shared" si="10"/>
        <v>184250</v>
      </c>
      <c r="AB44" s="7">
        <v>184250.0</v>
      </c>
      <c r="AC44" s="7"/>
      <c r="AD44" s="7"/>
      <c r="AE44" s="7">
        <f t="shared" si="5"/>
        <v>184250</v>
      </c>
      <c r="AF44" s="7"/>
      <c r="AG44" s="10">
        <f t="shared" si="2"/>
        <v>184250</v>
      </c>
      <c r="AH44" s="10">
        <f t="shared" si="3"/>
        <v>0</v>
      </c>
      <c r="AI44" s="7"/>
      <c r="AJ44" s="7">
        <v>1.4472000000000003</v>
      </c>
      <c r="AK44" s="7"/>
      <c r="AL44" s="11">
        <v>45679.63738425926</v>
      </c>
    </row>
    <row r="45" ht="12.0" customHeight="1">
      <c r="A45" s="6" t="s">
        <v>495</v>
      </c>
      <c r="B45" s="7" t="s">
        <v>496</v>
      </c>
      <c r="C45" s="7" t="s">
        <v>497</v>
      </c>
      <c r="D45" s="7" t="s">
        <v>498</v>
      </c>
      <c r="E45" s="7" t="s">
        <v>66</v>
      </c>
      <c r="F45" s="7"/>
      <c r="G45" s="7" t="s">
        <v>38</v>
      </c>
      <c r="H45" s="7" t="s">
        <v>39</v>
      </c>
      <c r="I45" s="7" t="s">
        <v>40</v>
      </c>
      <c r="J45" s="7">
        <v>122.25910249384162</v>
      </c>
      <c r="K45" s="7">
        <v>-29.649740809405305</v>
      </c>
      <c r="L45" s="7" t="s">
        <v>41</v>
      </c>
      <c r="M45" s="7" t="s">
        <v>499</v>
      </c>
      <c r="N45" s="7" t="s">
        <v>500</v>
      </c>
      <c r="O45" s="7" t="s">
        <v>500</v>
      </c>
      <c r="P45" s="7"/>
      <c r="Q45" s="7"/>
      <c r="R45" s="7" t="s">
        <v>396</v>
      </c>
      <c r="S45" s="7" t="s">
        <v>58</v>
      </c>
      <c r="T45" s="8">
        <v>7000.0</v>
      </c>
      <c r="U45" s="7" t="s">
        <v>501</v>
      </c>
      <c r="V45" s="7" t="s">
        <v>502</v>
      </c>
      <c r="W45" s="7"/>
      <c r="X45" s="9">
        <v>1.0</v>
      </c>
      <c r="Y45" s="7" t="s">
        <v>503</v>
      </c>
      <c r="Z45" s="7"/>
      <c r="AA45" s="7">
        <f t="shared" si="10"/>
        <v>6770000</v>
      </c>
      <c r="AB45" s="7">
        <v>6700000.0</v>
      </c>
      <c r="AC45" s="7"/>
      <c r="AD45" s="7"/>
      <c r="AE45" s="7">
        <f t="shared" si="5"/>
        <v>6770000</v>
      </c>
      <c r="AF45" s="7">
        <v>70000.0</v>
      </c>
      <c r="AG45" s="10">
        <f t="shared" si="2"/>
        <v>6700000</v>
      </c>
      <c r="AH45" s="10">
        <f t="shared" si="3"/>
        <v>0</v>
      </c>
      <c r="AI45" s="7"/>
      <c r="AJ45" s="7">
        <v>0.0</v>
      </c>
      <c r="AK45" s="7">
        <v>1.0</v>
      </c>
      <c r="AL45" s="11">
        <v>45631.68826388889</v>
      </c>
    </row>
    <row r="46" ht="12.0" customHeight="1">
      <c r="A46" s="6" t="s">
        <v>504</v>
      </c>
      <c r="B46" s="7" t="s">
        <v>505</v>
      </c>
      <c r="C46" s="7" t="s">
        <v>506</v>
      </c>
      <c r="D46" s="7" t="s">
        <v>507</v>
      </c>
      <c r="E46" s="7" t="s">
        <v>66</v>
      </c>
      <c r="F46" s="7"/>
      <c r="G46" s="7" t="s">
        <v>38</v>
      </c>
      <c r="H46" s="7" t="s">
        <v>39</v>
      </c>
      <c r="I46" s="7" t="s">
        <v>132</v>
      </c>
      <c r="J46" s="7">
        <v>151.3509543759145</v>
      </c>
      <c r="K46" s="7">
        <v>-24.98187892957048</v>
      </c>
      <c r="L46" s="7" t="s">
        <v>41</v>
      </c>
      <c r="M46" s="7" t="s">
        <v>41</v>
      </c>
      <c r="N46" s="7" t="s">
        <v>508</v>
      </c>
      <c r="O46" s="7" t="s">
        <v>508</v>
      </c>
      <c r="P46" s="7" t="s">
        <v>509</v>
      </c>
      <c r="Q46" s="7" t="s">
        <v>509</v>
      </c>
      <c r="R46" s="7" t="s">
        <v>510</v>
      </c>
      <c r="S46" s="7" t="s">
        <v>58</v>
      </c>
      <c r="T46" s="8">
        <v>59520.0</v>
      </c>
      <c r="U46" s="7" t="s">
        <v>511</v>
      </c>
      <c r="V46" s="7" t="s">
        <v>512</v>
      </c>
      <c r="W46" s="7"/>
      <c r="X46" s="7"/>
      <c r="Y46" s="7"/>
      <c r="Z46" s="7"/>
      <c r="AA46" s="7">
        <f t="shared" si="10"/>
        <v>121222.5</v>
      </c>
      <c r="AB46" s="7">
        <v>11222.5</v>
      </c>
      <c r="AC46" s="7"/>
      <c r="AD46" s="13"/>
      <c r="AE46" s="7">
        <f t="shared" si="5"/>
        <v>121222.5</v>
      </c>
      <c r="AF46" s="7">
        <v>110000.0</v>
      </c>
      <c r="AG46" s="10">
        <f t="shared" si="2"/>
        <v>6979222.5</v>
      </c>
      <c r="AH46" s="10">
        <f t="shared" si="3"/>
        <v>6968000</v>
      </c>
      <c r="AI46" s="7">
        <v>1.6E7</v>
      </c>
      <c r="AJ46" s="7">
        <v>0.43550000000000005</v>
      </c>
      <c r="AK46" s="7">
        <v>2.5</v>
      </c>
      <c r="AL46" s="11">
        <v>45597.27083333333</v>
      </c>
    </row>
    <row r="47" ht="12.0" customHeight="1">
      <c r="A47" s="6" t="s">
        <v>513</v>
      </c>
      <c r="B47" s="7" t="s">
        <v>514</v>
      </c>
      <c r="C47" s="7" t="s">
        <v>515</v>
      </c>
      <c r="D47" s="7" t="s">
        <v>516</v>
      </c>
      <c r="E47" s="7" t="s">
        <v>66</v>
      </c>
      <c r="F47" s="7"/>
      <c r="G47" s="7" t="s">
        <v>38</v>
      </c>
      <c r="H47" s="7" t="s">
        <v>39</v>
      </c>
      <c r="I47" s="7" t="s">
        <v>79</v>
      </c>
      <c r="J47" s="7">
        <v>143.41737333667797</v>
      </c>
      <c r="K47" s="7">
        <v>-36.31737217600417</v>
      </c>
      <c r="L47" s="7" t="s">
        <v>41</v>
      </c>
      <c r="M47" s="7" t="s">
        <v>517</v>
      </c>
      <c r="N47" s="7" t="s">
        <v>518</v>
      </c>
      <c r="O47" s="7" t="s">
        <v>519</v>
      </c>
      <c r="P47" s="7"/>
      <c r="Q47" s="7" t="s">
        <v>520</v>
      </c>
      <c r="R47" s="7" t="s">
        <v>521</v>
      </c>
      <c r="S47" s="7" t="s">
        <v>58</v>
      </c>
      <c r="T47" s="8">
        <v>72800.0</v>
      </c>
      <c r="U47" s="7" t="s">
        <v>522</v>
      </c>
      <c r="V47" s="7" t="s">
        <v>523</v>
      </c>
      <c r="W47" s="7"/>
      <c r="X47" s="9">
        <v>0.8</v>
      </c>
      <c r="Y47" s="7" t="s">
        <v>524</v>
      </c>
      <c r="Z47" s="7"/>
      <c r="AA47" s="7">
        <f t="shared" si="10"/>
        <v>326200</v>
      </c>
      <c r="AB47" s="7">
        <v>0.0</v>
      </c>
      <c r="AC47" s="7">
        <v>326200.0</v>
      </c>
      <c r="AD47" s="7"/>
      <c r="AE47" s="7">
        <f t="shared" si="5"/>
        <v>0</v>
      </c>
      <c r="AF47" s="7"/>
      <c r="AG47" s="10">
        <f t="shared" si="2"/>
        <v>0</v>
      </c>
      <c r="AH47" s="10">
        <f t="shared" si="3"/>
        <v>0</v>
      </c>
      <c r="AI47" s="7"/>
      <c r="AJ47" s="7">
        <v>0.1407</v>
      </c>
      <c r="AK47" s="7">
        <v>2.0</v>
      </c>
      <c r="AL47" s="11">
        <v>45629.63665509259</v>
      </c>
    </row>
    <row r="48" ht="12.0" customHeight="1">
      <c r="A48" s="6" t="s">
        <v>525</v>
      </c>
      <c r="B48" s="7" t="s">
        <v>526</v>
      </c>
      <c r="C48" s="7" t="s">
        <v>527</v>
      </c>
      <c r="D48" s="7" t="s">
        <v>528</v>
      </c>
      <c r="E48" s="7" t="s">
        <v>66</v>
      </c>
      <c r="F48" s="7" t="s">
        <v>529</v>
      </c>
      <c r="G48" s="7" t="s">
        <v>530</v>
      </c>
      <c r="H48" s="7" t="s">
        <v>39</v>
      </c>
      <c r="I48" s="7" t="s">
        <v>40</v>
      </c>
      <c r="J48" s="7">
        <v>119.82930449064972</v>
      </c>
      <c r="K48" s="7">
        <v>-32.77493808418429</v>
      </c>
      <c r="L48" s="7" t="s">
        <v>41</v>
      </c>
      <c r="M48" s="7" t="s">
        <v>531</v>
      </c>
      <c r="N48" s="7" t="s">
        <v>532</v>
      </c>
      <c r="O48" s="7"/>
      <c r="P48" s="7"/>
      <c r="Q48" s="7"/>
      <c r="R48" s="7" t="s">
        <v>533</v>
      </c>
      <c r="S48" s="7" t="s">
        <v>58</v>
      </c>
      <c r="T48" s="8">
        <v>0.0</v>
      </c>
      <c r="U48" s="7" t="s">
        <v>534</v>
      </c>
      <c r="V48" s="7" t="s">
        <v>535</v>
      </c>
      <c r="W48" s="7"/>
      <c r="X48" s="9">
        <v>1.0</v>
      </c>
      <c r="Y48" s="7" t="s">
        <v>536</v>
      </c>
      <c r="Z48" s="7"/>
      <c r="AA48" s="7">
        <f t="shared" si="10"/>
        <v>4690000</v>
      </c>
      <c r="AB48" s="7">
        <v>4690000.0</v>
      </c>
      <c r="AC48" s="7"/>
      <c r="AD48" s="7"/>
      <c r="AE48" s="7">
        <f t="shared" si="5"/>
        <v>4690000</v>
      </c>
      <c r="AF48" s="7"/>
      <c r="AG48" s="10">
        <f t="shared" si="2"/>
        <v>4690000</v>
      </c>
      <c r="AH48" s="10">
        <f t="shared" si="3"/>
        <v>0</v>
      </c>
      <c r="AI48" s="7"/>
      <c r="AJ48" s="7">
        <v>0.0</v>
      </c>
      <c r="AK48" s="7"/>
      <c r="AL48" s="11">
        <v>45740.014328703706</v>
      </c>
    </row>
    <row r="49" ht="12.0" customHeight="1">
      <c r="A49" s="6" t="s">
        <v>62</v>
      </c>
      <c r="B49" s="7" t="s">
        <v>63</v>
      </c>
      <c r="C49" s="7" t="s">
        <v>537</v>
      </c>
      <c r="D49" s="7" t="s">
        <v>538</v>
      </c>
      <c r="E49" s="7" t="s">
        <v>66</v>
      </c>
      <c r="F49" s="7" t="s">
        <v>539</v>
      </c>
      <c r="G49" s="7" t="s">
        <v>540</v>
      </c>
      <c r="H49" s="7" t="s">
        <v>39</v>
      </c>
      <c r="I49" s="7" t="s">
        <v>79</v>
      </c>
      <c r="J49" s="7">
        <v>145.86427615693435</v>
      </c>
      <c r="K49" s="7">
        <v>-36.945031892906826</v>
      </c>
      <c r="L49" s="7" t="s">
        <v>41</v>
      </c>
      <c r="M49" s="7" t="s">
        <v>541</v>
      </c>
      <c r="N49" s="7" t="s">
        <v>70</v>
      </c>
      <c r="O49" s="7" t="s">
        <v>70</v>
      </c>
      <c r="P49" s="7"/>
      <c r="Q49" s="7"/>
      <c r="R49" s="7" t="s">
        <v>542</v>
      </c>
      <c r="S49" s="7" t="s">
        <v>58</v>
      </c>
      <c r="T49" s="8">
        <v>10200.0</v>
      </c>
      <c r="U49" s="12" t="s">
        <v>543</v>
      </c>
      <c r="V49" s="7" t="s">
        <v>73</v>
      </c>
      <c r="W49" s="7"/>
      <c r="X49" s="9">
        <v>1.0</v>
      </c>
      <c r="Y49" s="7" t="s">
        <v>544</v>
      </c>
      <c r="Z49" s="7"/>
      <c r="AA49" s="7">
        <f>AE49</f>
        <v>469000</v>
      </c>
      <c r="AB49" s="7">
        <v>234500.0</v>
      </c>
      <c r="AC49" s="7"/>
      <c r="AD49" s="7"/>
      <c r="AE49" s="7">
        <f t="shared" si="5"/>
        <v>469000</v>
      </c>
      <c r="AF49" s="7">
        <v>234500.0</v>
      </c>
      <c r="AG49" s="7"/>
      <c r="AH49" s="10"/>
      <c r="AI49" s="7"/>
      <c r="AJ49" s="7">
        <v>0.004690000000000001</v>
      </c>
      <c r="AK49" s="7"/>
      <c r="AL49" s="11">
        <v>45700.687372685185</v>
      </c>
    </row>
    <row r="50" ht="12.0" customHeight="1">
      <c r="A50" s="6" t="s">
        <v>545</v>
      </c>
      <c r="B50" s="7" t="s">
        <v>546</v>
      </c>
      <c r="C50" s="7" t="s">
        <v>547</v>
      </c>
      <c r="D50" s="7" t="s">
        <v>548</v>
      </c>
      <c r="E50" s="7" t="s">
        <v>66</v>
      </c>
      <c r="F50" s="7"/>
      <c r="G50" s="7" t="s">
        <v>540</v>
      </c>
      <c r="H50" s="7" t="s">
        <v>39</v>
      </c>
      <c r="I50" s="7" t="s">
        <v>79</v>
      </c>
      <c r="J50" s="7">
        <v>143.73524448325148</v>
      </c>
      <c r="K50" s="7">
        <v>-37.47202362802292</v>
      </c>
      <c r="L50" s="7" t="s">
        <v>41</v>
      </c>
      <c r="M50" s="7" t="s">
        <v>549</v>
      </c>
      <c r="N50" s="7" t="s">
        <v>519</v>
      </c>
      <c r="O50" s="7" t="s">
        <v>518</v>
      </c>
      <c r="P50" s="7" t="s">
        <v>520</v>
      </c>
      <c r="Q50" s="7"/>
      <c r="R50" s="7" t="s">
        <v>550</v>
      </c>
      <c r="S50" s="7" t="s">
        <v>551</v>
      </c>
      <c r="T50" s="8">
        <v>78800.0</v>
      </c>
      <c r="U50" s="7" t="s">
        <v>552</v>
      </c>
      <c r="V50" s="7" t="s">
        <v>523</v>
      </c>
      <c r="W50" s="7"/>
      <c r="X50" s="7"/>
      <c r="Y50" s="7"/>
      <c r="Z50" s="7"/>
      <c r="AA50" s="7"/>
      <c r="AB50" s="7"/>
      <c r="AC50" s="7">
        <v>326200.0</v>
      </c>
      <c r="AD50" s="7"/>
      <c r="AE50" s="7">
        <f t="shared" si="5"/>
        <v>0</v>
      </c>
      <c r="AF50" s="7"/>
      <c r="AG50" s="10">
        <f t="shared" ref="AG50:AG169" si="11">AB50+AH50</f>
        <v>0</v>
      </c>
      <c r="AH50" s="10">
        <f t="shared" ref="AH50:AH169" si="12">AI50*AJ50</f>
        <v>0</v>
      </c>
      <c r="AI50" s="7"/>
      <c r="AJ50" s="7">
        <v>0.0</v>
      </c>
      <c r="AK50" s="7">
        <v>2.0</v>
      </c>
      <c r="AL50" s="11">
        <v>45720.3125</v>
      </c>
    </row>
    <row r="51" ht="12.0" customHeight="1">
      <c r="A51" s="6" t="s">
        <v>553</v>
      </c>
      <c r="B51" s="7" t="s">
        <v>554</v>
      </c>
      <c r="C51" s="7" t="s">
        <v>555</v>
      </c>
      <c r="D51" s="7" t="s">
        <v>556</v>
      </c>
      <c r="E51" s="7" t="s">
        <v>66</v>
      </c>
      <c r="F51" s="7"/>
      <c r="G51" s="7" t="s">
        <v>540</v>
      </c>
      <c r="H51" s="7" t="s">
        <v>39</v>
      </c>
      <c r="I51" s="7" t="s">
        <v>132</v>
      </c>
      <c r="J51" s="7">
        <v>151.7018528594861</v>
      </c>
      <c r="K51" s="7">
        <v>-28.091591702457265</v>
      </c>
      <c r="L51" s="7" t="s">
        <v>41</v>
      </c>
      <c r="M51" s="7" t="s">
        <v>557</v>
      </c>
      <c r="N51" s="7" t="s">
        <v>558</v>
      </c>
      <c r="O51" s="7" t="s">
        <v>558</v>
      </c>
      <c r="P51" s="7" t="s">
        <v>559</v>
      </c>
      <c r="Q51" s="7" t="s">
        <v>559</v>
      </c>
      <c r="R51" s="7" t="s">
        <v>560</v>
      </c>
      <c r="S51" s="7" t="s">
        <v>561</v>
      </c>
      <c r="T51" s="8">
        <v>11000.0</v>
      </c>
      <c r="U51" s="7" t="s">
        <v>562</v>
      </c>
      <c r="V51" s="7" t="s">
        <v>563</v>
      </c>
      <c r="W51" s="7"/>
      <c r="X51" s="7"/>
      <c r="Y51" s="7"/>
      <c r="Z51" s="7"/>
      <c r="AA51" s="7"/>
      <c r="AB51" s="7"/>
      <c r="AC51" s="7"/>
      <c r="AD51" s="7"/>
      <c r="AE51" s="7">
        <f t="shared" si="5"/>
        <v>0</v>
      </c>
      <c r="AF51" s="7"/>
      <c r="AG51" s="10">
        <f t="shared" si="11"/>
        <v>0</v>
      </c>
      <c r="AH51" s="10">
        <f t="shared" si="12"/>
        <v>0</v>
      </c>
      <c r="AI51" s="7"/>
      <c r="AJ51" s="7">
        <v>0.0</v>
      </c>
      <c r="AK51" s="7"/>
      <c r="AL51" s="11">
        <v>44987.27083333333</v>
      </c>
    </row>
    <row r="52" ht="12.0" customHeight="1">
      <c r="A52" s="6" t="s">
        <v>564</v>
      </c>
      <c r="B52" s="7" t="s">
        <v>565</v>
      </c>
      <c r="C52" s="7" t="s">
        <v>566</v>
      </c>
      <c r="D52" s="7" t="s">
        <v>567</v>
      </c>
      <c r="E52" s="7" t="s">
        <v>66</v>
      </c>
      <c r="F52" s="7"/>
      <c r="G52" s="7" t="s">
        <v>540</v>
      </c>
      <c r="H52" s="7" t="s">
        <v>39</v>
      </c>
      <c r="I52" s="7" t="s">
        <v>79</v>
      </c>
      <c r="J52" s="7">
        <v>147.84129776061098</v>
      </c>
      <c r="K52" s="7">
        <v>-37.08845020896176</v>
      </c>
      <c r="L52" s="7" t="s">
        <v>41</v>
      </c>
      <c r="M52" s="7" t="s">
        <v>568</v>
      </c>
      <c r="N52" s="7" t="s">
        <v>569</v>
      </c>
      <c r="O52" s="7" t="s">
        <v>569</v>
      </c>
      <c r="P52" s="7"/>
      <c r="Q52" s="7"/>
      <c r="R52" s="7" t="s">
        <v>570</v>
      </c>
      <c r="S52" s="7" t="s">
        <v>58</v>
      </c>
      <c r="T52" s="8">
        <v>150900.0</v>
      </c>
      <c r="U52" s="7" t="s">
        <v>571</v>
      </c>
      <c r="V52" s="7" t="s">
        <v>572</v>
      </c>
      <c r="W52" s="7"/>
      <c r="X52" s="9">
        <v>1.0</v>
      </c>
      <c r="Y52" s="7" t="s">
        <v>573</v>
      </c>
      <c r="Z52" s="7"/>
      <c r="AA52" s="10">
        <f>AB52+AH52+AC52</f>
        <v>1767500</v>
      </c>
      <c r="AB52" s="7">
        <f>50000*0.67</f>
        <v>33500</v>
      </c>
      <c r="AC52" s="7">
        <v>1600000.0</v>
      </c>
      <c r="AD52" s="7"/>
      <c r="AE52" s="7">
        <f t="shared" si="5"/>
        <v>33500</v>
      </c>
      <c r="AF52" s="7"/>
      <c r="AG52" s="10">
        <f t="shared" si="11"/>
        <v>167500</v>
      </c>
      <c r="AH52" s="10">
        <f t="shared" si="12"/>
        <v>134000</v>
      </c>
      <c r="AI52" s="7">
        <v>1.0E7</v>
      </c>
      <c r="AJ52" s="7">
        <v>0.0134</v>
      </c>
      <c r="AK52" s="7"/>
      <c r="AL52" s="11">
        <v>45746.68846064815</v>
      </c>
    </row>
    <row r="53" ht="12.0" customHeight="1">
      <c r="A53" s="6" t="s">
        <v>574</v>
      </c>
      <c r="B53" s="7" t="s">
        <v>575</v>
      </c>
      <c r="C53" s="7" t="s">
        <v>576</v>
      </c>
      <c r="D53" s="7" t="s">
        <v>577</v>
      </c>
      <c r="E53" s="7" t="s">
        <v>66</v>
      </c>
      <c r="F53" s="7"/>
      <c r="G53" s="7" t="s">
        <v>540</v>
      </c>
      <c r="H53" s="7" t="s">
        <v>39</v>
      </c>
      <c r="I53" s="7" t="s">
        <v>40</v>
      </c>
      <c r="J53" s="7">
        <v>121.12210217569867</v>
      </c>
      <c r="K53" s="7">
        <v>-30.8094986680382</v>
      </c>
      <c r="L53" s="7" t="s">
        <v>41</v>
      </c>
      <c r="M53" s="7" t="s">
        <v>578</v>
      </c>
      <c r="N53" s="7" t="s">
        <v>579</v>
      </c>
      <c r="O53" s="7" t="s">
        <v>579</v>
      </c>
      <c r="P53" s="7"/>
      <c r="Q53" s="7"/>
      <c r="R53" s="7" t="s">
        <v>580</v>
      </c>
      <c r="S53" s="7" t="s">
        <v>58</v>
      </c>
      <c r="T53" s="8">
        <v>9000.0</v>
      </c>
      <c r="U53" s="7" t="s">
        <v>581</v>
      </c>
      <c r="V53" s="7" t="s">
        <v>582</v>
      </c>
      <c r="W53" s="7"/>
      <c r="X53" s="9">
        <v>1.0</v>
      </c>
      <c r="Y53" s="7" t="s">
        <v>583</v>
      </c>
      <c r="Z53" s="7"/>
      <c r="AA53" s="7">
        <f>AB53+AC53+AF53</f>
        <v>896500</v>
      </c>
      <c r="AB53" s="7">
        <v>33500.0</v>
      </c>
      <c r="AC53" s="7">
        <v>500000.0</v>
      </c>
      <c r="AD53" s="7"/>
      <c r="AE53" s="7">
        <f t="shared" si="5"/>
        <v>396500</v>
      </c>
      <c r="AF53" s="7">
        <v>363000.0</v>
      </c>
      <c r="AG53" s="10">
        <f t="shared" si="11"/>
        <v>33500</v>
      </c>
      <c r="AH53" s="10">
        <f t="shared" si="12"/>
        <v>0</v>
      </c>
      <c r="AI53" s="7"/>
      <c r="AJ53" s="7">
        <v>0.05226</v>
      </c>
      <c r="AK53" s="7"/>
      <c r="AL53" s="11">
        <v>45748.636469907404</v>
      </c>
    </row>
    <row r="54" ht="12.0" customHeight="1">
      <c r="A54" s="6" t="s">
        <v>584</v>
      </c>
      <c r="B54" s="7" t="s">
        <v>585</v>
      </c>
      <c r="C54" s="7" t="s">
        <v>586</v>
      </c>
      <c r="D54" s="7" t="s">
        <v>587</v>
      </c>
      <c r="E54" s="7" t="s">
        <v>66</v>
      </c>
      <c r="F54" s="7"/>
      <c r="G54" s="7" t="s">
        <v>540</v>
      </c>
      <c r="H54" s="7" t="s">
        <v>39</v>
      </c>
      <c r="I54" s="7" t="s">
        <v>40</v>
      </c>
      <c r="J54" s="7">
        <v>119.1234954420863</v>
      </c>
      <c r="K54" s="7">
        <v>-30.955772378447964</v>
      </c>
      <c r="L54" s="7" t="s">
        <v>41</v>
      </c>
      <c r="M54" s="7" t="s">
        <v>588</v>
      </c>
      <c r="N54" s="7" t="s">
        <v>589</v>
      </c>
      <c r="O54" s="7" t="s">
        <v>589</v>
      </c>
      <c r="P54" s="7" t="s">
        <v>590</v>
      </c>
      <c r="Q54" s="7" t="s">
        <v>590</v>
      </c>
      <c r="R54" s="7" t="s">
        <v>591</v>
      </c>
      <c r="S54" s="7" t="s">
        <v>58</v>
      </c>
      <c r="T54" s="8">
        <v>42200.0</v>
      </c>
      <c r="U54" s="7" t="s">
        <v>592</v>
      </c>
      <c r="V54" s="7" t="s">
        <v>593</v>
      </c>
      <c r="W54" s="7"/>
      <c r="X54" s="7"/>
      <c r="Y54" s="7"/>
      <c r="Z54" s="7"/>
      <c r="AA54" s="7">
        <f>AB54</f>
        <v>301500</v>
      </c>
      <c r="AB54" s="7">
        <v>301500.0</v>
      </c>
      <c r="AC54" s="7"/>
      <c r="AD54" s="7"/>
      <c r="AE54" s="7">
        <f t="shared" si="5"/>
        <v>301500</v>
      </c>
      <c r="AF54" s="7"/>
      <c r="AG54" s="10">
        <f t="shared" si="11"/>
        <v>301500</v>
      </c>
      <c r="AH54" s="10">
        <f t="shared" si="12"/>
        <v>0</v>
      </c>
      <c r="AI54" s="7"/>
      <c r="AJ54" s="7">
        <v>0.33165</v>
      </c>
      <c r="AK54" s="7"/>
      <c r="AL54" s="11">
        <v>45566.73611111111</v>
      </c>
    </row>
    <row r="55" ht="12.0" customHeight="1">
      <c r="A55" s="6" t="s">
        <v>594</v>
      </c>
      <c r="B55" s="7" t="s">
        <v>595</v>
      </c>
      <c r="C55" s="7" t="s">
        <v>596</v>
      </c>
      <c r="D55" s="7" t="s">
        <v>597</v>
      </c>
      <c r="E55" s="7" t="s">
        <v>66</v>
      </c>
      <c r="F55" s="7"/>
      <c r="G55" s="7" t="s">
        <v>540</v>
      </c>
      <c r="H55" s="7" t="s">
        <v>39</v>
      </c>
      <c r="I55" s="7" t="s">
        <v>598</v>
      </c>
      <c r="J55" s="7">
        <v>133.26632954931966</v>
      </c>
      <c r="K55" s="7">
        <v>-29.723961201828473</v>
      </c>
      <c r="L55" s="7" t="s">
        <v>41</v>
      </c>
      <c r="M55" s="7" t="s">
        <v>599</v>
      </c>
      <c r="N55" s="7" t="s">
        <v>600</v>
      </c>
      <c r="O55" s="7" t="s">
        <v>600</v>
      </c>
      <c r="P55" s="7"/>
      <c r="Q55" s="7"/>
      <c r="R55" s="7" t="s">
        <v>601</v>
      </c>
      <c r="S55" s="7" t="s">
        <v>58</v>
      </c>
      <c r="T55" s="8">
        <v>185800.0</v>
      </c>
      <c r="U55" s="7" t="s">
        <v>602</v>
      </c>
      <c r="V55" s="7" t="s">
        <v>603</v>
      </c>
      <c r="W55" s="7"/>
      <c r="X55" s="9">
        <v>1.0</v>
      </c>
      <c r="Y55" s="7" t="s">
        <v>604</v>
      </c>
      <c r="Z55" s="7"/>
      <c r="AA55" s="7"/>
      <c r="AB55" s="7"/>
      <c r="AC55" s="7"/>
      <c r="AD55" s="7"/>
      <c r="AE55" s="7">
        <f t="shared" si="5"/>
        <v>0</v>
      </c>
      <c r="AF55" s="7"/>
      <c r="AG55" s="10">
        <f t="shared" si="11"/>
        <v>0</v>
      </c>
      <c r="AH55" s="10">
        <f t="shared" si="12"/>
        <v>0</v>
      </c>
      <c r="AI55" s="7"/>
      <c r="AJ55" s="7">
        <v>0.06365</v>
      </c>
      <c r="AK55" s="7"/>
      <c r="AL55" s="11">
        <v>45536.715625</v>
      </c>
    </row>
    <row r="56" ht="12.0" customHeight="1">
      <c r="A56" s="6" t="s">
        <v>605</v>
      </c>
      <c r="B56" s="7" t="s">
        <v>606</v>
      </c>
      <c r="C56" s="7" t="s">
        <v>607</v>
      </c>
      <c r="D56" s="7" t="s">
        <v>608</v>
      </c>
      <c r="E56" s="7" t="s">
        <v>66</v>
      </c>
      <c r="F56" s="7"/>
      <c r="G56" s="7" t="s">
        <v>540</v>
      </c>
      <c r="H56" s="7" t="s">
        <v>39</v>
      </c>
      <c r="I56" s="7" t="s">
        <v>40</v>
      </c>
      <c r="J56" s="7">
        <v>121.19165679114559</v>
      </c>
      <c r="K56" s="7">
        <v>-30.824938633794602</v>
      </c>
      <c r="L56" s="7" t="s">
        <v>41</v>
      </c>
      <c r="M56" s="7" t="s">
        <v>609</v>
      </c>
      <c r="N56" s="7" t="s">
        <v>579</v>
      </c>
      <c r="O56" s="7"/>
      <c r="P56" s="7"/>
      <c r="Q56" s="7"/>
      <c r="R56" s="7" t="s">
        <v>610</v>
      </c>
      <c r="S56" s="7" t="s">
        <v>58</v>
      </c>
      <c r="T56" s="8">
        <v>0.0</v>
      </c>
      <c r="U56" s="7" t="s">
        <v>611</v>
      </c>
      <c r="V56" s="7" t="s">
        <v>612</v>
      </c>
      <c r="W56" s="7"/>
      <c r="X56" s="9">
        <v>1.0</v>
      </c>
      <c r="Y56" s="7" t="s">
        <v>613</v>
      </c>
      <c r="Z56" s="7"/>
      <c r="AA56" s="7">
        <f>AB56+AF56</f>
        <v>35000</v>
      </c>
      <c r="AB56" s="7">
        <v>10000.0</v>
      </c>
      <c r="AC56" s="7"/>
      <c r="AD56" s="7"/>
      <c r="AE56" s="7">
        <f t="shared" si="5"/>
        <v>35000</v>
      </c>
      <c r="AF56" s="7">
        <v>25000.0</v>
      </c>
      <c r="AG56" s="10">
        <f t="shared" si="11"/>
        <v>10000</v>
      </c>
      <c r="AH56" s="10">
        <f t="shared" si="12"/>
        <v>0</v>
      </c>
      <c r="AI56" s="7"/>
      <c r="AJ56" s="7">
        <v>0.0</v>
      </c>
      <c r="AK56" s="7"/>
      <c r="AL56" s="11">
        <v>45641.64640046297</v>
      </c>
    </row>
    <row r="57" ht="12.0" customHeight="1">
      <c r="A57" s="6" t="s">
        <v>614</v>
      </c>
      <c r="B57" s="7" t="s">
        <v>615</v>
      </c>
      <c r="C57" s="7" t="s">
        <v>616</v>
      </c>
      <c r="D57" s="7" t="s">
        <v>617</v>
      </c>
      <c r="E57" s="7" t="s">
        <v>66</v>
      </c>
      <c r="F57" s="7" t="s">
        <v>618</v>
      </c>
      <c r="G57" s="7" t="s">
        <v>540</v>
      </c>
      <c r="H57" s="7" t="s">
        <v>39</v>
      </c>
      <c r="I57" s="7" t="s">
        <v>40</v>
      </c>
      <c r="J57" s="7">
        <v>122.50531063509074</v>
      </c>
      <c r="K57" s="7">
        <v>-29.805247837838234</v>
      </c>
      <c r="L57" s="7" t="s">
        <v>41</v>
      </c>
      <c r="M57" s="7" t="s">
        <v>619</v>
      </c>
      <c r="N57" s="7" t="s">
        <v>620</v>
      </c>
      <c r="O57" s="7" t="s">
        <v>620</v>
      </c>
      <c r="P57" s="7"/>
      <c r="Q57" s="7"/>
      <c r="R57" s="7" t="s">
        <v>621</v>
      </c>
      <c r="S57" s="7" t="s">
        <v>58</v>
      </c>
      <c r="T57" s="8">
        <v>0.0</v>
      </c>
      <c r="U57" s="7" t="s">
        <v>622</v>
      </c>
      <c r="V57" s="7" t="s">
        <v>623</v>
      </c>
      <c r="W57" s="7"/>
      <c r="X57" s="9">
        <v>1.0</v>
      </c>
      <c r="Y57" s="7" t="s">
        <v>624</v>
      </c>
      <c r="Z57" s="7"/>
      <c r="AA57" s="10">
        <f>AH57</f>
        <v>70350</v>
      </c>
      <c r="AB57" s="14"/>
      <c r="AC57" s="7"/>
      <c r="AD57" s="7"/>
      <c r="AE57" s="7">
        <f t="shared" si="5"/>
        <v>0</v>
      </c>
      <c r="AF57" s="7"/>
      <c r="AG57" s="10">
        <f t="shared" si="11"/>
        <v>70350</v>
      </c>
      <c r="AH57" s="10">
        <f t="shared" si="12"/>
        <v>70350</v>
      </c>
      <c r="AI57" s="7">
        <v>3000000.0</v>
      </c>
      <c r="AJ57" s="7">
        <v>0.023450000000000002</v>
      </c>
      <c r="AK57" s="7"/>
      <c r="AL57" s="11">
        <v>45537.717835648145</v>
      </c>
    </row>
    <row r="58" ht="12.0" customHeight="1">
      <c r="A58" s="6" t="s">
        <v>625</v>
      </c>
      <c r="B58" s="7" t="s">
        <v>514</v>
      </c>
      <c r="C58" s="7" t="s">
        <v>626</v>
      </c>
      <c r="D58" s="7" t="s">
        <v>627</v>
      </c>
      <c r="E58" s="7" t="s">
        <v>66</v>
      </c>
      <c r="F58" s="7" t="s">
        <v>628</v>
      </c>
      <c r="G58" s="7" t="s">
        <v>540</v>
      </c>
      <c r="H58" s="7" t="s">
        <v>39</v>
      </c>
      <c r="I58" s="7" t="s">
        <v>40</v>
      </c>
      <c r="J58" s="7">
        <v>116.37212271201186</v>
      </c>
      <c r="K58" s="7">
        <v>-25.592857276859547</v>
      </c>
      <c r="L58" s="7" t="s">
        <v>41</v>
      </c>
      <c r="M58" s="7" t="s">
        <v>629</v>
      </c>
      <c r="N58" s="7" t="s">
        <v>630</v>
      </c>
      <c r="O58" s="7" t="s">
        <v>630</v>
      </c>
      <c r="P58" s="7"/>
      <c r="Q58" s="7"/>
      <c r="R58" s="7" t="s">
        <v>631</v>
      </c>
      <c r="S58" s="7" t="s">
        <v>58</v>
      </c>
      <c r="T58" s="8">
        <v>50400.0</v>
      </c>
      <c r="U58" s="7" t="s">
        <v>632</v>
      </c>
      <c r="V58" s="7" t="s">
        <v>633</v>
      </c>
      <c r="W58" s="7"/>
      <c r="X58" s="7"/>
      <c r="Y58" s="7" t="s">
        <v>634</v>
      </c>
      <c r="Z58" s="7"/>
      <c r="AA58" s="7">
        <f>AB58+AC58</f>
        <v>1375000</v>
      </c>
      <c r="AB58" s="7">
        <v>55000.0</v>
      </c>
      <c r="AC58" s="7">
        <v>1320000.0</v>
      </c>
      <c r="AD58" s="7"/>
      <c r="AE58" s="7">
        <f t="shared" si="5"/>
        <v>55000</v>
      </c>
      <c r="AF58" s="7"/>
      <c r="AG58" s="10">
        <f t="shared" si="11"/>
        <v>55000</v>
      </c>
      <c r="AH58" s="10">
        <f t="shared" si="12"/>
        <v>0</v>
      </c>
      <c r="AI58" s="7"/>
      <c r="AJ58" s="7">
        <v>0.0804</v>
      </c>
      <c r="AK58" s="7">
        <v>2.0</v>
      </c>
      <c r="AL58" s="11">
        <v>45622.70893518519</v>
      </c>
    </row>
    <row r="59" ht="12.0" customHeight="1">
      <c r="A59" s="6" t="s">
        <v>287</v>
      </c>
      <c r="B59" s="7" t="s">
        <v>635</v>
      </c>
      <c r="C59" s="7" t="s">
        <v>636</v>
      </c>
      <c r="D59" s="7" t="s">
        <v>637</v>
      </c>
      <c r="E59" s="7" t="s">
        <v>66</v>
      </c>
      <c r="F59" s="7" t="s">
        <v>638</v>
      </c>
      <c r="G59" s="7" t="s">
        <v>540</v>
      </c>
      <c r="H59" s="7" t="s">
        <v>39</v>
      </c>
      <c r="I59" s="7" t="s">
        <v>40</v>
      </c>
      <c r="J59" s="7">
        <v>119.62598950827164</v>
      </c>
      <c r="K59" s="7">
        <v>-29.649508166259928</v>
      </c>
      <c r="L59" s="7" t="s">
        <v>41</v>
      </c>
      <c r="M59" s="7" t="s">
        <v>639</v>
      </c>
      <c r="N59" s="7" t="s">
        <v>293</v>
      </c>
      <c r="O59" s="7" t="s">
        <v>293</v>
      </c>
      <c r="P59" s="7"/>
      <c r="Q59" s="7"/>
      <c r="R59" s="7" t="s">
        <v>640</v>
      </c>
      <c r="S59" s="7" t="s">
        <v>58</v>
      </c>
      <c r="T59" s="8">
        <v>65000.0</v>
      </c>
      <c r="U59" s="7" t="s">
        <v>641</v>
      </c>
      <c r="V59" s="7" t="s">
        <v>296</v>
      </c>
      <c r="W59" s="7"/>
      <c r="X59" s="9">
        <v>1.0</v>
      </c>
      <c r="Y59" s="7" t="s">
        <v>642</v>
      </c>
      <c r="Z59" s="7"/>
      <c r="AA59" s="10">
        <f>AB59+AF59</f>
        <v>461075</v>
      </c>
      <c r="AB59" s="7">
        <v>412500.0</v>
      </c>
      <c r="AC59" s="7"/>
      <c r="AD59" s="7"/>
      <c r="AE59" s="10">
        <f t="shared" si="5"/>
        <v>461075</v>
      </c>
      <c r="AF59" s="10">
        <v>48575.0</v>
      </c>
      <c r="AG59" s="10">
        <f t="shared" si="11"/>
        <v>461075</v>
      </c>
      <c r="AH59" s="10">
        <f t="shared" si="12"/>
        <v>48575</v>
      </c>
      <c r="AI59" s="7">
        <f>72500000/2</f>
        <v>36250000</v>
      </c>
      <c r="AJ59" s="7">
        <v>0.00134</v>
      </c>
      <c r="AK59" s="7">
        <v>1.0</v>
      </c>
      <c r="AL59" s="11">
        <v>45636.656122685185</v>
      </c>
    </row>
    <row r="60" ht="12.0" customHeight="1">
      <c r="A60" s="6" t="s">
        <v>513</v>
      </c>
      <c r="B60" s="7" t="s">
        <v>643</v>
      </c>
      <c r="C60" s="7" t="s">
        <v>644</v>
      </c>
      <c r="D60" s="7" t="s">
        <v>645</v>
      </c>
      <c r="E60" s="7" t="s">
        <v>66</v>
      </c>
      <c r="F60" s="7"/>
      <c r="G60" s="7" t="s">
        <v>540</v>
      </c>
      <c r="H60" s="7" t="s">
        <v>39</v>
      </c>
      <c r="I60" s="7" t="s">
        <v>79</v>
      </c>
      <c r="J60" s="7">
        <v>143.6138406</v>
      </c>
      <c r="K60" s="7">
        <v>-37.80227619999999</v>
      </c>
      <c r="L60" s="7" t="s">
        <v>41</v>
      </c>
      <c r="M60" s="7" t="s">
        <v>41</v>
      </c>
      <c r="N60" s="7" t="s">
        <v>518</v>
      </c>
      <c r="O60" s="7" t="s">
        <v>519</v>
      </c>
      <c r="P60" s="7"/>
      <c r="Q60" s="7" t="s">
        <v>520</v>
      </c>
      <c r="R60" s="7" t="s">
        <v>646</v>
      </c>
      <c r="S60" s="7" t="s">
        <v>58</v>
      </c>
      <c r="T60" s="8">
        <v>9200.0</v>
      </c>
      <c r="U60" s="7" t="s">
        <v>647</v>
      </c>
      <c r="V60" s="7" t="s">
        <v>523</v>
      </c>
      <c r="W60" s="7"/>
      <c r="X60" s="9">
        <v>0.51</v>
      </c>
      <c r="Y60" s="7" t="s">
        <v>648</v>
      </c>
      <c r="Z60" s="7"/>
      <c r="AA60" s="7">
        <f t="shared" ref="AA60:AA71" si="13">AB60+AC60+AF60</f>
        <v>140000</v>
      </c>
      <c r="AB60" s="7"/>
      <c r="AC60" s="7">
        <v>140000.0</v>
      </c>
      <c r="AD60" s="7"/>
      <c r="AE60" s="7">
        <f t="shared" si="5"/>
        <v>0</v>
      </c>
      <c r="AF60" s="7"/>
      <c r="AG60" s="10">
        <f t="shared" si="11"/>
        <v>0</v>
      </c>
      <c r="AH60" s="10">
        <f t="shared" si="12"/>
        <v>0</v>
      </c>
      <c r="AI60" s="7"/>
      <c r="AJ60" s="7">
        <v>0.1407</v>
      </c>
      <c r="AK60" s="7">
        <v>2.0</v>
      </c>
      <c r="AL60" s="11">
        <v>45711.62615740741</v>
      </c>
    </row>
    <row r="61" ht="12.0" customHeight="1">
      <c r="A61" s="6" t="s">
        <v>649</v>
      </c>
      <c r="B61" s="7" t="s">
        <v>650</v>
      </c>
      <c r="C61" s="7" t="s">
        <v>651</v>
      </c>
      <c r="D61" s="7" t="s">
        <v>652</v>
      </c>
      <c r="E61" s="7" t="s">
        <v>66</v>
      </c>
      <c r="F61" s="7"/>
      <c r="G61" s="7" t="s">
        <v>540</v>
      </c>
      <c r="H61" s="7" t="s">
        <v>39</v>
      </c>
      <c r="I61" s="7" t="s">
        <v>79</v>
      </c>
      <c r="J61" s="7">
        <v>145.8642701279479</v>
      </c>
      <c r="K61" s="7">
        <v>-36.94504501523892</v>
      </c>
      <c r="L61" s="7" t="s">
        <v>41</v>
      </c>
      <c r="M61" s="7" t="s">
        <v>653</v>
      </c>
      <c r="N61" s="7" t="s">
        <v>654</v>
      </c>
      <c r="O61" s="7" t="s">
        <v>654</v>
      </c>
      <c r="P61" s="7" t="s">
        <v>655</v>
      </c>
      <c r="Q61" s="7" t="s">
        <v>655</v>
      </c>
      <c r="R61" s="7" t="s">
        <v>656</v>
      </c>
      <c r="S61" s="7" t="s">
        <v>58</v>
      </c>
      <c r="T61" s="8">
        <v>0.0</v>
      </c>
      <c r="U61" s="15" t="s">
        <v>657</v>
      </c>
      <c r="V61" s="7" t="s">
        <v>658</v>
      </c>
      <c r="W61" s="7"/>
      <c r="X61" s="7"/>
      <c r="Y61" s="7"/>
      <c r="Z61" s="7"/>
      <c r="AA61" s="7">
        <f t="shared" si="13"/>
        <v>469000</v>
      </c>
      <c r="AB61" s="7">
        <v>234500.0</v>
      </c>
      <c r="AC61" s="7"/>
      <c r="AD61" s="7"/>
      <c r="AE61" s="7">
        <f t="shared" si="5"/>
        <v>469000</v>
      </c>
      <c r="AF61" s="7">
        <v>234500.0</v>
      </c>
      <c r="AG61" s="10">
        <f t="shared" si="11"/>
        <v>234500</v>
      </c>
      <c r="AH61" s="10">
        <f t="shared" si="12"/>
        <v>0</v>
      </c>
      <c r="AI61" s="7"/>
      <c r="AJ61" s="7">
        <v>0.0</v>
      </c>
      <c r="AK61" s="7">
        <v>2.0</v>
      </c>
      <c r="AL61" s="11">
        <v>45700.64583333333</v>
      </c>
    </row>
    <row r="62" ht="12.0" customHeight="1">
      <c r="A62" s="6" t="s">
        <v>659</v>
      </c>
      <c r="B62" s="7" t="s">
        <v>660</v>
      </c>
      <c r="C62" s="7" t="s">
        <v>661</v>
      </c>
      <c r="D62" s="7" t="s">
        <v>662</v>
      </c>
      <c r="E62" s="7" t="s">
        <v>66</v>
      </c>
      <c r="F62" s="7"/>
      <c r="G62" s="7" t="s">
        <v>540</v>
      </c>
      <c r="H62" s="7" t="s">
        <v>39</v>
      </c>
      <c r="I62" s="7" t="s">
        <v>40</v>
      </c>
      <c r="J62" s="7">
        <v>121.62418036776266</v>
      </c>
      <c r="K62" s="7">
        <v>-32.27254095578781</v>
      </c>
      <c r="L62" s="7" t="s">
        <v>41</v>
      </c>
      <c r="M62" s="7" t="s">
        <v>663</v>
      </c>
      <c r="N62" s="7" t="s">
        <v>664</v>
      </c>
      <c r="O62" s="7" t="s">
        <v>664</v>
      </c>
      <c r="P62" s="7"/>
      <c r="Q62" s="7"/>
      <c r="R62" s="7" t="s">
        <v>665</v>
      </c>
      <c r="S62" s="7" t="s">
        <v>58</v>
      </c>
      <c r="T62" s="8">
        <v>18000.0</v>
      </c>
      <c r="U62" s="7" t="s">
        <v>666</v>
      </c>
      <c r="V62" s="7" t="s">
        <v>667</v>
      </c>
      <c r="W62" s="7"/>
      <c r="X62" s="9">
        <v>1.0</v>
      </c>
      <c r="Y62" s="7" t="s">
        <v>668</v>
      </c>
      <c r="Z62" s="7"/>
      <c r="AA62" s="10">
        <f t="shared" si="13"/>
        <v>26800</v>
      </c>
      <c r="AB62" s="7"/>
      <c r="AC62" s="7"/>
      <c r="AD62" s="7"/>
      <c r="AE62" s="10">
        <f t="shared" si="5"/>
        <v>26800</v>
      </c>
      <c r="AF62" s="10">
        <f>AH62</f>
        <v>26800</v>
      </c>
      <c r="AG62" s="10">
        <f t="shared" si="11"/>
        <v>26800</v>
      </c>
      <c r="AH62" s="10">
        <f t="shared" si="12"/>
        <v>26800</v>
      </c>
      <c r="AI62" s="7">
        <v>125000.0</v>
      </c>
      <c r="AJ62" s="7">
        <v>0.2144</v>
      </c>
      <c r="AK62" s="7"/>
      <c r="AL62" s="11">
        <v>45698.63479166667</v>
      </c>
    </row>
    <row r="63" ht="12.0" customHeight="1">
      <c r="A63" s="6" t="s">
        <v>317</v>
      </c>
      <c r="B63" s="7" t="s">
        <v>669</v>
      </c>
      <c r="C63" s="7" t="s">
        <v>670</v>
      </c>
      <c r="D63" s="7" t="s">
        <v>671</v>
      </c>
      <c r="E63" s="7" t="s">
        <v>66</v>
      </c>
      <c r="F63" s="7" t="s">
        <v>672</v>
      </c>
      <c r="G63" s="7" t="s">
        <v>540</v>
      </c>
      <c r="H63" s="7" t="s">
        <v>39</v>
      </c>
      <c r="I63" s="7" t="s">
        <v>40</v>
      </c>
      <c r="J63" s="7">
        <v>121.19353480367707</v>
      </c>
      <c r="K63" s="7">
        <v>-30.008636237329657</v>
      </c>
      <c r="L63" s="7" t="s">
        <v>41</v>
      </c>
      <c r="M63" s="7" t="s">
        <v>673</v>
      </c>
      <c r="N63" s="7" t="s">
        <v>323</v>
      </c>
      <c r="O63" s="7" t="s">
        <v>323</v>
      </c>
      <c r="P63" s="7"/>
      <c r="Q63" s="7"/>
      <c r="R63" s="7" t="s">
        <v>674</v>
      </c>
      <c r="S63" s="7" t="s">
        <v>58</v>
      </c>
      <c r="T63" s="8">
        <v>7000.0</v>
      </c>
      <c r="U63" s="7" t="s">
        <v>675</v>
      </c>
      <c r="V63" s="7" t="s">
        <v>326</v>
      </c>
      <c r="W63" s="7"/>
      <c r="X63" s="7"/>
      <c r="Y63" s="7" t="s">
        <v>676</v>
      </c>
      <c r="Z63" s="7"/>
      <c r="AA63" s="13">
        <f t="shared" si="13"/>
        <v>2100000</v>
      </c>
      <c r="AB63" s="16"/>
      <c r="AC63" s="7">
        <v>2100000.0</v>
      </c>
      <c r="AD63" s="7"/>
      <c r="AE63" s="7">
        <f t="shared" si="5"/>
        <v>0</v>
      </c>
      <c r="AF63" s="7"/>
      <c r="AG63" s="10">
        <f t="shared" si="11"/>
        <v>0</v>
      </c>
      <c r="AH63" s="10">
        <f t="shared" si="12"/>
        <v>0</v>
      </c>
      <c r="AI63" s="7"/>
      <c r="AJ63" s="7">
        <v>0.41875</v>
      </c>
      <c r="AK63" s="7"/>
      <c r="AL63" s="11">
        <v>45740.73452546296</v>
      </c>
    </row>
    <row r="64" ht="12.0" customHeight="1">
      <c r="A64" s="6" t="s">
        <v>584</v>
      </c>
      <c r="B64" s="7" t="s">
        <v>677</v>
      </c>
      <c r="C64" s="7" t="s">
        <v>678</v>
      </c>
      <c r="D64" s="7" t="s">
        <v>679</v>
      </c>
      <c r="E64" s="7" t="s">
        <v>66</v>
      </c>
      <c r="F64" s="7"/>
      <c r="G64" s="7" t="s">
        <v>540</v>
      </c>
      <c r="H64" s="7" t="s">
        <v>39</v>
      </c>
      <c r="I64" s="7" t="s">
        <v>40</v>
      </c>
      <c r="J64" s="7">
        <v>119.3276160491987</v>
      </c>
      <c r="K64" s="7">
        <v>-31.32447562048516</v>
      </c>
      <c r="L64" s="7" t="s">
        <v>41</v>
      </c>
      <c r="M64" s="7" t="s">
        <v>41</v>
      </c>
      <c r="N64" s="7" t="s">
        <v>589</v>
      </c>
      <c r="O64" s="7" t="s">
        <v>589</v>
      </c>
      <c r="P64" s="7" t="s">
        <v>590</v>
      </c>
      <c r="Q64" s="7" t="s">
        <v>590</v>
      </c>
      <c r="R64" s="7" t="s">
        <v>680</v>
      </c>
      <c r="S64" s="7" t="s">
        <v>58</v>
      </c>
      <c r="T64" s="8">
        <v>170.0</v>
      </c>
      <c r="U64" s="7" t="s">
        <v>681</v>
      </c>
      <c r="V64" s="7" t="s">
        <v>593</v>
      </c>
      <c r="W64" s="7"/>
      <c r="X64" s="7"/>
      <c r="Y64" s="7"/>
      <c r="Z64" s="7"/>
      <c r="AA64" s="7">
        <f t="shared" si="13"/>
        <v>201250</v>
      </c>
      <c r="AB64" s="7">
        <v>83750.0</v>
      </c>
      <c r="AC64" s="7"/>
      <c r="AD64" s="7"/>
      <c r="AE64" s="7">
        <f t="shared" si="5"/>
        <v>201250</v>
      </c>
      <c r="AF64" s="7">
        <v>117500.0</v>
      </c>
      <c r="AG64" s="10">
        <f t="shared" si="11"/>
        <v>83750</v>
      </c>
      <c r="AH64" s="10">
        <f t="shared" si="12"/>
        <v>0</v>
      </c>
      <c r="AI64" s="7"/>
      <c r="AJ64" s="7">
        <v>0.33165</v>
      </c>
      <c r="AK64" s="7"/>
      <c r="AL64" s="11">
        <v>45576.361805555556</v>
      </c>
    </row>
    <row r="65" ht="12.0" customHeight="1">
      <c r="A65" s="6" t="s">
        <v>86</v>
      </c>
      <c r="B65" s="7" t="s">
        <v>595</v>
      </c>
      <c r="C65" s="7" t="s">
        <v>682</v>
      </c>
      <c r="D65" s="7" t="s">
        <v>683</v>
      </c>
      <c r="E65" s="7" t="s">
        <v>66</v>
      </c>
      <c r="F65" s="7" t="s">
        <v>684</v>
      </c>
      <c r="G65" s="7" t="s">
        <v>540</v>
      </c>
      <c r="H65" s="7" t="s">
        <v>39</v>
      </c>
      <c r="I65" s="7" t="s">
        <v>68</v>
      </c>
      <c r="J65" s="7">
        <v>152.43316462380332</v>
      </c>
      <c r="K65" s="7">
        <v>-29.500586843506387</v>
      </c>
      <c r="L65" s="7" t="s">
        <v>41</v>
      </c>
      <c r="M65" s="7" t="s">
        <v>685</v>
      </c>
      <c r="N65" s="7" t="s">
        <v>686</v>
      </c>
      <c r="O65" s="7" t="s">
        <v>90</v>
      </c>
      <c r="P65" s="7"/>
      <c r="Q65" s="7" t="s">
        <v>91</v>
      </c>
      <c r="R65" s="7" t="s">
        <v>687</v>
      </c>
      <c r="S65" s="7" t="s">
        <v>58</v>
      </c>
      <c r="T65" s="8">
        <v>66200.0</v>
      </c>
      <c r="U65" s="7" t="s">
        <v>688</v>
      </c>
      <c r="V65" s="7" t="s">
        <v>94</v>
      </c>
      <c r="W65" s="7"/>
      <c r="X65" s="9">
        <v>0.7</v>
      </c>
      <c r="Y65" s="7" t="s">
        <v>689</v>
      </c>
      <c r="Z65" s="7"/>
      <c r="AA65" s="7">
        <f t="shared" si="13"/>
        <v>935000</v>
      </c>
      <c r="AB65" s="7"/>
      <c r="AC65" s="7">
        <v>600000.0</v>
      </c>
      <c r="AD65" s="7"/>
      <c r="AE65" s="7">
        <f t="shared" si="5"/>
        <v>335000</v>
      </c>
      <c r="AF65" s="7">
        <v>335000.0</v>
      </c>
      <c r="AG65" s="10">
        <f t="shared" si="11"/>
        <v>0</v>
      </c>
      <c r="AH65" s="10">
        <f t="shared" si="12"/>
        <v>0</v>
      </c>
      <c r="AI65" s="7"/>
      <c r="AJ65" s="7">
        <v>0.067</v>
      </c>
      <c r="AK65" s="7"/>
      <c r="AL65" s="11">
        <v>45641.67487268518</v>
      </c>
    </row>
    <row r="66" ht="12.0" customHeight="1">
      <c r="A66" s="6" t="s">
        <v>690</v>
      </c>
      <c r="B66" s="7" t="s">
        <v>691</v>
      </c>
      <c r="C66" s="7" t="s">
        <v>692</v>
      </c>
      <c r="D66" s="7" t="s">
        <v>693</v>
      </c>
      <c r="E66" s="7" t="s">
        <v>66</v>
      </c>
      <c r="F66" s="7" t="s">
        <v>694</v>
      </c>
      <c r="G66" s="7" t="s">
        <v>540</v>
      </c>
      <c r="H66" s="7" t="s">
        <v>39</v>
      </c>
      <c r="I66" s="7" t="s">
        <v>40</v>
      </c>
      <c r="J66" s="7">
        <v>117.94179415704174</v>
      </c>
      <c r="K66" s="7">
        <v>-26.82764393675954</v>
      </c>
      <c r="L66" s="7" t="s">
        <v>41</v>
      </c>
      <c r="M66" s="7" t="s">
        <v>695</v>
      </c>
      <c r="N66" s="7" t="s">
        <v>696</v>
      </c>
      <c r="O66" s="7" t="s">
        <v>697</v>
      </c>
      <c r="P66" s="7"/>
      <c r="Q66" s="7"/>
      <c r="R66" s="7" t="s">
        <v>698</v>
      </c>
      <c r="S66" s="7" t="s">
        <v>58</v>
      </c>
      <c r="T66" s="8">
        <v>70000.0</v>
      </c>
      <c r="U66" s="7" t="s">
        <v>699</v>
      </c>
      <c r="V66" s="7" t="s">
        <v>700</v>
      </c>
      <c r="W66" s="7"/>
      <c r="X66" s="7"/>
      <c r="Y66" s="7" t="s">
        <v>701</v>
      </c>
      <c r="Z66" s="7"/>
      <c r="AA66" s="7">
        <f t="shared" si="13"/>
        <v>5631000</v>
      </c>
      <c r="AB66" s="7">
        <v>67000.0</v>
      </c>
      <c r="AC66" s="7">
        <v>2000000.0</v>
      </c>
      <c r="AD66" s="7"/>
      <c r="AE66" s="7">
        <f t="shared" si="5"/>
        <v>3631000</v>
      </c>
      <c r="AF66" s="7">
        <v>3564000.0</v>
      </c>
      <c r="AG66" s="10">
        <f t="shared" si="11"/>
        <v>67000</v>
      </c>
      <c r="AH66" s="10">
        <f t="shared" si="12"/>
        <v>0</v>
      </c>
      <c r="AI66" s="7"/>
      <c r="AJ66" s="7">
        <v>0.01139</v>
      </c>
      <c r="AK66" s="7"/>
      <c r="AL66" s="11">
        <v>45701.70967592593</v>
      </c>
    </row>
    <row r="67" ht="12.0" customHeight="1">
      <c r="A67" s="6" t="s">
        <v>139</v>
      </c>
      <c r="B67" s="7" t="s">
        <v>702</v>
      </c>
      <c r="C67" s="7" t="s">
        <v>350</v>
      </c>
      <c r="D67" s="7" t="s">
        <v>703</v>
      </c>
      <c r="E67" s="7" t="s">
        <v>66</v>
      </c>
      <c r="F67" s="7"/>
      <c r="G67" s="7" t="s">
        <v>540</v>
      </c>
      <c r="H67" s="7" t="s">
        <v>39</v>
      </c>
      <c r="I67" s="7" t="s">
        <v>40</v>
      </c>
      <c r="J67" s="7">
        <v>117.26593709713929</v>
      </c>
      <c r="K67" s="7">
        <v>-29.263333315722562</v>
      </c>
      <c r="L67" s="7" t="s">
        <v>41</v>
      </c>
      <c r="M67" s="7" t="s">
        <v>704</v>
      </c>
      <c r="N67" s="7" t="s">
        <v>144</v>
      </c>
      <c r="O67" s="7" t="s">
        <v>144</v>
      </c>
      <c r="P67" s="7"/>
      <c r="Q67" s="7"/>
      <c r="R67" s="7" t="s">
        <v>705</v>
      </c>
      <c r="S67" s="7" t="s">
        <v>58</v>
      </c>
      <c r="T67" s="8">
        <v>5400.0</v>
      </c>
      <c r="U67" s="7" t="s">
        <v>706</v>
      </c>
      <c r="V67" s="7" t="s">
        <v>147</v>
      </c>
      <c r="W67" s="7"/>
      <c r="X67" s="9">
        <v>1.0</v>
      </c>
      <c r="Y67" s="7" t="s">
        <v>707</v>
      </c>
      <c r="Z67" s="7"/>
      <c r="AA67" s="7">
        <f t="shared" si="13"/>
        <v>1005000</v>
      </c>
      <c r="AB67" s="7">
        <v>67000.0</v>
      </c>
      <c r="AC67" s="7"/>
      <c r="AD67" s="7">
        <f>AF67+AB67</f>
        <v>1005000</v>
      </c>
      <c r="AE67" s="7">
        <f t="shared" si="5"/>
        <v>1005000</v>
      </c>
      <c r="AF67" s="7">
        <v>938000.0</v>
      </c>
      <c r="AG67" s="10">
        <f t="shared" si="11"/>
        <v>67000</v>
      </c>
      <c r="AH67" s="10">
        <f t="shared" si="12"/>
        <v>0</v>
      </c>
      <c r="AI67" s="7"/>
      <c r="AJ67" s="7">
        <v>6.284600000000001</v>
      </c>
      <c r="AK67" s="7">
        <v>1.0</v>
      </c>
      <c r="AL67" s="11">
        <v>45728.69010416667</v>
      </c>
    </row>
    <row r="68" ht="12.0" customHeight="1">
      <c r="A68" s="6" t="s">
        <v>708</v>
      </c>
      <c r="B68" s="7" t="s">
        <v>709</v>
      </c>
      <c r="C68" s="7" t="s">
        <v>710</v>
      </c>
      <c r="D68" s="7" t="s">
        <v>711</v>
      </c>
      <c r="E68" s="7" t="s">
        <v>66</v>
      </c>
      <c r="F68" s="7"/>
      <c r="G68" s="7" t="s">
        <v>540</v>
      </c>
      <c r="H68" s="7" t="s">
        <v>39</v>
      </c>
      <c r="I68" s="7" t="s">
        <v>40</v>
      </c>
      <c r="J68" s="7">
        <v>121.29869774188525</v>
      </c>
      <c r="K68" s="7">
        <v>-29.31471962076922</v>
      </c>
      <c r="L68" s="7" t="s">
        <v>41</v>
      </c>
      <c r="M68" s="7" t="s">
        <v>712</v>
      </c>
      <c r="N68" s="7" t="s">
        <v>293</v>
      </c>
      <c r="O68" s="7"/>
      <c r="P68" s="7"/>
      <c r="Q68" s="7"/>
      <c r="R68" s="7" t="s">
        <v>713</v>
      </c>
      <c r="S68" s="7" t="s">
        <v>58</v>
      </c>
      <c r="T68" s="8">
        <v>0.0</v>
      </c>
      <c r="U68" s="7" t="s">
        <v>714</v>
      </c>
      <c r="V68" s="7" t="s">
        <v>715</v>
      </c>
      <c r="W68" s="7"/>
      <c r="X68" s="9">
        <v>1.0</v>
      </c>
      <c r="Y68" s="7" t="s">
        <v>716</v>
      </c>
      <c r="Z68" s="7"/>
      <c r="AA68" s="7">
        <f t="shared" si="13"/>
        <v>550000</v>
      </c>
      <c r="AB68" s="7">
        <v>550000.0</v>
      </c>
      <c r="AC68" s="7"/>
      <c r="AD68" s="7"/>
      <c r="AE68" s="7">
        <f t="shared" si="5"/>
        <v>550000</v>
      </c>
      <c r="AF68" s="7"/>
      <c r="AG68" s="10">
        <f t="shared" si="11"/>
        <v>550000</v>
      </c>
      <c r="AH68" s="10">
        <f t="shared" si="12"/>
        <v>0</v>
      </c>
      <c r="AI68" s="7"/>
      <c r="AJ68" s="7">
        <v>0.0</v>
      </c>
      <c r="AK68" s="7">
        <v>1.0</v>
      </c>
      <c r="AL68" s="11">
        <v>45599.676412037035</v>
      </c>
    </row>
    <row r="69" ht="12.0" customHeight="1">
      <c r="A69" s="6" t="s">
        <v>717</v>
      </c>
      <c r="B69" s="7" t="s">
        <v>718</v>
      </c>
      <c r="C69" s="7" t="s">
        <v>719</v>
      </c>
      <c r="D69" s="7" t="s">
        <v>720</v>
      </c>
      <c r="E69" s="7" t="s">
        <v>66</v>
      </c>
      <c r="F69" s="7" t="s">
        <v>721</v>
      </c>
      <c r="G69" s="7" t="s">
        <v>540</v>
      </c>
      <c r="H69" s="7" t="s">
        <v>39</v>
      </c>
      <c r="I69" s="7" t="s">
        <v>40</v>
      </c>
      <c r="J69" s="7">
        <v>120.56143219877018</v>
      </c>
      <c r="K69" s="7">
        <v>-29.9759478507118</v>
      </c>
      <c r="L69" s="7" t="s">
        <v>41</v>
      </c>
      <c r="M69" s="7" t="s">
        <v>722</v>
      </c>
      <c r="N69" s="7" t="s">
        <v>723</v>
      </c>
      <c r="O69" s="7"/>
      <c r="P69" s="7"/>
      <c r="Q69" s="7"/>
      <c r="R69" s="7" t="s">
        <v>724</v>
      </c>
      <c r="S69" s="7" t="s">
        <v>58</v>
      </c>
      <c r="T69" s="8">
        <v>0.0</v>
      </c>
      <c r="U69" s="7" t="s">
        <v>725</v>
      </c>
      <c r="V69" s="7" t="s">
        <v>726</v>
      </c>
      <c r="W69" s="7"/>
      <c r="X69" s="9">
        <v>1.0</v>
      </c>
      <c r="Y69" s="7" t="s">
        <v>727</v>
      </c>
      <c r="Z69" s="7"/>
      <c r="AA69" s="7">
        <f t="shared" si="13"/>
        <v>905500</v>
      </c>
      <c r="AB69" s="7">
        <f>150000*0.67</f>
        <v>100500</v>
      </c>
      <c r="AC69" s="7"/>
      <c r="AD69" s="7"/>
      <c r="AE69" s="7"/>
      <c r="AF69" s="7">
        <v>805000.0</v>
      </c>
      <c r="AG69" s="10">
        <f t="shared" si="11"/>
        <v>100500</v>
      </c>
      <c r="AH69" s="10">
        <f t="shared" si="12"/>
        <v>0</v>
      </c>
      <c r="AI69" s="7"/>
      <c r="AJ69" s="7">
        <v>0.0</v>
      </c>
      <c r="AK69" s="7"/>
      <c r="AL69" s="11">
        <v>45629.63607638889</v>
      </c>
    </row>
    <row r="70" ht="12.0" customHeight="1">
      <c r="A70" s="6" t="s">
        <v>728</v>
      </c>
      <c r="B70" s="7" t="s">
        <v>34</v>
      </c>
      <c r="C70" s="7" t="s">
        <v>729</v>
      </c>
      <c r="D70" s="7" t="s">
        <v>730</v>
      </c>
      <c r="E70" s="7" t="s">
        <v>66</v>
      </c>
      <c r="F70" s="7" t="s">
        <v>731</v>
      </c>
      <c r="G70" s="7" t="s">
        <v>540</v>
      </c>
      <c r="H70" s="7" t="s">
        <v>39</v>
      </c>
      <c r="I70" s="7" t="s">
        <v>79</v>
      </c>
      <c r="J70" s="7">
        <v>146.78358418870755</v>
      </c>
      <c r="K70" s="7">
        <v>-36.4869996816946</v>
      </c>
      <c r="L70" s="7" t="s">
        <v>41</v>
      </c>
      <c r="M70" s="7" t="s">
        <v>732</v>
      </c>
      <c r="N70" s="7" t="s">
        <v>733</v>
      </c>
      <c r="O70" s="7" t="s">
        <v>734</v>
      </c>
      <c r="P70" s="7"/>
      <c r="Q70" s="7" t="s">
        <v>735</v>
      </c>
      <c r="R70" s="7" t="s">
        <v>736</v>
      </c>
      <c r="S70" s="7" t="s">
        <v>58</v>
      </c>
      <c r="T70" s="8">
        <v>41800.0</v>
      </c>
      <c r="U70" s="7" t="s">
        <v>737</v>
      </c>
      <c r="V70" s="7" t="s">
        <v>738</v>
      </c>
      <c r="W70" s="7"/>
      <c r="X70" s="9">
        <v>0.8</v>
      </c>
      <c r="Y70" s="7" t="s">
        <v>739</v>
      </c>
      <c r="Z70" s="7"/>
      <c r="AA70" s="7">
        <f t="shared" si="13"/>
        <v>6036000</v>
      </c>
      <c r="AB70" s="7">
        <v>26000.0</v>
      </c>
      <c r="AC70" s="7">
        <v>4000000.0</v>
      </c>
      <c r="AD70" s="7">
        <f>AB70+AF70</f>
        <v>2036000</v>
      </c>
      <c r="AE70" s="7">
        <f t="shared" ref="AE70:AE93" si="14">AB70+AF70</f>
        <v>2036000</v>
      </c>
      <c r="AF70" s="7">
        <v>2010000.0</v>
      </c>
      <c r="AG70" s="10">
        <f t="shared" si="11"/>
        <v>26000</v>
      </c>
      <c r="AH70" s="10">
        <f t="shared" si="12"/>
        <v>0</v>
      </c>
      <c r="AI70" s="7"/>
      <c r="AJ70" s="7">
        <v>0.0</v>
      </c>
      <c r="AK70" s="7">
        <v>1.0</v>
      </c>
      <c r="AL70" s="11">
        <v>45662.68817129629</v>
      </c>
    </row>
    <row r="71" ht="12.0" customHeight="1">
      <c r="A71" s="6" t="s">
        <v>740</v>
      </c>
      <c r="B71" s="7" t="s">
        <v>368</v>
      </c>
      <c r="C71" s="7" t="s">
        <v>741</v>
      </c>
      <c r="D71" s="7" t="s">
        <v>742</v>
      </c>
      <c r="E71" s="7" t="s">
        <v>66</v>
      </c>
      <c r="F71" s="7"/>
      <c r="G71" s="7" t="s">
        <v>540</v>
      </c>
      <c r="H71" s="7" t="s">
        <v>39</v>
      </c>
      <c r="I71" s="7" t="s">
        <v>40</v>
      </c>
      <c r="J71" s="7">
        <v>123.80277777797225</v>
      </c>
      <c r="K71" s="7">
        <v>-31.518055555465285</v>
      </c>
      <c r="L71" s="7" t="s">
        <v>41</v>
      </c>
      <c r="M71" s="7" t="s">
        <v>743</v>
      </c>
      <c r="N71" s="7" t="s">
        <v>744</v>
      </c>
      <c r="O71" s="7" t="s">
        <v>744</v>
      </c>
      <c r="P71" s="7"/>
      <c r="Q71" s="7"/>
      <c r="R71" s="7" t="s">
        <v>745</v>
      </c>
      <c r="S71" s="7" t="s">
        <v>58</v>
      </c>
      <c r="T71" s="8">
        <v>23500.0</v>
      </c>
      <c r="U71" s="7" t="s">
        <v>746</v>
      </c>
      <c r="V71" s="7" t="s">
        <v>747</v>
      </c>
      <c r="W71" s="7"/>
      <c r="X71" s="9">
        <v>1.0</v>
      </c>
      <c r="Y71" s="7" t="s">
        <v>748</v>
      </c>
      <c r="Z71" s="7"/>
      <c r="AA71" s="10">
        <f t="shared" si="13"/>
        <v>100500</v>
      </c>
      <c r="AB71" s="7"/>
      <c r="AC71" s="7"/>
      <c r="AD71" s="7"/>
      <c r="AE71" s="10">
        <f t="shared" si="14"/>
        <v>100500</v>
      </c>
      <c r="AF71" s="10">
        <f>AH71</f>
        <v>100500</v>
      </c>
      <c r="AG71" s="10">
        <f t="shared" si="11"/>
        <v>100500</v>
      </c>
      <c r="AH71" s="10">
        <f t="shared" si="12"/>
        <v>100500</v>
      </c>
      <c r="AI71" s="7">
        <v>1.0E7</v>
      </c>
      <c r="AJ71" s="7">
        <v>0.01005</v>
      </c>
      <c r="AK71" s="7">
        <v>1.5</v>
      </c>
      <c r="AL71" s="11">
        <v>45720.713749999995</v>
      </c>
    </row>
    <row r="72" ht="12.0" customHeight="1">
      <c r="A72" s="6" t="s">
        <v>749</v>
      </c>
      <c r="B72" s="7" t="s">
        <v>691</v>
      </c>
      <c r="C72" s="7" t="s">
        <v>750</v>
      </c>
      <c r="D72" s="7" t="s">
        <v>751</v>
      </c>
      <c r="E72" s="7" t="s">
        <v>66</v>
      </c>
      <c r="F72" s="7" t="s">
        <v>752</v>
      </c>
      <c r="G72" s="7" t="s">
        <v>540</v>
      </c>
      <c r="H72" s="7" t="s">
        <v>39</v>
      </c>
      <c r="I72" s="7" t="s">
        <v>40</v>
      </c>
      <c r="J72" s="7">
        <v>119.80725276706082</v>
      </c>
      <c r="K72" s="7">
        <v>-31.798414602671613</v>
      </c>
      <c r="L72" s="7" t="s">
        <v>41</v>
      </c>
      <c r="M72" s="7" t="s">
        <v>753</v>
      </c>
      <c r="N72" s="7" t="s">
        <v>754</v>
      </c>
      <c r="O72" s="7" t="s">
        <v>754</v>
      </c>
      <c r="P72" s="7"/>
      <c r="Q72" s="7"/>
      <c r="R72" s="7" t="s">
        <v>755</v>
      </c>
      <c r="S72" s="7" t="s">
        <v>58</v>
      </c>
      <c r="T72" s="8">
        <v>0.0</v>
      </c>
      <c r="U72" s="7" t="s">
        <v>756</v>
      </c>
      <c r="V72" s="7" t="s">
        <v>757</v>
      </c>
      <c r="W72" s="7"/>
      <c r="X72" s="9">
        <v>1.0</v>
      </c>
      <c r="Y72" s="7" t="s">
        <v>758</v>
      </c>
      <c r="Z72" s="7"/>
      <c r="AA72" s="7"/>
      <c r="AB72" s="7"/>
      <c r="AC72" s="7"/>
      <c r="AD72" s="7"/>
      <c r="AE72" s="7">
        <f t="shared" si="14"/>
        <v>0</v>
      </c>
      <c r="AF72" s="7"/>
      <c r="AG72" s="10">
        <f t="shared" si="11"/>
        <v>0</v>
      </c>
      <c r="AH72" s="10">
        <f t="shared" si="12"/>
        <v>0</v>
      </c>
      <c r="AI72" s="7"/>
      <c r="AJ72" s="7">
        <v>0.17755</v>
      </c>
      <c r="AK72" s="7"/>
      <c r="AL72" s="11">
        <v>45644.636666666665</v>
      </c>
    </row>
    <row r="73" ht="12.0" customHeight="1">
      <c r="A73" s="6" t="s">
        <v>759</v>
      </c>
      <c r="B73" s="7" t="s">
        <v>760</v>
      </c>
      <c r="C73" s="7" t="s">
        <v>761</v>
      </c>
      <c r="D73" s="7" t="s">
        <v>762</v>
      </c>
      <c r="E73" s="7" t="s">
        <v>66</v>
      </c>
      <c r="F73" s="7" t="s">
        <v>763</v>
      </c>
      <c r="G73" s="7" t="s">
        <v>540</v>
      </c>
      <c r="H73" s="7" t="s">
        <v>39</v>
      </c>
      <c r="I73" s="7" t="s">
        <v>68</v>
      </c>
      <c r="J73" s="7">
        <v>148.19637110162523</v>
      </c>
      <c r="K73" s="7">
        <v>-32.995161262203986</v>
      </c>
      <c r="L73" s="7" t="s">
        <v>41</v>
      </c>
      <c r="M73" s="7" t="s">
        <v>764</v>
      </c>
      <c r="N73" s="7" t="s">
        <v>765</v>
      </c>
      <c r="O73" s="7" t="s">
        <v>765</v>
      </c>
      <c r="P73" s="7"/>
      <c r="Q73" s="7"/>
      <c r="R73" s="7" t="s">
        <v>766</v>
      </c>
      <c r="S73" s="7" t="s">
        <v>767</v>
      </c>
      <c r="T73" s="8">
        <v>35415.0</v>
      </c>
      <c r="U73" s="7" t="s">
        <v>768</v>
      </c>
      <c r="V73" s="7" t="s">
        <v>769</v>
      </c>
      <c r="W73" s="7"/>
      <c r="X73" s="9">
        <v>0.73</v>
      </c>
      <c r="Y73" s="7" t="s">
        <v>770</v>
      </c>
      <c r="Z73" s="7"/>
      <c r="AA73" s="7">
        <f t="shared" ref="AA73:AA74" si="15">AB73+AC73+AF73</f>
        <v>1149999</v>
      </c>
      <c r="AB73" s="7"/>
      <c r="AC73" s="7"/>
      <c r="AD73" s="7"/>
      <c r="AE73" s="7">
        <f t="shared" si="14"/>
        <v>1149999</v>
      </c>
      <c r="AF73" s="7">
        <v>1149999.0</v>
      </c>
      <c r="AG73" s="10">
        <f t="shared" si="11"/>
        <v>0</v>
      </c>
      <c r="AH73" s="10">
        <f t="shared" si="12"/>
        <v>0</v>
      </c>
      <c r="AI73" s="7">
        <v>3.83333333E8</v>
      </c>
      <c r="AJ73" s="7">
        <v>0.0</v>
      </c>
      <c r="AK73" s="7">
        <v>2.5</v>
      </c>
      <c r="AL73" s="11">
        <v>45684.68309027777</v>
      </c>
    </row>
    <row r="74" ht="12.0" customHeight="1">
      <c r="A74" s="6" t="s">
        <v>771</v>
      </c>
      <c r="B74" s="7" t="s">
        <v>546</v>
      </c>
      <c r="C74" s="7" t="s">
        <v>772</v>
      </c>
      <c r="D74" s="7" t="s">
        <v>773</v>
      </c>
      <c r="E74" s="7" t="s">
        <v>66</v>
      </c>
      <c r="F74" s="7" t="s">
        <v>774</v>
      </c>
      <c r="G74" s="7" t="s">
        <v>540</v>
      </c>
      <c r="H74" s="7" t="s">
        <v>39</v>
      </c>
      <c r="I74" s="7" t="s">
        <v>40</v>
      </c>
      <c r="J74" s="7">
        <v>118.81715937976564</v>
      </c>
      <c r="K74" s="7">
        <v>-28.869137033663716</v>
      </c>
      <c r="L74" s="7" t="s">
        <v>41</v>
      </c>
      <c r="M74" s="7" t="s">
        <v>775</v>
      </c>
      <c r="N74" s="7" t="s">
        <v>776</v>
      </c>
      <c r="O74" s="7" t="s">
        <v>776</v>
      </c>
      <c r="P74" s="7"/>
      <c r="Q74" s="7"/>
      <c r="R74" s="7" t="s">
        <v>777</v>
      </c>
      <c r="S74" s="7" t="s">
        <v>58</v>
      </c>
      <c r="T74" s="8">
        <v>995.0</v>
      </c>
      <c r="U74" s="7" t="s">
        <v>778</v>
      </c>
      <c r="V74" s="7" t="s">
        <v>779</v>
      </c>
      <c r="W74" s="7"/>
      <c r="X74" s="9">
        <v>1.0</v>
      </c>
      <c r="Y74" s="7" t="s">
        <v>780</v>
      </c>
      <c r="Z74" s="7"/>
      <c r="AA74" s="7">
        <f t="shared" si="15"/>
        <v>100000</v>
      </c>
      <c r="AB74" s="7">
        <v>40000.0</v>
      </c>
      <c r="AC74" s="7"/>
      <c r="AD74" s="7">
        <v>100000.0</v>
      </c>
      <c r="AE74" s="7">
        <f t="shared" si="14"/>
        <v>100000</v>
      </c>
      <c r="AF74" s="7">
        <v>60000.0</v>
      </c>
      <c r="AG74" s="10">
        <f t="shared" si="11"/>
        <v>80200</v>
      </c>
      <c r="AH74" s="10">
        <f t="shared" si="12"/>
        <v>40200</v>
      </c>
      <c r="AI74" s="7">
        <v>3000000.0</v>
      </c>
      <c r="AJ74" s="7">
        <v>0.0134</v>
      </c>
      <c r="AK74" s="7"/>
      <c r="AL74" s="11">
        <v>45533.71807870371</v>
      </c>
    </row>
    <row r="75" ht="12.0" customHeight="1">
      <c r="A75" s="6" t="s">
        <v>781</v>
      </c>
      <c r="B75" s="7" t="s">
        <v>782</v>
      </c>
      <c r="C75" s="7" t="s">
        <v>783</v>
      </c>
      <c r="D75" s="7" t="s">
        <v>784</v>
      </c>
      <c r="E75" s="7" t="s">
        <v>66</v>
      </c>
      <c r="F75" s="7"/>
      <c r="G75" s="7" t="s">
        <v>540</v>
      </c>
      <c r="H75" s="7" t="s">
        <v>39</v>
      </c>
      <c r="I75" s="7" t="s">
        <v>79</v>
      </c>
      <c r="J75" s="7">
        <v>143.6711878639889</v>
      </c>
      <c r="K75" s="7">
        <v>-36.79137290415662</v>
      </c>
      <c r="L75" s="7" t="s">
        <v>41</v>
      </c>
      <c r="M75" s="7" t="s">
        <v>785</v>
      </c>
      <c r="N75" s="7" t="s">
        <v>786</v>
      </c>
      <c r="O75" s="7" t="s">
        <v>786</v>
      </c>
      <c r="P75" s="7" t="s">
        <v>787</v>
      </c>
      <c r="Q75" s="7" t="s">
        <v>787</v>
      </c>
      <c r="R75" s="7" t="s">
        <v>788</v>
      </c>
      <c r="S75" s="7" t="s">
        <v>58</v>
      </c>
      <c r="T75" s="8">
        <v>1900.0</v>
      </c>
      <c r="U75" s="12" t="s">
        <v>789</v>
      </c>
      <c r="V75" s="7" t="s">
        <v>790</v>
      </c>
      <c r="W75" s="7"/>
      <c r="X75" s="7"/>
      <c r="Y75" s="7"/>
      <c r="Z75" s="7"/>
      <c r="AA75" s="7"/>
      <c r="AB75" s="7"/>
      <c r="AC75" s="7"/>
      <c r="AD75" s="7"/>
      <c r="AE75" s="7">
        <f t="shared" si="14"/>
        <v>0</v>
      </c>
      <c r="AF75" s="7"/>
      <c r="AG75" s="10">
        <f t="shared" si="11"/>
        <v>0</v>
      </c>
      <c r="AH75" s="10">
        <f t="shared" si="12"/>
        <v>0</v>
      </c>
      <c r="AI75" s="7"/>
      <c r="AJ75" s="7">
        <v>0.0</v>
      </c>
      <c r="AK75" s="7"/>
      <c r="AL75" s="11">
        <v>45169.27083333333</v>
      </c>
    </row>
    <row r="76" ht="12.0" customHeight="1">
      <c r="A76" s="6" t="s">
        <v>442</v>
      </c>
      <c r="B76" s="7" t="s">
        <v>791</v>
      </c>
      <c r="C76" s="7" t="s">
        <v>444</v>
      </c>
      <c r="D76" s="7" t="s">
        <v>792</v>
      </c>
      <c r="E76" s="7" t="s">
        <v>66</v>
      </c>
      <c r="F76" s="7" t="s">
        <v>793</v>
      </c>
      <c r="G76" s="7" t="s">
        <v>540</v>
      </c>
      <c r="H76" s="7" t="s">
        <v>39</v>
      </c>
      <c r="I76" s="7" t="s">
        <v>132</v>
      </c>
      <c r="J76" s="7">
        <v>150.7834421282538</v>
      </c>
      <c r="K76" s="7">
        <v>-23.772338272250146</v>
      </c>
      <c r="L76" s="7" t="s">
        <v>41</v>
      </c>
      <c r="M76" s="7" t="s">
        <v>794</v>
      </c>
      <c r="N76" s="7" t="s">
        <v>448</v>
      </c>
      <c r="O76" s="7" t="s">
        <v>448</v>
      </c>
      <c r="P76" s="7"/>
      <c r="Q76" s="7"/>
      <c r="R76" s="7" t="s">
        <v>795</v>
      </c>
      <c r="S76" s="7" t="s">
        <v>58</v>
      </c>
      <c r="T76" s="8">
        <v>19200.0</v>
      </c>
      <c r="U76" s="7" t="s">
        <v>796</v>
      </c>
      <c r="V76" s="7" t="s">
        <v>451</v>
      </c>
      <c r="W76" s="7"/>
      <c r="X76" s="9">
        <v>1.0</v>
      </c>
      <c r="Y76" s="7" t="s">
        <v>797</v>
      </c>
      <c r="Z76" s="7"/>
      <c r="AA76" s="7"/>
      <c r="AB76" s="7"/>
      <c r="AC76" s="7"/>
      <c r="AD76" s="7"/>
      <c r="AE76" s="7">
        <f t="shared" si="14"/>
        <v>0</v>
      </c>
      <c r="AF76" s="7"/>
      <c r="AG76" s="10">
        <f t="shared" si="11"/>
        <v>0</v>
      </c>
      <c r="AH76" s="10">
        <f t="shared" si="12"/>
        <v>0</v>
      </c>
      <c r="AI76" s="7"/>
      <c r="AJ76" s="7">
        <v>0.00268</v>
      </c>
      <c r="AK76" s="7"/>
      <c r="AL76" s="11">
        <v>45691.708645833336</v>
      </c>
    </row>
    <row r="77" ht="12.0" customHeight="1">
      <c r="A77" s="6" t="s">
        <v>798</v>
      </c>
      <c r="B77" s="7" t="s">
        <v>799</v>
      </c>
      <c r="C77" s="7" t="s">
        <v>800</v>
      </c>
      <c r="D77" s="7" t="s">
        <v>801</v>
      </c>
      <c r="E77" s="7" t="s">
        <v>66</v>
      </c>
      <c r="F77" s="7"/>
      <c r="G77" s="7" t="s">
        <v>540</v>
      </c>
      <c r="H77" s="7" t="s">
        <v>39</v>
      </c>
      <c r="I77" s="7" t="s">
        <v>40</v>
      </c>
      <c r="J77" s="7">
        <v>122.10638143383116</v>
      </c>
      <c r="K77" s="7">
        <v>-30.76809308776978</v>
      </c>
      <c r="L77" s="7" t="s">
        <v>41</v>
      </c>
      <c r="M77" s="7" t="s">
        <v>802</v>
      </c>
      <c r="N77" s="7" t="s">
        <v>803</v>
      </c>
      <c r="O77" s="7" t="s">
        <v>803</v>
      </c>
      <c r="P77" s="7"/>
      <c r="Q77" s="7"/>
      <c r="R77" s="7" t="s">
        <v>804</v>
      </c>
      <c r="S77" s="7" t="s">
        <v>58</v>
      </c>
      <c r="T77" s="8">
        <v>0.0</v>
      </c>
      <c r="U77" s="7" t="s">
        <v>805</v>
      </c>
      <c r="V77" s="7" t="s">
        <v>806</v>
      </c>
      <c r="W77" s="7"/>
      <c r="X77" s="9">
        <v>1.0</v>
      </c>
      <c r="Y77" s="7" t="s">
        <v>807</v>
      </c>
      <c r="Z77" s="7"/>
      <c r="AA77" s="7"/>
      <c r="AB77" s="7"/>
      <c r="AC77" s="7"/>
      <c r="AD77" s="7"/>
      <c r="AE77" s="7">
        <f t="shared" si="14"/>
        <v>0</v>
      </c>
      <c r="AF77" s="7"/>
      <c r="AG77" s="10">
        <f t="shared" si="11"/>
        <v>0</v>
      </c>
      <c r="AH77" s="10">
        <f t="shared" si="12"/>
        <v>0</v>
      </c>
      <c r="AI77" s="7"/>
      <c r="AJ77" s="7">
        <v>0.00201</v>
      </c>
      <c r="AK77" s="7"/>
      <c r="AL77" s="11">
        <v>45720.63961805556</v>
      </c>
    </row>
    <row r="78" ht="12.0" customHeight="1">
      <c r="A78" s="6" t="s">
        <v>808</v>
      </c>
      <c r="B78" s="7" t="s">
        <v>809</v>
      </c>
      <c r="C78" s="7" t="s">
        <v>810</v>
      </c>
      <c r="D78" s="7" t="s">
        <v>811</v>
      </c>
      <c r="E78" s="7" t="s">
        <v>66</v>
      </c>
      <c r="F78" s="7"/>
      <c r="G78" s="7" t="s">
        <v>540</v>
      </c>
      <c r="H78" s="7" t="s">
        <v>39</v>
      </c>
      <c r="I78" s="7" t="s">
        <v>79</v>
      </c>
      <c r="J78" s="7">
        <v>145.19348330445075</v>
      </c>
      <c r="K78" s="7">
        <v>-37.276489449444384</v>
      </c>
      <c r="L78" s="7" t="s">
        <v>41</v>
      </c>
      <c r="M78" s="7" t="s">
        <v>812</v>
      </c>
      <c r="N78" s="7" t="s">
        <v>654</v>
      </c>
      <c r="O78" s="7"/>
      <c r="P78" s="7" t="s">
        <v>655</v>
      </c>
      <c r="Q78" s="7"/>
      <c r="R78" s="7" t="s">
        <v>813</v>
      </c>
      <c r="S78" s="7" t="s">
        <v>58</v>
      </c>
      <c r="T78" s="8">
        <v>359.6</v>
      </c>
      <c r="U78" s="7" t="s">
        <v>814</v>
      </c>
      <c r="V78" s="7" t="s">
        <v>815</v>
      </c>
      <c r="W78" s="7"/>
      <c r="X78" s="9">
        <v>1.0</v>
      </c>
      <c r="Y78" s="7" t="s">
        <v>816</v>
      </c>
      <c r="Z78" s="7"/>
      <c r="AA78" s="7">
        <f t="shared" ref="AA78:AA85" si="16">AB78+AC78+AF78</f>
        <v>1795600</v>
      </c>
      <c r="AB78" s="7">
        <v>1795600.0</v>
      </c>
      <c r="AC78" s="7"/>
      <c r="AD78" s="7"/>
      <c r="AE78" s="7">
        <f t="shared" si="14"/>
        <v>1795600</v>
      </c>
      <c r="AF78" s="7"/>
      <c r="AG78" s="10">
        <f t="shared" si="11"/>
        <v>1827760</v>
      </c>
      <c r="AH78" s="10">
        <f t="shared" si="12"/>
        <v>32160</v>
      </c>
      <c r="AI78" s="7">
        <v>6000000.0</v>
      </c>
      <c r="AJ78" s="7">
        <v>0.00536</v>
      </c>
      <c r="AK78" s="7">
        <v>2.0</v>
      </c>
      <c r="AL78" s="11">
        <v>45629.64583333333</v>
      </c>
    </row>
    <row r="79" ht="12.0" customHeight="1">
      <c r="A79" s="6" t="s">
        <v>139</v>
      </c>
      <c r="B79" s="7" t="s">
        <v>817</v>
      </c>
      <c r="C79" s="7" t="s">
        <v>818</v>
      </c>
      <c r="D79" s="7" t="s">
        <v>819</v>
      </c>
      <c r="E79" s="7" t="s">
        <v>66</v>
      </c>
      <c r="F79" s="7" t="s">
        <v>820</v>
      </c>
      <c r="G79" s="7" t="s">
        <v>540</v>
      </c>
      <c r="H79" s="7" t="s">
        <v>39</v>
      </c>
      <c r="I79" s="7" t="s">
        <v>40</v>
      </c>
      <c r="J79" s="7">
        <v>119.2216021639802</v>
      </c>
      <c r="K79" s="7">
        <v>-23.623745269993215</v>
      </c>
      <c r="L79" s="7" t="s">
        <v>41</v>
      </c>
      <c r="M79" s="7" t="s">
        <v>821</v>
      </c>
      <c r="N79" s="7" t="s">
        <v>144</v>
      </c>
      <c r="O79" s="7" t="s">
        <v>144</v>
      </c>
      <c r="P79" s="7"/>
      <c r="Q79" s="7"/>
      <c r="R79" s="7" t="s">
        <v>822</v>
      </c>
      <c r="S79" s="7" t="s">
        <v>58</v>
      </c>
      <c r="T79" s="8">
        <v>174000.0</v>
      </c>
      <c r="U79" s="7" t="s">
        <v>823</v>
      </c>
      <c r="V79" s="7" t="s">
        <v>147</v>
      </c>
      <c r="W79" s="7"/>
      <c r="X79" s="9">
        <v>1.0</v>
      </c>
      <c r="Y79" s="7" t="s">
        <v>824</v>
      </c>
      <c r="Z79" s="7"/>
      <c r="AA79" s="7">
        <f t="shared" si="16"/>
        <v>2505000</v>
      </c>
      <c r="AB79" s="7">
        <v>1005000.0000000001</v>
      </c>
      <c r="AC79" s="7"/>
      <c r="AD79" s="7"/>
      <c r="AE79" s="7">
        <f t="shared" si="14"/>
        <v>2505000</v>
      </c>
      <c r="AF79" s="7">
        <v>1500000.0</v>
      </c>
      <c r="AG79" s="10">
        <f t="shared" si="11"/>
        <v>1005000</v>
      </c>
      <c r="AH79" s="10">
        <f t="shared" si="12"/>
        <v>0</v>
      </c>
      <c r="AI79" s="7"/>
      <c r="AJ79" s="7">
        <v>6.284600000000001</v>
      </c>
      <c r="AK79" s="7">
        <v>1.0</v>
      </c>
      <c r="AL79" s="11">
        <v>45634.63998842593</v>
      </c>
    </row>
    <row r="80" ht="12.0" customHeight="1">
      <c r="A80" s="6" t="s">
        <v>825</v>
      </c>
      <c r="B80" s="7" t="s">
        <v>496</v>
      </c>
      <c r="C80" s="7" t="s">
        <v>826</v>
      </c>
      <c r="D80" s="7" t="s">
        <v>827</v>
      </c>
      <c r="E80" s="7" t="s">
        <v>66</v>
      </c>
      <c r="F80" s="7"/>
      <c r="G80" s="7" t="s">
        <v>540</v>
      </c>
      <c r="H80" s="7" t="s">
        <v>39</v>
      </c>
      <c r="I80" s="7" t="s">
        <v>40</v>
      </c>
      <c r="J80" s="7">
        <v>123.87275913306298</v>
      </c>
      <c r="K80" s="7">
        <v>-31.456932475059997</v>
      </c>
      <c r="L80" s="7" t="s">
        <v>41</v>
      </c>
      <c r="M80" s="7" t="s">
        <v>828</v>
      </c>
      <c r="N80" s="7" t="s">
        <v>829</v>
      </c>
      <c r="O80" s="7" t="s">
        <v>829</v>
      </c>
      <c r="P80" s="7"/>
      <c r="Q80" s="7"/>
      <c r="R80" s="7" t="s">
        <v>830</v>
      </c>
      <c r="S80" s="7" t="s">
        <v>58</v>
      </c>
      <c r="T80" s="8">
        <v>34800.0</v>
      </c>
      <c r="U80" s="7" t="s">
        <v>831</v>
      </c>
      <c r="V80" s="7" t="s">
        <v>832</v>
      </c>
      <c r="W80" s="7"/>
      <c r="X80" s="9">
        <v>0.7</v>
      </c>
      <c r="Y80" s="7" t="s">
        <v>833</v>
      </c>
      <c r="Z80" s="7"/>
      <c r="AA80" s="7">
        <f t="shared" si="16"/>
        <v>300000</v>
      </c>
      <c r="AB80" s="7">
        <v>0.0</v>
      </c>
      <c r="AC80" s="7"/>
      <c r="AD80" s="7"/>
      <c r="AE80" s="7">
        <f t="shared" si="14"/>
        <v>300000</v>
      </c>
      <c r="AF80" s="7">
        <v>300000.0</v>
      </c>
      <c r="AG80" s="10">
        <f t="shared" si="11"/>
        <v>0</v>
      </c>
      <c r="AH80" s="10">
        <f t="shared" si="12"/>
        <v>0</v>
      </c>
      <c r="AI80" s="7"/>
      <c r="AJ80" s="7">
        <v>0.01675</v>
      </c>
      <c r="AK80" s="7">
        <v>1.05</v>
      </c>
      <c r="AL80" s="11">
        <v>45753.64333333333</v>
      </c>
    </row>
    <row r="81" ht="12.0" customHeight="1">
      <c r="A81" s="6" t="s">
        <v>86</v>
      </c>
      <c r="B81" s="7" t="s">
        <v>834</v>
      </c>
      <c r="C81" s="7" t="s">
        <v>835</v>
      </c>
      <c r="D81" s="7" t="s">
        <v>836</v>
      </c>
      <c r="E81" s="7" t="s">
        <v>66</v>
      </c>
      <c r="F81" s="7" t="s">
        <v>837</v>
      </c>
      <c r="G81" s="7" t="s">
        <v>540</v>
      </c>
      <c r="H81" s="7" t="s">
        <v>39</v>
      </c>
      <c r="I81" s="7" t="s">
        <v>68</v>
      </c>
      <c r="J81" s="7">
        <v>141.81840647161673</v>
      </c>
      <c r="K81" s="7">
        <v>-29.70643390962222</v>
      </c>
      <c r="L81" s="7" t="s">
        <v>41</v>
      </c>
      <c r="M81" s="7" t="s">
        <v>838</v>
      </c>
      <c r="N81" s="7" t="s">
        <v>839</v>
      </c>
      <c r="O81" s="7" t="s">
        <v>90</v>
      </c>
      <c r="P81" s="7"/>
      <c r="Q81" s="7" t="s">
        <v>91</v>
      </c>
      <c r="R81" s="7" t="s">
        <v>840</v>
      </c>
      <c r="S81" s="7" t="s">
        <v>58</v>
      </c>
      <c r="T81" s="8">
        <v>63100.0</v>
      </c>
      <c r="U81" s="7" t="s">
        <v>841</v>
      </c>
      <c r="V81" s="7" t="s">
        <v>94</v>
      </c>
      <c r="W81" s="7"/>
      <c r="X81" s="9">
        <v>0.8</v>
      </c>
      <c r="Y81" s="7" t="s">
        <v>842</v>
      </c>
      <c r="Z81" s="7"/>
      <c r="AA81" s="7">
        <f t="shared" si="16"/>
        <v>1473350</v>
      </c>
      <c r="AB81" s="7">
        <v>673350.0</v>
      </c>
      <c r="AC81" s="7">
        <v>800000.0</v>
      </c>
      <c r="AD81" s="7"/>
      <c r="AE81" s="7">
        <f t="shared" si="14"/>
        <v>673350</v>
      </c>
      <c r="AF81" s="7"/>
      <c r="AG81" s="10">
        <f t="shared" si="11"/>
        <v>773850</v>
      </c>
      <c r="AH81" s="10">
        <f t="shared" si="12"/>
        <v>100500</v>
      </c>
      <c r="AI81" s="7">
        <v>1500000.0</v>
      </c>
      <c r="AJ81" s="7">
        <v>0.067</v>
      </c>
      <c r="AK81" s="7"/>
      <c r="AL81" s="11">
        <v>45639.13506944444</v>
      </c>
    </row>
    <row r="82" ht="12.0" customHeight="1">
      <c r="A82" s="6" t="s">
        <v>86</v>
      </c>
      <c r="B82" s="7" t="s">
        <v>514</v>
      </c>
      <c r="C82" s="7" t="s">
        <v>88</v>
      </c>
      <c r="D82" s="7" t="s">
        <v>843</v>
      </c>
      <c r="E82" s="7" t="s">
        <v>66</v>
      </c>
      <c r="F82" s="7" t="s">
        <v>844</v>
      </c>
      <c r="G82" s="7" t="s">
        <v>540</v>
      </c>
      <c r="H82" s="7" t="s">
        <v>39</v>
      </c>
      <c r="I82" s="7" t="s">
        <v>40</v>
      </c>
      <c r="J82" s="7">
        <v>115.48104165279675</v>
      </c>
      <c r="K82" s="7">
        <v>-22.133402479192274</v>
      </c>
      <c r="L82" s="7" t="s">
        <v>41</v>
      </c>
      <c r="M82" s="7" t="s">
        <v>845</v>
      </c>
      <c r="N82" s="7" t="s">
        <v>90</v>
      </c>
      <c r="O82" s="7" t="s">
        <v>90</v>
      </c>
      <c r="P82" s="7" t="s">
        <v>91</v>
      </c>
      <c r="Q82" s="7" t="s">
        <v>91</v>
      </c>
      <c r="R82" s="7" t="s">
        <v>846</v>
      </c>
      <c r="S82" s="7" t="s">
        <v>58</v>
      </c>
      <c r="T82" s="8">
        <v>89000.0</v>
      </c>
      <c r="U82" s="7" t="s">
        <v>847</v>
      </c>
      <c r="V82" s="7" t="s">
        <v>94</v>
      </c>
      <c r="W82" s="7"/>
      <c r="X82" s="9">
        <v>0.7</v>
      </c>
      <c r="Y82" s="7" t="s">
        <v>848</v>
      </c>
      <c r="Z82" s="7"/>
      <c r="AA82" s="7">
        <f t="shared" si="16"/>
        <v>111890</v>
      </c>
      <c r="AB82" s="7">
        <v>44890.0</v>
      </c>
      <c r="AC82" s="7"/>
      <c r="AD82" s="7"/>
      <c r="AE82" s="7">
        <f t="shared" si="14"/>
        <v>111890</v>
      </c>
      <c r="AF82" s="7">
        <v>67000.0</v>
      </c>
      <c r="AG82" s="10">
        <f t="shared" si="11"/>
        <v>44890</v>
      </c>
      <c r="AH82" s="10">
        <f t="shared" si="12"/>
        <v>0</v>
      </c>
      <c r="AI82" s="7"/>
      <c r="AJ82" s="7">
        <v>0.0</v>
      </c>
      <c r="AK82" s="7"/>
      <c r="AL82" s="11">
        <v>45636.35208333333</v>
      </c>
    </row>
    <row r="83" ht="12.0" customHeight="1">
      <c r="A83" s="6" t="s">
        <v>849</v>
      </c>
      <c r="B83" s="7" t="s">
        <v>850</v>
      </c>
      <c r="C83" s="7" t="s">
        <v>851</v>
      </c>
      <c r="D83" s="7" t="s">
        <v>852</v>
      </c>
      <c r="E83" s="7" t="s">
        <v>66</v>
      </c>
      <c r="F83" s="7" t="s">
        <v>853</v>
      </c>
      <c r="G83" s="7" t="s">
        <v>540</v>
      </c>
      <c r="H83" s="7" t="s">
        <v>39</v>
      </c>
      <c r="I83" s="7" t="s">
        <v>40</v>
      </c>
      <c r="J83" s="7">
        <v>120.78000996461235</v>
      </c>
      <c r="K83" s="7">
        <v>-26.921652656623174</v>
      </c>
      <c r="L83" s="7" t="s">
        <v>41</v>
      </c>
      <c r="M83" s="7" t="s">
        <v>854</v>
      </c>
      <c r="N83" s="7" t="s">
        <v>855</v>
      </c>
      <c r="O83" s="7" t="s">
        <v>855</v>
      </c>
      <c r="P83" s="7"/>
      <c r="Q83" s="7"/>
      <c r="R83" s="7" t="s">
        <v>856</v>
      </c>
      <c r="S83" s="7" t="s">
        <v>58</v>
      </c>
      <c r="T83" s="8">
        <v>6100.0</v>
      </c>
      <c r="U83" s="7" t="s">
        <v>857</v>
      </c>
      <c r="V83" s="7" t="s">
        <v>858</v>
      </c>
      <c r="W83" s="7"/>
      <c r="X83" s="9">
        <v>0.8</v>
      </c>
      <c r="Y83" s="7" t="s">
        <v>859</v>
      </c>
      <c r="Z83" s="7"/>
      <c r="AA83" s="7">
        <f t="shared" si="16"/>
        <v>1000000</v>
      </c>
      <c r="AB83" s="7">
        <v>0.0</v>
      </c>
      <c r="AC83" s="7"/>
      <c r="AD83" s="7"/>
      <c r="AE83" s="7">
        <f t="shared" si="14"/>
        <v>1000000</v>
      </c>
      <c r="AF83" s="7">
        <v>1000000.0</v>
      </c>
      <c r="AG83" s="10">
        <f t="shared" si="11"/>
        <v>744444.437</v>
      </c>
      <c r="AH83" s="10">
        <f t="shared" si="12"/>
        <v>744444.437</v>
      </c>
      <c r="AI83" s="7">
        <v>2.2222222E7</v>
      </c>
      <c r="AJ83" s="7">
        <v>0.0335</v>
      </c>
      <c r="AK83" s="7"/>
      <c r="AL83" s="11">
        <v>45623.70385416667</v>
      </c>
    </row>
    <row r="84" ht="12.0" customHeight="1">
      <c r="A84" s="6" t="s">
        <v>860</v>
      </c>
      <c r="B84" s="7" t="s">
        <v>50</v>
      </c>
      <c r="C84" s="7" t="s">
        <v>861</v>
      </c>
      <c r="D84" s="7" t="s">
        <v>862</v>
      </c>
      <c r="E84" s="7" t="s">
        <v>66</v>
      </c>
      <c r="F84" s="7"/>
      <c r="G84" s="7" t="s">
        <v>540</v>
      </c>
      <c r="H84" s="7" t="s">
        <v>39</v>
      </c>
      <c r="I84" s="7" t="s">
        <v>40</v>
      </c>
      <c r="J84" s="7">
        <v>122.64395392581905</v>
      </c>
      <c r="K84" s="7">
        <v>-31.921731872654785</v>
      </c>
      <c r="L84" s="7" t="s">
        <v>41</v>
      </c>
      <c r="M84" s="7" t="s">
        <v>863</v>
      </c>
      <c r="N84" s="7" t="s">
        <v>864</v>
      </c>
      <c r="O84" s="7" t="s">
        <v>864</v>
      </c>
      <c r="P84" s="7"/>
      <c r="Q84" s="7"/>
      <c r="R84" s="7" t="s">
        <v>865</v>
      </c>
      <c r="S84" s="7" t="s">
        <v>58</v>
      </c>
      <c r="T84" s="8">
        <v>15000.0</v>
      </c>
      <c r="U84" s="7" t="s">
        <v>866</v>
      </c>
      <c r="V84" s="7" t="s">
        <v>867</v>
      </c>
      <c r="W84" s="7"/>
      <c r="X84" s="9">
        <v>0.9</v>
      </c>
      <c r="Y84" s="7" t="s">
        <v>868</v>
      </c>
      <c r="Z84" s="7"/>
      <c r="AA84" s="7">
        <f t="shared" si="16"/>
        <v>16750</v>
      </c>
      <c r="AB84" s="7">
        <v>16750.0</v>
      </c>
      <c r="AC84" s="7"/>
      <c r="AD84" s="7"/>
      <c r="AE84" s="7">
        <f t="shared" si="14"/>
        <v>16750</v>
      </c>
      <c r="AF84" s="7"/>
      <c r="AG84" s="10">
        <f t="shared" si="11"/>
        <v>16750</v>
      </c>
      <c r="AH84" s="10">
        <f t="shared" si="12"/>
        <v>0</v>
      </c>
      <c r="AI84" s="7"/>
      <c r="AJ84" s="7">
        <v>0.00268</v>
      </c>
      <c r="AK84" s="7">
        <v>1.5</v>
      </c>
      <c r="AL84" s="11">
        <v>45623.67224537037</v>
      </c>
    </row>
    <row r="85" ht="12.0" customHeight="1">
      <c r="A85" s="6" t="s">
        <v>287</v>
      </c>
      <c r="B85" s="7" t="s">
        <v>869</v>
      </c>
      <c r="C85" s="7" t="s">
        <v>636</v>
      </c>
      <c r="D85" s="7" t="s">
        <v>870</v>
      </c>
      <c r="E85" s="7" t="s">
        <v>66</v>
      </c>
      <c r="F85" s="7" t="s">
        <v>871</v>
      </c>
      <c r="G85" s="7" t="s">
        <v>540</v>
      </c>
      <c r="H85" s="7" t="s">
        <v>39</v>
      </c>
      <c r="I85" s="7" t="s">
        <v>40</v>
      </c>
      <c r="J85" s="7">
        <v>120.05513483631155</v>
      </c>
      <c r="K85" s="7">
        <v>-30.080053434857668</v>
      </c>
      <c r="L85" s="7" t="s">
        <v>41</v>
      </c>
      <c r="M85" s="7" t="s">
        <v>872</v>
      </c>
      <c r="N85" s="7" t="s">
        <v>293</v>
      </c>
      <c r="O85" s="7" t="s">
        <v>293</v>
      </c>
      <c r="P85" s="7"/>
      <c r="Q85" s="7"/>
      <c r="R85" s="7" t="s">
        <v>873</v>
      </c>
      <c r="S85" s="7" t="s">
        <v>58</v>
      </c>
      <c r="T85" s="8">
        <v>65000.0</v>
      </c>
      <c r="U85" s="7" t="s">
        <v>874</v>
      </c>
      <c r="V85" s="7" t="s">
        <v>296</v>
      </c>
      <c r="W85" s="7"/>
      <c r="X85" s="9">
        <v>1.0</v>
      </c>
      <c r="Y85" s="7" t="s">
        <v>875</v>
      </c>
      <c r="Z85" s="7"/>
      <c r="AA85" s="13">
        <f t="shared" si="16"/>
        <v>1167500</v>
      </c>
      <c r="AB85" s="13">
        <v>167500.0</v>
      </c>
      <c r="AC85" s="7"/>
      <c r="AD85" s="7"/>
      <c r="AE85" s="7">
        <f t="shared" si="14"/>
        <v>1167500</v>
      </c>
      <c r="AF85" s="7">
        <v>1000000.0</v>
      </c>
      <c r="AG85" s="10">
        <f t="shared" si="11"/>
        <v>264650</v>
      </c>
      <c r="AH85" s="10">
        <f t="shared" si="12"/>
        <v>97150</v>
      </c>
      <c r="AI85" s="7">
        <v>7.25E7</v>
      </c>
      <c r="AJ85" s="7">
        <v>0.00134</v>
      </c>
      <c r="AK85" s="7">
        <v>1.0</v>
      </c>
      <c r="AL85" s="11">
        <v>45636.637083333335</v>
      </c>
    </row>
    <row r="86" ht="12.0" customHeight="1">
      <c r="A86" s="6" t="s">
        <v>876</v>
      </c>
      <c r="B86" s="7" t="s">
        <v>702</v>
      </c>
      <c r="C86" s="7" t="s">
        <v>877</v>
      </c>
      <c r="D86" s="7" t="s">
        <v>878</v>
      </c>
      <c r="E86" s="7" t="s">
        <v>66</v>
      </c>
      <c r="F86" s="7"/>
      <c r="G86" s="7" t="s">
        <v>879</v>
      </c>
      <c r="H86" s="7" t="s">
        <v>39</v>
      </c>
      <c r="I86" s="7" t="s">
        <v>40</v>
      </c>
      <c r="J86" s="7">
        <v>128.8089581144471</v>
      </c>
      <c r="K86" s="7">
        <v>-19.65870153200122</v>
      </c>
      <c r="L86" s="7" t="s">
        <v>41</v>
      </c>
      <c r="M86" s="7" t="s">
        <v>880</v>
      </c>
      <c r="N86" s="7" t="s">
        <v>881</v>
      </c>
      <c r="O86" s="7" t="s">
        <v>881</v>
      </c>
      <c r="P86" s="7"/>
      <c r="Q86" s="7"/>
      <c r="R86" s="7" t="s">
        <v>882</v>
      </c>
      <c r="S86" s="7" t="s">
        <v>58</v>
      </c>
      <c r="T86" s="8">
        <v>0.0</v>
      </c>
      <c r="U86" s="7" t="s">
        <v>883</v>
      </c>
      <c r="V86" s="7" t="s">
        <v>884</v>
      </c>
      <c r="W86" s="7"/>
      <c r="X86" s="9">
        <v>1.0</v>
      </c>
      <c r="Y86" s="7" t="s">
        <v>885</v>
      </c>
      <c r="Z86" s="7"/>
      <c r="AA86" s="7">
        <f>AB86</f>
        <v>14685000</v>
      </c>
      <c r="AB86" s="7">
        <v>1.4685E7</v>
      </c>
      <c r="AC86" s="7"/>
      <c r="AD86" s="7"/>
      <c r="AE86" s="7">
        <f t="shared" si="14"/>
        <v>14685000</v>
      </c>
      <c r="AF86" s="7"/>
      <c r="AG86" s="10">
        <f t="shared" si="11"/>
        <v>14685000</v>
      </c>
      <c r="AH86" s="10">
        <f t="shared" si="12"/>
        <v>0</v>
      </c>
      <c r="AI86" s="7"/>
      <c r="AJ86" s="7">
        <v>0.5494</v>
      </c>
      <c r="AK86" s="7"/>
      <c r="AL86" s="11">
        <v>45740.6778587963</v>
      </c>
    </row>
    <row r="87" ht="12.0" customHeight="1">
      <c r="A87" s="6" t="s">
        <v>886</v>
      </c>
      <c r="B87" s="7" t="s">
        <v>887</v>
      </c>
      <c r="C87" s="7" t="s">
        <v>888</v>
      </c>
      <c r="D87" s="7" t="s">
        <v>889</v>
      </c>
      <c r="E87" s="7" t="s">
        <v>66</v>
      </c>
      <c r="F87" s="7" t="s">
        <v>890</v>
      </c>
      <c r="G87" s="7" t="s">
        <v>879</v>
      </c>
      <c r="H87" s="7" t="s">
        <v>39</v>
      </c>
      <c r="I87" s="7" t="s">
        <v>100</v>
      </c>
      <c r="J87" s="7">
        <v>145.57801330522813</v>
      </c>
      <c r="K87" s="7">
        <v>-41.8538102230484</v>
      </c>
      <c r="L87" s="7" t="s">
        <v>41</v>
      </c>
      <c r="M87" s="7" t="s">
        <v>891</v>
      </c>
      <c r="N87" s="7" t="s">
        <v>892</v>
      </c>
      <c r="O87" s="7" t="s">
        <v>893</v>
      </c>
      <c r="P87" s="7"/>
      <c r="Q87" s="7"/>
      <c r="R87" s="7" t="s">
        <v>894</v>
      </c>
      <c r="S87" s="7" t="s">
        <v>58</v>
      </c>
      <c r="T87" s="8">
        <v>0.0</v>
      </c>
      <c r="U87" s="7" t="s">
        <v>895</v>
      </c>
      <c r="V87" s="7" t="s">
        <v>896</v>
      </c>
      <c r="W87" s="7"/>
      <c r="X87" s="9">
        <v>1.0</v>
      </c>
      <c r="Y87" s="7" t="s">
        <v>897</v>
      </c>
      <c r="Z87" s="7"/>
      <c r="AA87" s="10">
        <f t="shared" ref="AA87:AA92" si="17">AB87+AC87+AF87</f>
        <v>23309400</v>
      </c>
      <c r="AB87" s="7">
        <v>1.263E7</v>
      </c>
      <c r="AC87" s="7"/>
      <c r="AD87" s="7"/>
      <c r="AE87" s="10">
        <f t="shared" si="14"/>
        <v>23309400</v>
      </c>
      <c r="AF87" s="10">
        <f t="shared" ref="AF87:AF88" si="18">AH87</f>
        <v>10679400</v>
      </c>
      <c r="AG87" s="10">
        <f t="shared" si="11"/>
        <v>23309400</v>
      </c>
      <c r="AH87" s="10">
        <f t="shared" si="12"/>
        <v>10679400</v>
      </c>
      <c r="AI87" s="7">
        <v>1.1866E8</v>
      </c>
      <c r="AJ87" s="7">
        <v>0.09</v>
      </c>
      <c r="AK87" s="7">
        <v>0.5</v>
      </c>
      <c r="AL87" s="11">
        <v>45739.752905092595</v>
      </c>
    </row>
    <row r="88" ht="12.0" customHeight="1">
      <c r="A88" s="6" t="s">
        <v>255</v>
      </c>
      <c r="B88" s="7" t="s">
        <v>140</v>
      </c>
      <c r="C88" s="7" t="s">
        <v>898</v>
      </c>
      <c r="D88" s="7" t="s">
        <v>899</v>
      </c>
      <c r="E88" s="7" t="s">
        <v>66</v>
      </c>
      <c r="F88" s="7"/>
      <c r="G88" s="7" t="s">
        <v>879</v>
      </c>
      <c r="H88" s="7" t="s">
        <v>39</v>
      </c>
      <c r="I88" s="7" t="s">
        <v>40</v>
      </c>
      <c r="J88" s="7">
        <v>120.995909699527</v>
      </c>
      <c r="K88" s="7">
        <v>-30.740687426995727</v>
      </c>
      <c r="L88" s="7" t="s">
        <v>41</v>
      </c>
      <c r="M88" s="7" t="s">
        <v>900</v>
      </c>
      <c r="N88" s="7" t="s">
        <v>260</v>
      </c>
      <c r="O88" s="7" t="s">
        <v>260</v>
      </c>
      <c r="P88" s="7"/>
      <c r="Q88" s="7"/>
      <c r="R88" s="7" t="s">
        <v>901</v>
      </c>
      <c r="S88" s="7" t="s">
        <v>902</v>
      </c>
      <c r="T88" s="8">
        <v>0.0</v>
      </c>
      <c r="U88" s="7" t="s">
        <v>903</v>
      </c>
      <c r="V88" s="7" t="s">
        <v>263</v>
      </c>
      <c r="W88" s="7"/>
      <c r="X88" s="9">
        <v>1.0</v>
      </c>
      <c r="Y88" s="7" t="s">
        <v>904</v>
      </c>
      <c r="Z88" s="7"/>
      <c r="AA88" s="10">
        <f t="shared" si="17"/>
        <v>2475200</v>
      </c>
      <c r="AB88" s="7">
        <v>2100000.0</v>
      </c>
      <c r="AC88" s="7"/>
      <c r="AD88" s="7"/>
      <c r="AE88" s="10">
        <f t="shared" si="14"/>
        <v>2475200</v>
      </c>
      <c r="AF88" s="10">
        <f t="shared" si="18"/>
        <v>375200</v>
      </c>
      <c r="AG88" s="10">
        <f t="shared" si="11"/>
        <v>2475200</v>
      </c>
      <c r="AH88" s="10">
        <f t="shared" si="12"/>
        <v>375200</v>
      </c>
      <c r="AI88" s="7">
        <v>2.0E7</v>
      </c>
      <c r="AJ88" s="7">
        <v>0.018760000000000002</v>
      </c>
      <c r="AK88" s="7">
        <v>2.0</v>
      </c>
      <c r="AL88" s="11">
        <v>45216.68319444444</v>
      </c>
    </row>
    <row r="89" ht="12.0" customHeight="1">
      <c r="A89" s="6" t="s">
        <v>876</v>
      </c>
      <c r="B89" s="7" t="s">
        <v>905</v>
      </c>
      <c r="C89" s="7" t="s">
        <v>906</v>
      </c>
      <c r="D89" s="7" t="s">
        <v>907</v>
      </c>
      <c r="E89" s="7" t="s">
        <v>66</v>
      </c>
      <c r="F89" s="7" t="s">
        <v>908</v>
      </c>
      <c r="G89" s="7" t="s">
        <v>879</v>
      </c>
      <c r="H89" s="7" t="s">
        <v>39</v>
      </c>
      <c r="I89" s="7" t="s">
        <v>40</v>
      </c>
      <c r="J89" s="7">
        <v>121.54048285641</v>
      </c>
      <c r="K89" s="7">
        <v>-30.80106446222156</v>
      </c>
      <c r="L89" s="7" t="s">
        <v>41</v>
      </c>
      <c r="M89" s="7" t="s">
        <v>41</v>
      </c>
      <c r="N89" s="7" t="s">
        <v>881</v>
      </c>
      <c r="O89" s="7" t="s">
        <v>881</v>
      </c>
      <c r="P89" s="7"/>
      <c r="Q89" s="7"/>
      <c r="R89" s="7" t="s">
        <v>909</v>
      </c>
      <c r="S89" s="7" t="s">
        <v>58</v>
      </c>
      <c r="T89" s="8">
        <v>0.0</v>
      </c>
      <c r="U89" s="7" t="s">
        <v>910</v>
      </c>
      <c r="V89" s="7" t="s">
        <v>884</v>
      </c>
      <c r="W89" s="7"/>
      <c r="X89" s="9">
        <v>1.0</v>
      </c>
      <c r="Y89" s="7" t="s">
        <v>911</v>
      </c>
      <c r="Z89" s="7"/>
      <c r="AA89" s="7">
        <f t="shared" si="17"/>
        <v>56950000</v>
      </c>
      <c r="AB89" s="7">
        <f>70000000*0.67</f>
        <v>46900000</v>
      </c>
      <c r="AC89" s="7"/>
      <c r="AD89" s="7">
        <v>8.5E7</v>
      </c>
      <c r="AE89" s="7">
        <f t="shared" si="14"/>
        <v>56950000</v>
      </c>
      <c r="AF89" s="7">
        <f>15000000*0.67</f>
        <v>10050000</v>
      </c>
      <c r="AG89" s="10">
        <f t="shared" si="11"/>
        <v>46900000</v>
      </c>
      <c r="AH89" s="10">
        <f t="shared" si="12"/>
        <v>0</v>
      </c>
      <c r="AI89" s="13"/>
      <c r="AJ89" s="7">
        <v>0.5494</v>
      </c>
      <c r="AK89" s="7"/>
      <c r="AL89" s="11">
        <v>45712.67056712963</v>
      </c>
    </row>
    <row r="90" ht="12.0" customHeight="1">
      <c r="A90" s="6" t="s">
        <v>912</v>
      </c>
      <c r="B90" s="7" t="s">
        <v>913</v>
      </c>
      <c r="C90" s="7" t="s">
        <v>914</v>
      </c>
      <c r="D90" s="7" t="s">
        <v>915</v>
      </c>
      <c r="E90" s="7" t="s">
        <v>66</v>
      </c>
      <c r="F90" s="7" t="s">
        <v>916</v>
      </c>
      <c r="G90" s="7" t="s">
        <v>879</v>
      </c>
      <c r="H90" s="7" t="s">
        <v>39</v>
      </c>
      <c r="I90" s="7" t="s">
        <v>40</v>
      </c>
      <c r="J90" s="7">
        <v>119.31745221744411</v>
      </c>
      <c r="K90" s="7">
        <v>-29.96571287165912</v>
      </c>
      <c r="L90" s="7" t="s">
        <v>41</v>
      </c>
      <c r="M90" s="7" t="s">
        <v>917</v>
      </c>
      <c r="N90" s="7" t="s">
        <v>918</v>
      </c>
      <c r="O90" s="7" t="s">
        <v>918</v>
      </c>
      <c r="P90" s="7"/>
      <c r="Q90" s="7"/>
      <c r="R90" s="7" t="s">
        <v>919</v>
      </c>
      <c r="S90" s="7" t="s">
        <v>58</v>
      </c>
      <c r="T90" s="8">
        <v>50000.0</v>
      </c>
      <c r="U90" s="7" t="s">
        <v>920</v>
      </c>
      <c r="V90" s="7" t="s">
        <v>921</v>
      </c>
      <c r="W90" s="7"/>
      <c r="X90" s="9">
        <v>1.0</v>
      </c>
      <c r="Y90" s="7" t="s">
        <v>922</v>
      </c>
      <c r="Z90" s="7"/>
      <c r="AA90" s="7">
        <f t="shared" si="17"/>
        <v>5500000</v>
      </c>
      <c r="AB90" s="7"/>
      <c r="AC90" s="7">
        <v>2000000.0</v>
      </c>
      <c r="AD90" s="7"/>
      <c r="AE90" s="7">
        <f t="shared" si="14"/>
        <v>3500000</v>
      </c>
      <c r="AF90" s="7">
        <v>3500000.0</v>
      </c>
      <c r="AG90" s="10">
        <f t="shared" si="11"/>
        <v>0</v>
      </c>
      <c r="AH90" s="10">
        <f t="shared" si="12"/>
        <v>0</v>
      </c>
      <c r="AI90" s="7"/>
      <c r="AJ90" s="7">
        <v>0.08375</v>
      </c>
      <c r="AK90" s="7">
        <v>1.5</v>
      </c>
      <c r="AL90" s="11">
        <v>45645.64298611111</v>
      </c>
    </row>
    <row r="91" ht="12.0" customHeight="1">
      <c r="A91" s="6" t="s">
        <v>923</v>
      </c>
      <c r="B91" s="7" t="s">
        <v>924</v>
      </c>
      <c r="C91" s="7" t="s">
        <v>925</v>
      </c>
      <c r="D91" s="7" t="s">
        <v>926</v>
      </c>
      <c r="E91" s="7" t="s">
        <v>927</v>
      </c>
      <c r="F91" s="7" t="s">
        <v>928</v>
      </c>
      <c r="G91" s="7" t="s">
        <v>38</v>
      </c>
      <c r="H91" s="7" t="s">
        <v>39</v>
      </c>
      <c r="I91" s="7" t="s">
        <v>40</v>
      </c>
      <c r="J91" s="7">
        <v>121.06927302062553</v>
      </c>
      <c r="K91" s="7">
        <v>-28.726994420103985</v>
      </c>
      <c r="L91" s="7" t="s">
        <v>41</v>
      </c>
      <c r="M91" s="7" t="s">
        <v>929</v>
      </c>
      <c r="N91" s="7" t="s">
        <v>930</v>
      </c>
      <c r="O91" s="7" t="s">
        <v>930</v>
      </c>
      <c r="P91" s="7"/>
      <c r="Q91" s="7"/>
      <c r="R91" s="7" t="s">
        <v>931</v>
      </c>
      <c r="S91" s="7" t="s">
        <v>932</v>
      </c>
      <c r="T91" s="8">
        <v>0.0</v>
      </c>
      <c r="U91" s="7" t="s">
        <v>933</v>
      </c>
      <c r="V91" s="7" t="s">
        <v>934</v>
      </c>
      <c r="W91" s="7"/>
      <c r="X91" s="9">
        <v>1.0</v>
      </c>
      <c r="Y91" s="7" t="s">
        <v>935</v>
      </c>
      <c r="Z91" s="7"/>
      <c r="AA91" s="7">
        <f t="shared" si="17"/>
        <v>2010000</v>
      </c>
      <c r="AB91" s="7">
        <f>3000000*0.67</f>
        <v>2010000</v>
      </c>
      <c r="AC91" s="7"/>
      <c r="AD91" s="7"/>
      <c r="AE91" s="7">
        <f t="shared" si="14"/>
        <v>2010000</v>
      </c>
      <c r="AF91" s="7"/>
      <c r="AG91" s="10">
        <f t="shared" si="11"/>
        <v>2010000</v>
      </c>
      <c r="AH91" s="10">
        <f t="shared" si="12"/>
        <v>0</v>
      </c>
      <c r="AI91" s="7"/>
      <c r="AJ91" s="7">
        <v>0.00134</v>
      </c>
      <c r="AK91" s="7"/>
      <c r="AL91" s="11">
        <v>45672.63638888889</v>
      </c>
    </row>
    <row r="92" ht="12.0" customHeight="1">
      <c r="A92" s="6" t="s">
        <v>545</v>
      </c>
      <c r="B92" s="7" t="s">
        <v>936</v>
      </c>
      <c r="C92" s="7" t="s">
        <v>547</v>
      </c>
      <c r="D92" s="7" t="s">
        <v>937</v>
      </c>
      <c r="E92" s="7" t="s">
        <v>938</v>
      </c>
      <c r="F92" s="7"/>
      <c r="G92" s="7" t="s">
        <v>540</v>
      </c>
      <c r="H92" s="7" t="s">
        <v>39</v>
      </c>
      <c r="I92" s="7" t="s">
        <v>79</v>
      </c>
      <c r="J92" s="7">
        <v>144.69923396694256</v>
      </c>
      <c r="K92" s="7">
        <v>-36.80603672304909</v>
      </c>
      <c r="L92" s="7" t="s">
        <v>41</v>
      </c>
      <c r="M92" s="7" t="s">
        <v>939</v>
      </c>
      <c r="N92" s="7" t="s">
        <v>519</v>
      </c>
      <c r="O92" s="7" t="s">
        <v>518</v>
      </c>
      <c r="P92" s="7" t="s">
        <v>520</v>
      </c>
      <c r="Q92" s="7"/>
      <c r="R92" s="7" t="s">
        <v>940</v>
      </c>
      <c r="S92" s="7" t="s">
        <v>58</v>
      </c>
      <c r="T92" s="8">
        <v>0.0</v>
      </c>
      <c r="U92" s="7" t="s">
        <v>941</v>
      </c>
      <c r="V92" s="7" t="s">
        <v>523</v>
      </c>
      <c r="W92" s="7"/>
      <c r="X92" s="7"/>
      <c r="Y92" s="7"/>
      <c r="Z92" s="7"/>
      <c r="AA92" s="7">
        <f t="shared" si="17"/>
        <v>187600</v>
      </c>
      <c r="AB92" s="7"/>
      <c r="AC92" s="7">
        <v>187600.0</v>
      </c>
      <c r="AD92" s="7"/>
      <c r="AE92" s="7">
        <f t="shared" si="14"/>
        <v>0</v>
      </c>
      <c r="AF92" s="7"/>
      <c r="AG92" s="10">
        <f t="shared" si="11"/>
        <v>0</v>
      </c>
      <c r="AH92" s="10">
        <f t="shared" si="12"/>
        <v>0</v>
      </c>
      <c r="AI92" s="7"/>
      <c r="AJ92" s="7">
        <v>0.0</v>
      </c>
      <c r="AK92" s="7">
        <v>2.0</v>
      </c>
      <c r="AL92" s="11">
        <v>45076.25</v>
      </c>
    </row>
    <row r="93" ht="12.0" customHeight="1">
      <c r="A93" s="6" t="s">
        <v>942</v>
      </c>
      <c r="B93" s="7" t="s">
        <v>943</v>
      </c>
      <c r="C93" s="7" t="s">
        <v>944</v>
      </c>
      <c r="D93" s="7" t="s">
        <v>945</v>
      </c>
      <c r="E93" s="7" t="s">
        <v>946</v>
      </c>
      <c r="F93" s="7" t="s">
        <v>947</v>
      </c>
      <c r="G93" s="7" t="s">
        <v>38</v>
      </c>
      <c r="H93" s="7" t="s">
        <v>39</v>
      </c>
      <c r="I93" s="7" t="s">
        <v>132</v>
      </c>
      <c r="J93" s="7">
        <v>152.41102303574948</v>
      </c>
      <c r="K93" s="7">
        <v>-26.079581821597447</v>
      </c>
      <c r="L93" s="7" t="s">
        <v>41</v>
      </c>
      <c r="M93" s="7" t="s">
        <v>948</v>
      </c>
      <c r="N93" s="7" t="s">
        <v>949</v>
      </c>
      <c r="O93" s="7" t="s">
        <v>949</v>
      </c>
      <c r="P93" s="7"/>
      <c r="Q93" s="7"/>
      <c r="R93" s="7" t="s">
        <v>950</v>
      </c>
      <c r="S93" s="7" t="s">
        <v>58</v>
      </c>
      <c r="T93" s="8">
        <v>0.0</v>
      </c>
      <c r="U93" s="7" t="s">
        <v>951</v>
      </c>
      <c r="V93" s="7" t="s">
        <v>952</v>
      </c>
      <c r="W93" s="7"/>
      <c r="X93" s="9">
        <v>1.0</v>
      </c>
      <c r="Y93" s="7" t="s">
        <v>953</v>
      </c>
      <c r="Z93" s="7"/>
      <c r="AA93" s="7">
        <f>AE93</f>
        <v>315000</v>
      </c>
      <c r="AB93" s="7"/>
      <c r="AC93" s="7"/>
      <c r="AD93" s="7"/>
      <c r="AE93" s="7">
        <f t="shared" si="14"/>
        <v>315000</v>
      </c>
      <c r="AF93" s="7">
        <v>315000.0</v>
      </c>
      <c r="AG93" s="10">
        <f t="shared" si="11"/>
        <v>0</v>
      </c>
      <c r="AH93" s="10">
        <f t="shared" si="12"/>
        <v>0</v>
      </c>
      <c r="AI93" s="7"/>
      <c r="AJ93" s="7">
        <v>0.30820000000000003</v>
      </c>
      <c r="AK93" s="7"/>
      <c r="AL93" s="11">
        <v>45568.93451388889</v>
      </c>
    </row>
    <row r="94" ht="12.0" customHeight="1">
      <c r="A94" s="6" t="s">
        <v>954</v>
      </c>
      <c r="B94" s="7" t="s">
        <v>955</v>
      </c>
      <c r="C94" s="7" t="s">
        <v>956</v>
      </c>
      <c r="D94" s="7" t="s">
        <v>957</v>
      </c>
      <c r="E94" s="7" t="s">
        <v>946</v>
      </c>
      <c r="F94" s="7" t="s">
        <v>958</v>
      </c>
      <c r="G94" s="7" t="s">
        <v>38</v>
      </c>
      <c r="H94" s="7" t="s">
        <v>39</v>
      </c>
      <c r="I94" s="7" t="s">
        <v>68</v>
      </c>
      <c r="J94" s="7">
        <v>151.7805716237723</v>
      </c>
      <c r="K94" s="7">
        <v>-30.753925343667536</v>
      </c>
      <c r="L94" s="7" t="s">
        <v>41</v>
      </c>
      <c r="M94" s="7" t="s">
        <v>959</v>
      </c>
      <c r="N94" s="7" t="s">
        <v>960</v>
      </c>
      <c r="O94" s="7" t="s">
        <v>960</v>
      </c>
      <c r="P94" s="7"/>
      <c r="Q94" s="7"/>
      <c r="R94" s="7" t="s">
        <v>961</v>
      </c>
      <c r="S94" s="7" t="s">
        <v>58</v>
      </c>
      <c r="T94" s="8">
        <v>13400.0</v>
      </c>
      <c r="U94" s="7" t="s">
        <v>962</v>
      </c>
      <c r="V94" s="7" t="s">
        <v>963</v>
      </c>
      <c r="W94" s="7"/>
      <c r="X94" s="9">
        <v>1.0</v>
      </c>
      <c r="Y94" s="7" t="s">
        <v>964</v>
      </c>
      <c r="Z94" s="7"/>
      <c r="AA94" s="7"/>
      <c r="AB94" s="7"/>
      <c r="AC94" s="7"/>
      <c r="AD94" s="7"/>
      <c r="AE94" s="7"/>
      <c r="AF94" s="7"/>
      <c r="AG94" s="10">
        <f t="shared" si="11"/>
        <v>0</v>
      </c>
      <c r="AH94" s="10">
        <f t="shared" si="12"/>
        <v>0</v>
      </c>
      <c r="AI94" s="7"/>
      <c r="AJ94" s="7">
        <v>0.0</v>
      </c>
      <c r="AK94" s="7">
        <v>2.0</v>
      </c>
      <c r="AL94" s="11">
        <v>45712.693136574075</v>
      </c>
    </row>
    <row r="95" ht="12.0" customHeight="1">
      <c r="A95" s="6" t="s">
        <v>965</v>
      </c>
      <c r="B95" s="7" t="s">
        <v>966</v>
      </c>
      <c r="C95" s="7" t="s">
        <v>967</v>
      </c>
      <c r="D95" s="7" t="s">
        <v>968</v>
      </c>
      <c r="E95" s="7" t="s">
        <v>946</v>
      </c>
      <c r="F95" s="7"/>
      <c r="G95" s="7" t="s">
        <v>540</v>
      </c>
      <c r="H95" s="7" t="s">
        <v>39</v>
      </c>
      <c r="I95" s="7" t="s">
        <v>40</v>
      </c>
      <c r="J95" s="7">
        <v>119.79818838562639</v>
      </c>
      <c r="K95" s="7">
        <v>-32.42644951239689</v>
      </c>
      <c r="L95" s="7" t="s">
        <v>41</v>
      </c>
      <c r="M95" s="7" t="s">
        <v>969</v>
      </c>
      <c r="N95" s="7" t="s">
        <v>970</v>
      </c>
      <c r="O95" s="7" t="s">
        <v>970</v>
      </c>
      <c r="P95" s="7"/>
      <c r="Q95" s="7"/>
      <c r="R95" s="7" t="s">
        <v>971</v>
      </c>
      <c r="S95" s="7" t="s">
        <v>58</v>
      </c>
      <c r="T95" s="8">
        <v>6670.0</v>
      </c>
      <c r="U95" s="7" t="s">
        <v>972</v>
      </c>
      <c r="V95" s="7" t="s">
        <v>973</v>
      </c>
      <c r="W95" s="7"/>
      <c r="X95" s="9">
        <v>1.0</v>
      </c>
      <c r="Y95" s="7" t="s">
        <v>974</v>
      </c>
      <c r="Z95" s="7"/>
      <c r="AA95" s="7"/>
      <c r="AB95" s="7"/>
      <c r="AC95" s="7"/>
      <c r="AD95" s="7"/>
      <c r="AE95" s="7">
        <f t="shared" ref="AE95:AE165" si="19">AB95+AF95</f>
        <v>0</v>
      </c>
      <c r="AF95" s="7"/>
      <c r="AG95" s="10">
        <f t="shared" si="11"/>
        <v>0</v>
      </c>
      <c r="AH95" s="10">
        <f t="shared" si="12"/>
        <v>0</v>
      </c>
      <c r="AI95" s="7"/>
      <c r="AJ95" s="7">
        <v>0.054270000000000006</v>
      </c>
      <c r="AK95" s="7"/>
      <c r="AL95" s="11">
        <v>45543.71024305555</v>
      </c>
    </row>
    <row r="96" ht="12.0" customHeight="1">
      <c r="A96" s="6" t="s">
        <v>453</v>
      </c>
      <c r="B96" s="7" t="s">
        <v>975</v>
      </c>
      <c r="C96" s="7" t="s">
        <v>976</v>
      </c>
      <c r="D96" s="7" t="s">
        <v>977</v>
      </c>
      <c r="E96" s="7" t="s">
        <v>946</v>
      </c>
      <c r="F96" s="7" t="s">
        <v>978</v>
      </c>
      <c r="G96" s="7" t="s">
        <v>540</v>
      </c>
      <c r="H96" s="7" t="s">
        <v>39</v>
      </c>
      <c r="I96" s="7" t="s">
        <v>132</v>
      </c>
      <c r="J96" s="7">
        <v>150.38316534005085</v>
      </c>
      <c r="K96" s="7">
        <v>-23.655318306211466</v>
      </c>
      <c r="L96" s="7" t="s">
        <v>41</v>
      </c>
      <c r="M96" s="7" t="s">
        <v>979</v>
      </c>
      <c r="N96" s="7" t="s">
        <v>459</v>
      </c>
      <c r="O96" s="7" t="s">
        <v>459</v>
      </c>
      <c r="P96" s="7"/>
      <c r="Q96" s="7"/>
      <c r="R96" s="7" t="s">
        <v>980</v>
      </c>
      <c r="S96" s="7" t="s">
        <v>58</v>
      </c>
      <c r="T96" s="8">
        <v>100551.1</v>
      </c>
      <c r="U96" s="7" t="s">
        <v>981</v>
      </c>
      <c r="V96" s="7" t="s">
        <v>462</v>
      </c>
      <c r="W96" s="7"/>
      <c r="X96" s="9">
        <v>1.0</v>
      </c>
      <c r="Y96" s="7" t="s">
        <v>982</v>
      </c>
      <c r="Z96" s="7"/>
      <c r="AA96" s="7">
        <f t="shared" ref="AA96:AA97" si="20">AB96+AC96+AF96</f>
        <v>5200000</v>
      </c>
      <c r="AB96" s="7">
        <v>1400000.0</v>
      </c>
      <c r="AC96" s="7">
        <v>2700000.0</v>
      </c>
      <c r="AD96" s="7"/>
      <c r="AE96" s="7">
        <f t="shared" si="19"/>
        <v>2500000</v>
      </c>
      <c r="AF96" s="7">
        <v>1100000.0</v>
      </c>
      <c r="AG96" s="10">
        <f t="shared" si="11"/>
        <v>1400000</v>
      </c>
      <c r="AH96" s="10">
        <f t="shared" si="12"/>
        <v>0</v>
      </c>
      <c r="AI96" s="7"/>
      <c r="AJ96" s="7">
        <v>0.0</v>
      </c>
      <c r="AK96" s="7">
        <v>1.33</v>
      </c>
      <c r="AL96" s="11">
        <v>45728.738483796296</v>
      </c>
    </row>
    <row r="97" ht="12.0" customHeight="1">
      <c r="A97" s="6" t="s">
        <v>983</v>
      </c>
      <c r="B97" s="7" t="s">
        <v>984</v>
      </c>
      <c r="C97" s="7" t="s">
        <v>985</v>
      </c>
      <c r="D97" s="7" t="s">
        <v>986</v>
      </c>
      <c r="E97" s="7" t="s">
        <v>946</v>
      </c>
      <c r="F97" s="7"/>
      <c r="G97" s="7" t="s">
        <v>879</v>
      </c>
      <c r="H97" s="7" t="s">
        <v>39</v>
      </c>
      <c r="I97" s="7" t="s">
        <v>40</v>
      </c>
      <c r="J97" s="7">
        <v>122.24984168401743</v>
      </c>
      <c r="K97" s="7">
        <v>-21.723350364158833</v>
      </c>
      <c r="L97" s="7" t="s">
        <v>41</v>
      </c>
      <c r="M97" s="7" t="s">
        <v>987</v>
      </c>
      <c r="N97" s="7" t="s">
        <v>988</v>
      </c>
      <c r="O97" s="7" t="s">
        <v>988</v>
      </c>
      <c r="P97" s="7" t="s">
        <v>989</v>
      </c>
      <c r="Q97" s="7" t="s">
        <v>989</v>
      </c>
      <c r="R97" s="7" t="s">
        <v>990</v>
      </c>
      <c r="S97" s="7" t="s">
        <v>58</v>
      </c>
      <c r="T97" s="8">
        <v>0.0</v>
      </c>
      <c r="U97" s="7" t="s">
        <v>991</v>
      </c>
      <c r="V97" s="7" t="s">
        <v>992</v>
      </c>
      <c r="W97" s="7"/>
      <c r="X97" s="7"/>
      <c r="Y97" s="7" t="s">
        <v>993</v>
      </c>
      <c r="Z97" s="7"/>
      <c r="AA97" s="7">
        <f t="shared" si="20"/>
        <v>207695000</v>
      </c>
      <c r="AB97" s="7">
        <v>2.06025E8</v>
      </c>
      <c r="AC97" s="7"/>
      <c r="AD97" s="7">
        <v>4.75E8</v>
      </c>
      <c r="AE97" s="7">
        <f t="shared" si="19"/>
        <v>207695000</v>
      </c>
      <c r="AF97" s="7">
        <v>1670000.0</v>
      </c>
      <c r="AG97" s="10">
        <f t="shared" si="11"/>
        <v>206025000</v>
      </c>
      <c r="AH97" s="10">
        <f t="shared" si="12"/>
        <v>0</v>
      </c>
      <c r="AI97" s="7"/>
      <c r="AJ97" s="7">
        <v>0.0</v>
      </c>
      <c r="AK97" s="7"/>
      <c r="AL97" s="11">
        <v>45545.42013888889</v>
      </c>
    </row>
    <row r="98" ht="12.0" customHeight="1">
      <c r="A98" s="6" t="s">
        <v>994</v>
      </c>
      <c r="B98" s="7" t="s">
        <v>995</v>
      </c>
      <c r="C98" s="7" t="s">
        <v>996</v>
      </c>
      <c r="D98" s="7" t="s">
        <v>997</v>
      </c>
      <c r="E98" s="7" t="s">
        <v>998</v>
      </c>
      <c r="F98" s="7" t="s">
        <v>999</v>
      </c>
      <c r="G98" s="7" t="s">
        <v>540</v>
      </c>
      <c r="H98" s="7" t="s">
        <v>39</v>
      </c>
      <c r="I98" s="7" t="s">
        <v>68</v>
      </c>
      <c r="J98" s="7">
        <v>145.89471153863352</v>
      </c>
      <c r="K98" s="7">
        <v>-31.702724360042538</v>
      </c>
      <c r="L98" s="7" t="s">
        <v>41</v>
      </c>
      <c r="M98" s="7" t="s">
        <v>1000</v>
      </c>
      <c r="N98" s="7" t="s">
        <v>1001</v>
      </c>
      <c r="O98" s="7" t="s">
        <v>1002</v>
      </c>
      <c r="P98" s="7"/>
      <c r="Q98" s="7"/>
      <c r="R98" s="7" t="s">
        <v>1003</v>
      </c>
      <c r="S98" s="7" t="s">
        <v>58</v>
      </c>
      <c r="T98" s="8">
        <v>30800.0</v>
      </c>
      <c r="U98" s="7" t="s">
        <v>1004</v>
      </c>
      <c r="V98" s="7" t="s">
        <v>1005</v>
      </c>
      <c r="W98" s="7"/>
      <c r="X98" s="9">
        <v>0.8</v>
      </c>
      <c r="Y98" s="7" t="s">
        <v>1006</v>
      </c>
      <c r="Z98" s="7"/>
      <c r="AA98" s="7">
        <f>AC98</f>
        <v>1960000</v>
      </c>
      <c r="AB98" s="7"/>
      <c r="AC98" s="7">
        <v>1960000.0</v>
      </c>
      <c r="AD98" s="7"/>
      <c r="AE98" s="7">
        <f t="shared" si="19"/>
        <v>0</v>
      </c>
      <c r="AF98" s="7"/>
      <c r="AG98" s="10">
        <f t="shared" si="11"/>
        <v>0</v>
      </c>
      <c r="AH98" s="10">
        <f t="shared" si="12"/>
        <v>0</v>
      </c>
      <c r="AI98" s="7"/>
      <c r="AJ98" s="7">
        <v>0.00134</v>
      </c>
      <c r="AK98" s="7">
        <v>2.0</v>
      </c>
      <c r="AL98" s="11">
        <v>45522.68009259259</v>
      </c>
    </row>
    <row r="99" ht="12.0" customHeight="1">
      <c r="A99" s="6" t="s">
        <v>1007</v>
      </c>
      <c r="B99" s="7" t="s">
        <v>1008</v>
      </c>
      <c r="C99" s="7" t="s">
        <v>1009</v>
      </c>
      <c r="D99" s="7" t="s">
        <v>1010</v>
      </c>
      <c r="E99" s="7" t="s">
        <v>1011</v>
      </c>
      <c r="F99" s="7" t="s">
        <v>1012</v>
      </c>
      <c r="G99" s="7" t="s">
        <v>38</v>
      </c>
      <c r="H99" s="7" t="s">
        <v>39</v>
      </c>
      <c r="I99" s="7" t="s">
        <v>40</v>
      </c>
      <c r="J99" s="7">
        <v>119.29433262505725</v>
      </c>
      <c r="K99" s="7">
        <v>-28.00810958559413</v>
      </c>
      <c r="L99" s="7" t="s">
        <v>41</v>
      </c>
      <c r="M99" s="7" t="s">
        <v>1013</v>
      </c>
      <c r="N99" s="7" t="s">
        <v>1014</v>
      </c>
      <c r="O99" s="7" t="s">
        <v>1014</v>
      </c>
      <c r="P99" s="7"/>
      <c r="Q99" s="7"/>
      <c r="R99" s="7" t="s">
        <v>1015</v>
      </c>
      <c r="S99" s="7" t="s">
        <v>58</v>
      </c>
      <c r="T99" s="8">
        <v>0.0</v>
      </c>
      <c r="U99" s="7" t="s">
        <v>1016</v>
      </c>
      <c r="V99" s="7" t="s">
        <v>1017</v>
      </c>
      <c r="W99" s="7"/>
      <c r="X99" s="9">
        <v>0.5</v>
      </c>
      <c r="Y99" s="7" t="s">
        <v>1018</v>
      </c>
      <c r="Z99" s="7"/>
      <c r="AA99" s="7">
        <f>AB99</f>
        <v>1340000</v>
      </c>
      <c r="AB99" s="7">
        <v>1340000.0</v>
      </c>
      <c r="AC99" s="7"/>
      <c r="AD99" s="7"/>
      <c r="AE99" s="7">
        <f t="shared" si="19"/>
        <v>1340000</v>
      </c>
      <c r="AF99" s="7"/>
      <c r="AG99" s="10">
        <f t="shared" si="11"/>
        <v>1340000</v>
      </c>
      <c r="AH99" s="10">
        <f t="shared" si="12"/>
        <v>0</v>
      </c>
      <c r="AI99" s="7"/>
      <c r="AJ99" s="7">
        <v>0.05226</v>
      </c>
      <c r="AK99" s="7">
        <v>2.0</v>
      </c>
      <c r="AL99" s="11">
        <v>45574.687673611115</v>
      </c>
    </row>
    <row r="100" ht="12.0" customHeight="1">
      <c r="A100" s="6" t="s">
        <v>1019</v>
      </c>
      <c r="B100" s="7" t="s">
        <v>1020</v>
      </c>
      <c r="C100" s="7" t="s">
        <v>1021</v>
      </c>
      <c r="D100" s="7" t="s">
        <v>1022</v>
      </c>
      <c r="E100" s="7" t="s">
        <v>1023</v>
      </c>
      <c r="F100" s="7" t="s">
        <v>1024</v>
      </c>
      <c r="G100" s="7" t="s">
        <v>38</v>
      </c>
      <c r="H100" s="7" t="s">
        <v>39</v>
      </c>
      <c r="I100" s="7" t="s">
        <v>1025</v>
      </c>
      <c r="J100" s="7">
        <v>132.6846043912519</v>
      </c>
      <c r="K100" s="7">
        <v>-22.109039477573244</v>
      </c>
      <c r="L100" s="7" t="s">
        <v>41</v>
      </c>
      <c r="M100" s="7" t="s">
        <v>1026</v>
      </c>
      <c r="N100" s="7" t="s">
        <v>1027</v>
      </c>
      <c r="O100" s="7" t="s">
        <v>1028</v>
      </c>
      <c r="P100" s="7"/>
      <c r="Q100" s="7"/>
      <c r="R100" s="7" t="s">
        <v>1029</v>
      </c>
      <c r="S100" s="7" t="s">
        <v>1030</v>
      </c>
      <c r="T100" s="8">
        <v>37500.0</v>
      </c>
      <c r="U100" s="7" t="s">
        <v>1031</v>
      </c>
      <c r="V100" s="7" t="s">
        <v>1032</v>
      </c>
      <c r="W100" s="7"/>
      <c r="X100" s="9">
        <v>1.0</v>
      </c>
      <c r="Y100" s="7" t="s">
        <v>1033</v>
      </c>
      <c r="Z100" s="7"/>
      <c r="AA100" s="7">
        <f t="shared" ref="AA100:AA102" si="21">AB100+AC100+AF100</f>
        <v>67000</v>
      </c>
      <c r="AB100" s="7">
        <v>67000.0</v>
      </c>
      <c r="AC100" s="7"/>
      <c r="AD100" s="7"/>
      <c r="AE100" s="7">
        <f t="shared" si="19"/>
        <v>67000</v>
      </c>
      <c r="AF100" s="7"/>
      <c r="AG100" s="10">
        <f t="shared" si="11"/>
        <v>67000</v>
      </c>
      <c r="AH100" s="10">
        <f t="shared" si="12"/>
        <v>0</v>
      </c>
      <c r="AI100" s="7"/>
      <c r="AJ100" s="7">
        <v>0.02278</v>
      </c>
      <c r="AK100" s="7">
        <v>1.0</v>
      </c>
      <c r="AL100" s="11">
        <v>45510.72356481482</v>
      </c>
    </row>
    <row r="101" ht="12.0" customHeight="1">
      <c r="A101" s="6" t="s">
        <v>1034</v>
      </c>
      <c r="B101" s="7" t="s">
        <v>1035</v>
      </c>
      <c r="C101" s="7" t="s">
        <v>1036</v>
      </c>
      <c r="D101" s="7" t="s">
        <v>1037</v>
      </c>
      <c r="E101" s="7" t="s">
        <v>1038</v>
      </c>
      <c r="F101" s="7"/>
      <c r="G101" s="7" t="s">
        <v>540</v>
      </c>
      <c r="H101" s="7" t="s">
        <v>39</v>
      </c>
      <c r="I101" s="7" t="s">
        <v>40</v>
      </c>
      <c r="J101" s="7">
        <v>121.70853670952759</v>
      </c>
      <c r="K101" s="7">
        <v>-30.55692271736836</v>
      </c>
      <c r="L101" s="7" t="s">
        <v>41</v>
      </c>
      <c r="M101" s="7" t="s">
        <v>1039</v>
      </c>
      <c r="N101" s="7" t="s">
        <v>1040</v>
      </c>
      <c r="O101" s="7" t="s">
        <v>1041</v>
      </c>
      <c r="P101" s="7"/>
      <c r="Q101" s="7"/>
      <c r="R101" s="7" t="s">
        <v>1042</v>
      </c>
      <c r="S101" s="7" t="s">
        <v>58</v>
      </c>
      <c r="T101" s="8">
        <v>7624.0</v>
      </c>
      <c r="U101" s="7" t="s">
        <v>1043</v>
      </c>
      <c r="V101" s="7" t="s">
        <v>1044</v>
      </c>
      <c r="W101" s="7"/>
      <c r="X101" s="9">
        <v>0.7</v>
      </c>
      <c r="Y101" s="7" t="s">
        <v>1045</v>
      </c>
      <c r="Z101" s="7"/>
      <c r="AA101" s="7">
        <f t="shared" si="21"/>
        <v>16750</v>
      </c>
      <c r="AB101" s="7">
        <v>16750.0</v>
      </c>
      <c r="AC101" s="7"/>
      <c r="AD101" s="7"/>
      <c r="AE101" s="7">
        <f t="shared" si="19"/>
        <v>16750</v>
      </c>
      <c r="AF101" s="7"/>
      <c r="AG101" s="10">
        <f t="shared" si="11"/>
        <v>16750</v>
      </c>
      <c r="AH101" s="10">
        <f t="shared" si="12"/>
        <v>0</v>
      </c>
      <c r="AI101" s="7"/>
      <c r="AJ101" s="7">
        <v>0.31155000000000005</v>
      </c>
      <c r="AK101" s="7">
        <v>2.0</v>
      </c>
      <c r="AL101" s="11">
        <v>45680.78099537037</v>
      </c>
    </row>
    <row r="102" ht="12.0" customHeight="1">
      <c r="A102" s="6" t="s">
        <v>1046</v>
      </c>
      <c r="B102" s="7" t="s">
        <v>1047</v>
      </c>
      <c r="C102" s="7" t="s">
        <v>1048</v>
      </c>
      <c r="D102" s="7" t="s">
        <v>1049</v>
      </c>
      <c r="E102" s="7" t="s">
        <v>1038</v>
      </c>
      <c r="F102" s="7" t="s">
        <v>1050</v>
      </c>
      <c r="G102" s="7" t="s">
        <v>540</v>
      </c>
      <c r="H102" s="7" t="s">
        <v>39</v>
      </c>
      <c r="I102" s="7" t="s">
        <v>40</v>
      </c>
      <c r="J102" s="7">
        <v>121.69933435706743</v>
      </c>
      <c r="K102" s="7">
        <v>-30.226694596481277</v>
      </c>
      <c r="L102" s="7" t="s">
        <v>41</v>
      </c>
      <c r="M102" s="7" t="s">
        <v>1051</v>
      </c>
      <c r="N102" s="7" t="s">
        <v>430</v>
      </c>
      <c r="O102" s="7"/>
      <c r="P102" s="7"/>
      <c r="Q102" s="7"/>
      <c r="R102" s="7" t="s">
        <v>1052</v>
      </c>
      <c r="S102" s="7" t="s">
        <v>58</v>
      </c>
      <c r="T102" s="8">
        <v>0.0</v>
      </c>
      <c r="U102" s="7" t="s">
        <v>1053</v>
      </c>
      <c r="V102" s="7" t="s">
        <v>409</v>
      </c>
      <c r="W102" s="7"/>
      <c r="X102" s="9">
        <v>1.0</v>
      </c>
      <c r="Y102" s="7" t="s">
        <v>1054</v>
      </c>
      <c r="Z102" s="7"/>
      <c r="AA102" s="7">
        <f t="shared" si="21"/>
        <v>1367500</v>
      </c>
      <c r="AB102" s="7">
        <v>167500.0</v>
      </c>
      <c r="AC102" s="7"/>
      <c r="AD102" s="7"/>
      <c r="AE102" s="7">
        <f t="shared" si="19"/>
        <v>1367500</v>
      </c>
      <c r="AF102" s="7">
        <v>1200000.0</v>
      </c>
      <c r="AG102" s="10">
        <f t="shared" si="11"/>
        <v>971500</v>
      </c>
      <c r="AH102" s="10">
        <f t="shared" si="12"/>
        <v>804000</v>
      </c>
      <c r="AI102" s="7">
        <v>6000000.0</v>
      </c>
      <c r="AJ102" s="7">
        <v>0.134</v>
      </c>
      <c r="AK102" s="7"/>
      <c r="AL102" s="11">
        <v>45616.637349537035</v>
      </c>
    </row>
    <row r="103" ht="12.0" customHeight="1">
      <c r="A103" s="6" t="s">
        <v>475</v>
      </c>
      <c r="B103" s="7" t="s">
        <v>1055</v>
      </c>
      <c r="C103" s="7" t="s">
        <v>477</v>
      </c>
      <c r="D103" s="7" t="s">
        <v>1056</v>
      </c>
      <c r="E103" s="7" t="s">
        <v>1057</v>
      </c>
      <c r="F103" s="7"/>
      <c r="G103" s="7" t="s">
        <v>38</v>
      </c>
      <c r="H103" s="7" t="s">
        <v>39</v>
      </c>
      <c r="I103" s="7" t="s">
        <v>40</v>
      </c>
      <c r="J103" s="7">
        <v>122.69695117549838</v>
      </c>
      <c r="K103" s="7">
        <v>-32.7888210621646</v>
      </c>
      <c r="L103" s="7" t="s">
        <v>41</v>
      </c>
      <c r="M103" s="7" t="s">
        <v>1058</v>
      </c>
      <c r="N103" s="7" t="s">
        <v>481</v>
      </c>
      <c r="O103" s="7" t="s">
        <v>481</v>
      </c>
      <c r="P103" s="7"/>
      <c r="Q103" s="7"/>
      <c r="R103" s="7" t="s">
        <v>1059</v>
      </c>
      <c r="S103" s="7" t="s">
        <v>58</v>
      </c>
      <c r="T103" s="8">
        <v>0.0</v>
      </c>
      <c r="U103" s="7" t="s">
        <v>1060</v>
      </c>
      <c r="V103" s="7" t="s">
        <v>484</v>
      </c>
      <c r="W103" s="7"/>
      <c r="X103" s="7"/>
      <c r="Y103" s="7" t="s">
        <v>1061</v>
      </c>
      <c r="Z103" s="7"/>
      <c r="AA103" s="7"/>
      <c r="AB103" s="7"/>
      <c r="AC103" s="7"/>
      <c r="AD103" s="7"/>
      <c r="AE103" s="7">
        <f t="shared" si="19"/>
        <v>0</v>
      </c>
      <c r="AF103" s="7"/>
      <c r="AG103" s="10">
        <f t="shared" si="11"/>
        <v>0</v>
      </c>
      <c r="AH103" s="10">
        <f t="shared" si="12"/>
        <v>0</v>
      </c>
      <c r="AI103" s="7"/>
      <c r="AJ103" s="7">
        <v>0.0</v>
      </c>
      <c r="AK103" s="7"/>
      <c r="AL103" s="11">
        <v>45165.7341087963</v>
      </c>
    </row>
    <row r="104" ht="12.0" customHeight="1">
      <c r="A104" s="6" t="s">
        <v>1062</v>
      </c>
      <c r="B104" s="7" t="s">
        <v>1063</v>
      </c>
      <c r="C104" s="7" t="s">
        <v>1064</v>
      </c>
      <c r="D104" s="7" t="s">
        <v>1065</v>
      </c>
      <c r="E104" s="7" t="s">
        <v>1066</v>
      </c>
      <c r="F104" s="7" t="s">
        <v>1067</v>
      </c>
      <c r="G104" s="7" t="s">
        <v>38</v>
      </c>
      <c r="H104" s="7" t="s">
        <v>39</v>
      </c>
      <c r="I104" s="7" t="s">
        <v>40</v>
      </c>
      <c r="J104" s="7">
        <v>122.89308365753932</v>
      </c>
      <c r="K104" s="7">
        <v>-28.01108738215182</v>
      </c>
      <c r="L104" s="7" t="s">
        <v>41</v>
      </c>
      <c r="M104" s="7" t="s">
        <v>1068</v>
      </c>
      <c r="N104" s="7" t="s">
        <v>1069</v>
      </c>
      <c r="O104" s="7" t="s">
        <v>1069</v>
      </c>
      <c r="P104" s="7" t="s">
        <v>1070</v>
      </c>
      <c r="Q104" s="7" t="s">
        <v>1070</v>
      </c>
      <c r="R104" s="7" t="s">
        <v>1071</v>
      </c>
      <c r="S104" s="7" t="s">
        <v>58</v>
      </c>
      <c r="T104" s="8">
        <v>58000.0</v>
      </c>
      <c r="U104" s="7" t="s">
        <v>1072</v>
      </c>
      <c r="V104" s="7" t="s">
        <v>1073</v>
      </c>
      <c r="W104" s="7"/>
      <c r="X104" s="9">
        <v>0.8</v>
      </c>
      <c r="Y104" s="7" t="s">
        <v>1074</v>
      </c>
      <c r="Z104" s="7"/>
      <c r="AA104" s="10">
        <f>AB104+AH104</f>
        <v>956090</v>
      </c>
      <c r="AB104" s="7">
        <v>286090.0</v>
      </c>
      <c r="AC104" s="7"/>
      <c r="AD104" s="7"/>
      <c r="AE104" s="7">
        <f t="shared" si="19"/>
        <v>286090</v>
      </c>
      <c r="AF104" s="7"/>
      <c r="AG104" s="10">
        <f t="shared" si="11"/>
        <v>956090</v>
      </c>
      <c r="AH104" s="10">
        <f t="shared" si="12"/>
        <v>670000</v>
      </c>
      <c r="AI104" s="7">
        <v>2.5E7</v>
      </c>
      <c r="AJ104" s="7">
        <v>0.0268</v>
      </c>
      <c r="AK104" s="7">
        <v>0.5</v>
      </c>
      <c r="AL104" s="11">
        <v>45631.64584490741</v>
      </c>
    </row>
    <row r="105" ht="12.0" customHeight="1">
      <c r="A105" s="6" t="s">
        <v>1075</v>
      </c>
      <c r="B105" s="7" t="s">
        <v>1076</v>
      </c>
      <c r="C105" s="7" t="s">
        <v>1077</v>
      </c>
      <c r="D105" s="7" t="s">
        <v>1078</v>
      </c>
      <c r="E105" s="7" t="s">
        <v>1079</v>
      </c>
      <c r="F105" s="7" t="s">
        <v>1080</v>
      </c>
      <c r="G105" s="7" t="s">
        <v>38</v>
      </c>
      <c r="H105" s="7" t="s">
        <v>39</v>
      </c>
      <c r="I105" s="7" t="s">
        <v>40</v>
      </c>
      <c r="J105" s="7">
        <v>121.52918303001078</v>
      </c>
      <c r="K105" s="7">
        <v>-31.480699843287965</v>
      </c>
      <c r="L105" s="7" t="s">
        <v>41</v>
      </c>
      <c r="M105" s="7" t="s">
        <v>1081</v>
      </c>
      <c r="N105" s="7" t="s">
        <v>123</v>
      </c>
      <c r="O105" s="7" t="s">
        <v>1082</v>
      </c>
      <c r="P105" s="7"/>
      <c r="Q105" s="7"/>
      <c r="R105" s="7" t="s">
        <v>1083</v>
      </c>
      <c r="S105" s="7" t="s">
        <v>58</v>
      </c>
      <c r="T105" s="8">
        <v>0.0</v>
      </c>
      <c r="U105" s="12" t="s">
        <v>1084</v>
      </c>
      <c r="V105" s="7" t="s">
        <v>1085</v>
      </c>
      <c r="W105" s="7"/>
      <c r="X105" s="7"/>
      <c r="Y105" s="7" t="s">
        <v>1086</v>
      </c>
      <c r="Z105" s="7"/>
      <c r="AA105" s="7">
        <f t="shared" ref="AA105:AA106" si="22">AB105+AC105+AF105</f>
        <v>804000</v>
      </c>
      <c r="AB105" s="7">
        <v>804000.0</v>
      </c>
      <c r="AC105" s="7"/>
      <c r="AD105" s="7"/>
      <c r="AE105" s="7">
        <f t="shared" si="19"/>
        <v>804000</v>
      </c>
      <c r="AF105" s="7"/>
      <c r="AG105" s="10">
        <f t="shared" si="11"/>
        <v>804000</v>
      </c>
      <c r="AH105" s="10">
        <f t="shared" si="12"/>
        <v>0</v>
      </c>
      <c r="AI105" s="7"/>
      <c r="AJ105" s="7">
        <v>0.11725</v>
      </c>
      <c r="AK105" s="7"/>
      <c r="AL105" s="11">
        <v>45530.670335648145</v>
      </c>
    </row>
    <row r="106" ht="12.0" customHeight="1">
      <c r="A106" s="6" t="s">
        <v>1087</v>
      </c>
      <c r="B106" s="7" t="s">
        <v>1088</v>
      </c>
      <c r="C106" s="7" t="s">
        <v>1089</v>
      </c>
      <c r="D106" s="7" t="s">
        <v>1090</v>
      </c>
      <c r="E106" s="7" t="s">
        <v>1091</v>
      </c>
      <c r="F106" s="7"/>
      <c r="G106" s="7" t="s">
        <v>38</v>
      </c>
      <c r="H106" s="7" t="s">
        <v>39</v>
      </c>
      <c r="I106" s="7" t="s">
        <v>598</v>
      </c>
      <c r="J106" s="7">
        <v>135.68353346015</v>
      </c>
      <c r="K106" s="7">
        <v>-32.8792722028551</v>
      </c>
      <c r="L106" s="7" t="s">
        <v>41</v>
      </c>
      <c r="M106" s="7" t="s">
        <v>41</v>
      </c>
      <c r="N106" s="7" t="s">
        <v>1092</v>
      </c>
      <c r="O106" s="7"/>
      <c r="P106" s="7"/>
      <c r="Q106" s="7"/>
      <c r="R106" s="7" t="s">
        <v>1093</v>
      </c>
      <c r="S106" s="7" t="s">
        <v>1094</v>
      </c>
      <c r="T106" s="8">
        <v>0.0</v>
      </c>
      <c r="U106" s="7" t="s">
        <v>1095</v>
      </c>
      <c r="V106" s="7"/>
      <c r="W106" s="7"/>
      <c r="X106" s="9">
        <v>1.0</v>
      </c>
      <c r="Y106" s="7" t="s">
        <v>1096</v>
      </c>
      <c r="Z106" s="7"/>
      <c r="AA106" s="7">
        <f t="shared" si="22"/>
        <v>636500</v>
      </c>
      <c r="AB106" s="7">
        <v>0.0</v>
      </c>
      <c r="AC106" s="7"/>
      <c r="AD106" s="7"/>
      <c r="AE106" s="7">
        <f t="shared" si="19"/>
        <v>636500</v>
      </c>
      <c r="AF106" s="7">
        <v>636500.0</v>
      </c>
      <c r="AG106" s="10">
        <f t="shared" si="11"/>
        <v>67254131</v>
      </c>
      <c r="AH106" s="10">
        <f t="shared" si="12"/>
        <v>67254131</v>
      </c>
      <c r="AI106" s="7">
        <v>5.201E7</v>
      </c>
      <c r="AJ106" s="7">
        <v>1.2931000000000001</v>
      </c>
      <c r="AK106" s="7"/>
      <c r="AL106" s="11">
        <v>45711.664988425924</v>
      </c>
    </row>
    <row r="107" ht="12.0" customHeight="1">
      <c r="A107" s="6" t="s">
        <v>442</v>
      </c>
      <c r="B107" s="7" t="s">
        <v>443</v>
      </c>
      <c r="C107" s="7" t="s">
        <v>1097</v>
      </c>
      <c r="D107" s="7" t="s">
        <v>1098</v>
      </c>
      <c r="E107" s="7" t="s">
        <v>1099</v>
      </c>
      <c r="F107" s="7" t="s">
        <v>1100</v>
      </c>
      <c r="G107" s="7" t="s">
        <v>540</v>
      </c>
      <c r="H107" s="7" t="s">
        <v>39</v>
      </c>
      <c r="I107" s="7" t="s">
        <v>132</v>
      </c>
      <c r="J107" s="7">
        <v>150.8380842110854</v>
      </c>
      <c r="K107" s="7">
        <v>-25.466175096049074</v>
      </c>
      <c r="L107" s="7" t="s">
        <v>41</v>
      </c>
      <c r="M107" s="7" t="s">
        <v>1101</v>
      </c>
      <c r="N107" s="7" t="s">
        <v>448</v>
      </c>
      <c r="O107" s="7" t="s">
        <v>448</v>
      </c>
      <c r="P107" s="7"/>
      <c r="Q107" s="7"/>
      <c r="R107" s="7" t="s">
        <v>1102</v>
      </c>
      <c r="S107" s="7" t="s">
        <v>58</v>
      </c>
      <c r="T107" s="8">
        <v>28200.0</v>
      </c>
      <c r="U107" s="7" t="s">
        <v>1103</v>
      </c>
      <c r="V107" s="7" t="s">
        <v>451</v>
      </c>
      <c r="W107" s="7"/>
      <c r="X107" s="7"/>
      <c r="Y107" s="7" t="s">
        <v>1104</v>
      </c>
      <c r="Z107" s="7"/>
      <c r="AA107" s="7">
        <f>AB107+AC107</f>
        <v>967500</v>
      </c>
      <c r="AB107" s="7">
        <f>250000*0.67</f>
        <v>167500</v>
      </c>
      <c r="AC107" s="7">
        <v>800000.0</v>
      </c>
      <c r="AD107" s="7"/>
      <c r="AE107" s="7">
        <f t="shared" si="19"/>
        <v>167500</v>
      </c>
      <c r="AF107" s="7"/>
      <c r="AG107" s="10">
        <f t="shared" si="11"/>
        <v>167500</v>
      </c>
      <c r="AH107" s="10">
        <f t="shared" si="12"/>
        <v>0</v>
      </c>
      <c r="AI107" s="7"/>
      <c r="AJ107" s="7">
        <v>0.00268</v>
      </c>
      <c r="AK107" s="7"/>
      <c r="AL107" s="11">
        <v>45728.000173611115</v>
      </c>
    </row>
    <row r="108" ht="12.0" customHeight="1">
      <c r="A108" s="6" t="s">
        <v>75</v>
      </c>
      <c r="B108" s="7" t="s">
        <v>76</v>
      </c>
      <c r="C108" s="7" t="s">
        <v>1105</v>
      </c>
      <c r="D108" s="7" t="s">
        <v>1106</v>
      </c>
      <c r="E108" s="7" t="s">
        <v>1099</v>
      </c>
      <c r="F108" s="7" t="s">
        <v>1107</v>
      </c>
      <c r="G108" s="7" t="s">
        <v>540</v>
      </c>
      <c r="H108" s="7" t="s">
        <v>39</v>
      </c>
      <c r="I108" s="7" t="s">
        <v>79</v>
      </c>
      <c r="J108" s="7">
        <v>144.67363152535546</v>
      </c>
      <c r="K108" s="7">
        <v>-36.764363979188886</v>
      </c>
      <c r="L108" s="7" t="s">
        <v>41</v>
      </c>
      <c r="M108" s="7" t="s">
        <v>1108</v>
      </c>
      <c r="N108" s="7" t="s">
        <v>81</v>
      </c>
      <c r="O108" s="7" t="s">
        <v>81</v>
      </c>
      <c r="P108" s="7"/>
      <c r="Q108" s="7"/>
      <c r="R108" s="7" t="s">
        <v>1109</v>
      </c>
      <c r="S108" s="7" t="s">
        <v>58</v>
      </c>
      <c r="T108" s="8">
        <v>100000.0</v>
      </c>
      <c r="U108" s="7" t="s">
        <v>1110</v>
      </c>
      <c r="V108" s="7" t="s">
        <v>84</v>
      </c>
      <c r="W108" s="7"/>
      <c r="X108" s="9">
        <v>1.0</v>
      </c>
      <c r="Y108" s="7" t="s">
        <v>1111</v>
      </c>
      <c r="Z108" s="7"/>
      <c r="AA108" s="7">
        <f>AB108+AF108</f>
        <v>1940000</v>
      </c>
      <c r="AB108" s="7">
        <f>2400000*0.67</f>
        <v>1608000</v>
      </c>
      <c r="AC108" s="7"/>
      <c r="AD108" s="7">
        <v>351900.0</v>
      </c>
      <c r="AE108" s="7">
        <f t="shared" si="19"/>
        <v>1940000</v>
      </c>
      <c r="AF108" s="7">
        <v>332000.0</v>
      </c>
      <c r="AG108" s="10">
        <f t="shared" si="11"/>
        <v>1986420</v>
      </c>
      <c r="AH108" s="10">
        <f t="shared" si="12"/>
        <v>378420</v>
      </c>
      <c r="AI108" s="7">
        <v>5406000.0</v>
      </c>
      <c r="AJ108" s="7">
        <v>0.07</v>
      </c>
      <c r="AK108" s="7">
        <v>1.5</v>
      </c>
      <c r="AL108" s="11">
        <v>45637.65325231482</v>
      </c>
    </row>
    <row r="109" ht="12.0" customHeight="1">
      <c r="A109" s="6" t="s">
        <v>1112</v>
      </c>
      <c r="B109" s="7" t="s">
        <v>1113</v>
      </c>
      <c r="C109" s="7" t="s">
        <v>1114</v>
      </c>
      <c r="D109" s="7" t="s">
        <v>1115</v>
      </c>
      <c r="E109" s="7" t="s">
        <v>1099</v>
      </c>
      <c r="F109" s="7" t="s">
        <v>1116</v>
      </c>
      <c r="G109" s="7" t="s">
        <v>540</v>
      </c>
      <c r="H109" s="7" t="s">
        <v>39</v>
      </c>
      <c r="I109" s="7" t="s">
        <v>132</v>
      </c>
      <c r="J109" s="7">
        <v>144.67609198143379</v>
      </c>
      <c r="K109" s="7">
        <v>-16.72014857560992</v>
      </c>
      <c r="L109" s="7" t="s">
        <v>41</v>
      </c>
      <c r="M109" s="7" t="s">
        <v>1117</v>
      </c>
      <c r="N109" s="7" t="s">
        <v>1118</v>
      </c>
      <c r="O109" s="7" t="s">
        <v>1118</v>
      </c>
      <c r="P109" s="7"/>
      <c r="Q109" s="7"/>
      <c r="R109" s="7" t="s">
        <v>1119</v>
      </c>
      <c r="S109" s="7" t="s">
        <v>58</v>
      </c>
      <c r="T109" s="8">
        <v>29965.0</v>
      </c>
      <c r="U109" s="7" t="s">
        <v>1120</v>
      </c>
      <c r="V109" s="7" t="s">
        <v>1121</v>
      </c>
      <c r="W109" s="7"/>
      <c r="X109" s="9">
        <v>1.0</v>
      </c>
      <c r="Y109" s="7" t="s">
        <v>1122</v>
      </c>
      <c r="Z109" s="7"/>
      <c r="AA109" s="10">
        <f t="shared" ref="AA109:AA110" si="23">AB109+AC109+AF109</f>
        <v>1005000</v>
      </c>
      <c r="AB109" s="7"/>
      <c r="AC109" s="7"/>
      <c r="AD109" s="7"/>
      <c r="AE109" s="10">
        <f t="shared" si="19"/>
        <v>1005000</v>
      </c>
      <c r="AF109" s="10">
        <f>AH109</f>
        <v>1005000</v>
      </c>
      <c r="AG109" s="10">
        <f t="shared" si="11"/>
        <v>1005000</v>
      </c>
      <c r="AH109" s="10">
        <f t="shared" si="12"/>
        <v>1005000</v>
      </c>
      <c r="AI109" s="7">
        <v>3.0E8</v>
      </c>
      <c r="AJ109" s="7">
        <v>0.00335</v>
      </c>
      <c r="AK109" s="7"/>
      <c r="AL109" s="11">
        <v>45693.67899305555</v>
      </c>
    </row>
    <row r="110" ht="12.0" customHeight="1">
      <c r="A110" s="6" t="s">
        <v>1123</v>
      </c>
      <c r="B110" s="7" t="s">
        <v>1124</v>
      </c>
      <c r="C110" s="7" t="s">
        <v>1125</v>
      </c>
      <c r="D110" s="7" t="s">
        <v>1126</v>
      </c>
      <c r="E110" s="7" t="s">
        <v>1127</v>
      </c>
      <c r="F110" s="7" t="s">
        <v>1128</v>
      </c>
      <c r="G110" s="7" t="s">
        <v>38</v>
      </c>
      <c r="H110" s="7" t="s">
        <v>39</v>
      </c>
      <c r="I110" s="7" t="s">
        <v>40</v>
      </c>
      <c r="J110" s="7">
        <v>122.58319778000109</v>
      </c>
      <c r="K110" s="7">
        <v>-30.840368306626242</v>
      </c>
      <c r="L110" s="7" t="s">
        <v>41</v>
      </c>
      <c r="M110" s="7" t="s">
        <v>1129</v>
      </c>
      <c r="N110" s="7" t="s">
        <v>1130</v>
      </c>
      <c r="O110" s="7" t="s">
        <v>1130</v>
      </c>
      <c r="P110" s="7"/>
      <c r="Q110" s="7"/>
      <c r="R110" s="7" t="s">
        <v>1131</v>
      </c>
      <c r="S110" s="7" t="s">
        <v>58</v>
      </c>
      <c r="T110" s="8">
        <v>24800.0</v>
      </c>
      <c r="U110" s="7" t="s">
        <v>1132</v>
      </c>
      <c r="V110" s="7" t="s">
        <v>1133</v>
      </c>
      <c r="W110" s="7"/>
      <c r="X110" s="9">
        <v>0.51</v>
      </c>
      <c r="Y110" s="7" t="s">
        <v>1134</v>
      </c>
      <c r="Z110" s="7"/>
      <c r="AA110" s="7">
        <f t="shared" si="23"/>
        <v>4020000</v>
      </c>
      <c r="AB110" s="7"/>
      <c r="AC110" s="7">
        <v>4020000.0</v>
      </c>
      <c r="AD110" s="7"/>
      <c r="AE110" s="7">
        <f t="shared" si="19"/>
        <v>0</v>
      </c>
      <c r="AF110" s="7"/>
      <c r="AG110" s="10">
        <f t="shared" si="11"/>
        <v>0</v>
      </c>
      <c r="AH110" s="10">
        <f t="shared" si="12"/>
        <v>0</v>
      </c>
      <c r="AI110" s="7"/>
      <c r="AJ110" s="7">
        <v>0.00402</v>
      </c>
      <c r="AK110" s="7">
        <v>1.0</v>
      </c>
      <c r="AL110" s="11">
        <v>45564.688692129625</v>
      </c>
    </row>
    <row r="111" ht="12.0" customHeight="1">
      <c r="A111" s="6" t="s">
        <v>1135</v>
      </c>
      <c r="B111" s="7" t="s">
        <v>443</v>
      </c>
      <c r="C111" s="7" t="s">
        <v>1136</v>
      </c>
      <c r="D111" s="7" t="s">
        <v>1137</v>
      </c>
      <c r="E111" s="7" t="s">
        <v>1138</v>
      </c>
      <c r="F111" s="7" t="s">
        <v>1139</v>
      </c>
      <c r="G111" s="7" t="s">
        <v>540</v>
      </c>
      <c r="H111" s="7" t="s">
        <v>39</v>
      </c>
      <c r="I111" s="7" t="s">
        <v>40</v>
      </c>
      <c r="J111" s="7">
        <v>116.04999999984616</v>
      </c>
      <c r="K111" s="7">
        <v>-30.876282051047337</v>
      </c>
      <c r="L111" s="7" t="s">
        <v>41</v>
      </c>
      <c r="M111" s="7" t="s">
        <v>1140</v>
      </c>
      <c r="N111" s="7" t="s">
        <v>1141</v>
      </c>
      <c r="O111" s="7" t="s">
        <v>1141</v>
      </c>
      <c r="P111" s="7"/>
      <c r="Q111" s="7"/>
      <c r="R111" s="7" t="s">
        <v>1142</v>
      </c>
      <c r="S111" s="7" t="s">
        <v>58</v>
      </c>
      <c r="T111" s="8">
        <v>0.0</v>
      </c>
      <c r="U111" s="7" t="s">
        <v>1143</v>
      </c>
      <c r="V111" s="7" t="s">
        <v>1144</v>
      </c>
      <c r="W111" s="7"/>
      <c r="X111" s="9">
        <v>1.0</v>
      </c>
      <c r="Y111" s="7" t="s">
        <v>1145</v>
      </c>
      <c r="Z111" s="7"/>
      <c r="AA111" s="7"/>
      <c r="AB111" s="7"/>
      <c r="AC111" s="7"/>
      <c r="AD111" s="7"/>
      <c r="AE111" s="7">
        <f t="shared" si="19"/>
        <v>0</v>
      </c>
      <c r="AF111" s="7"/>
      <c r="AG111" s="10">
        <f t="shared" si="11"/>
        <v>0</v>
      </c>
      <c r="AH111" s="10">
        <f t="shared" si="12"/>
        <v>0</v>
      </c>
      <c r="AI111" s="7"/>
      <c r="AJ111" s="7">
        <v>0.018090000000000002</v>
      </c>
      <c r="AK111" s="7"/>
      <c r="AL111" s="11">
        <v>45741.6781712963</v>
      </c>
    </row>
    <row r="112" ht="12.0" customHeight="1">
      <c r="A112" s="6" t="s">
        <v>1146</v>
      </c>
      <c r="B112" s="7" t="s">
        <v>1147</v>
      </c>
      <c r="C112" s="7" t="s">
        <v>1148</v>
      </c>
      <c r="D112" s="7" t="s">
        <v>1149</v>
      </c>
      <c r="E112" s="7" t="s">
        <v>1150</v>
      </c>
      <c r="F112" s="7"/>
      <c r="G112" s="7" t="s">
        <v>38</v>
      </c>
      <c r="H112" s="7" t="s">
        <v>39</v>
      </c>
      <c r="I112" s="7" t="s">
        <v>68</v>
      </c>
      <c r="J112" s="7">
        <v>151.1223000449297</v>
      </c>
      <c r="K112" s="7">
        <v>-29.200061111553342</v>
      </c>
      <c r="L112" s="7" t="s">
        <v>41</v>
      </c>
      <c r="M112" s="7" t="s">
        <v>1151</v>
      </c>
      <c r="N112" s="7" t="s">
        <v>1152</v>
      </c>
      <c r="O112" s="7" t="s">
        <v>1152</v>
      </c>
      <c r="P112" s="7"/>
      <c r="Q112" s="7"/>
      <c r="R112" s="7" t="s">
        <v>1153</v>
      </c>
      <c r="S112" s="7" t="s">
        <v>58</v>
      </c>
      <c r="T112" s="8">
        <v>0.0</v>
      </c>
      <c r="U112" s="7" t="s">
        <v>1154</v>
      </c>
      <c r="V112" s="7" t="s">
        <v>1155</v>
      </c>
      <c r="W112" s="7"/>
      <c r="X112" s="9">
        <v>1.0</v>
      </c>
      <c r="Y112" s="7" t="s">
        <v>1156</v>
      </c>
      <c r="Z112" s="7"/>
      <c r="AA112" s="7">
        <f>AE112</f>
        <v>938000</v>
      </c>
      <c r="AB112" s="7">
        <f>1400000*0.67</f>
        <v>938000</v>
      </c>
      <c r="AC112" s="7"/>
      <c r="AD112" s="7"/>
      <c r="AE112" s="7">
        <f t="shared" si="19"/>
        <v>938000</v>
      </c>
      <c r="AF112" s="7"/>
      <c r="AG112" s="10">
        <f t="shared" si="11"/>
        <v>938000</v>
      </c>
      <c r="AH112" s="10">
        <f t="shared" si="12"/>
        <v>0</v>
      </c>
      <c r="AI112" s="7"/>
      <c r="AJ112" s="7">
        <v>0.00268</v>
      </c>
      <c r="AK112" s="7"/>
      <c r="AL112" s="11">
        <v>45538.71837962963</v>
      </c>
    </row>
    <row r="113" ht="12.0" customHeight="1">
      <c r="A113" s="6" t="s">
        <v>1157</v>
      </c>
      <c r="B113" s="7" t="s">
        <v>1158</v>
      </c>
      <c r="C113" s="7" t="s">
        <v>1159</v>
      </c>
      <c r="D113" s="7" t="s">
        <v>1160</v>
      </c>
      <c r="E113" s="7" t="s">
        <v>1150</v>
      </c>
      <c r="F113" s="7"/>
      <c r="G113" s="7" t="s">
        <v>879</v>
      </c>
      <c r="H113" s="7" t="s">
        <v>39</v>
      </c>
      <c r="I113" s="7" t="s">
        <v>132</v>
      </c>
      <c r="J113" s="7">
        <v>148.2038580207746</v>
      </c>
      <c r="K113" s="7">
        <v>-22.18954834037533</v>
      </c>
      <c r="L113" s="7" t="s">
        <v>41</v>
      </c>
      <c r="M113" s="7" t="s">
        <v>41</v>
      </c>
      <c r="N113" s="7" t="s">
        <v>1161</v>
      </c>
      <c r="O113" s="7" t="s">
        <v>1161</v>
      </c>
      <c r="P113" s="7"/>
      <c r="Q113" s="7"/>
      <c r="R113" s="7" t="s">
        <v>1162</v>
      </c>
      <c r="S113" s="7" t="s">
        <v>58</v>
      </c>
      <c r="T113" s="8">
        <v>0.0</v>
      </c>
      <c r="U113" s="7" t="s">
        <v>1163</v>
      </c>
      <c r="V113" s="7" t="s">
        <v>1164</v>
      </c>
      <c r="W113" s="7"/>
      <c r="X113" s="9">
        <v>1.0</v>
      </c>
      <c r="Y113" s="7" t="s">
        <v>1165</v>
      </c>
      <c r="Z113" s="7"/>
      <c r="AA113" s="7">
        <f>AB113</f>
        <v>35320000</v>
      </c>
      <c r="AB113" s="7">
        <v>3.532E7</v>
      </c>
      <c r="AC113" s="7"/>
      <c r="AD113" s="7"/>
      <c r="AE113" s="7">
        <f t="shared" si="19"/>
        <v>35320000</v>
      </c>
      <c r="AF113" s="7"/>
      <c r="AG113" s="10">
        <f t="shared" si="11"/>
        <v>35320000</v>
      </c>
      <c r="AH113" s="10">
        <f t="shared" si="12"/>
        <v>0</v>
      </c>
      <c r="AI113" s="7"/>
      <c r="AJ113" s="7">
        <v>1.29645</v>
      </c>
      <c r="AK113" s="7"/>
      <c r="AL113" s="11">
        <v>45516.67732638889</v>
      </c>
    </row>
    <row r="114" ht="12.0" customHeight="1">
      <c r="A114" s="6" t="s">
        <v>1166</v>
      </c>
      <c r="B114" s="7" t="s">
        <v>1167</v>
      </c>
      <c r="C114" s="7" t="s">
        <v>1168</v>
      </c>
      <c r="D114" s="7" t="s">
        <v>1169</v>
      </c>
      <c r="E114" s="7" t="s">
        <v>1170</v>
      </c>
      <c r="F114" s="7" t="s">
        <v>1171</v>
      </c>
      <c r="G114" s="7" t="s">
        <v>38</v>
      </c>
      <c r="H114" s="7" t="s">
        <v>39</v>
      </c>
      <c r="I114" s="7" t="s">
        <v>68</v>
      </c>
      <c r="J114" s="7">
        <v>152.479251055975</v>
      </c>
      <c r="K114" s="7">
        <v>-29.4855798088093</v>
      </c>
      <c r="L114" s="7" t="s">
        <v>41</v>
      </c>
      <c r="M114" s="7" t="s">
        <v>41</v>
      </c>
      <c r="N114" s="7" t="s">
        <v>1172</v>
      </c>
      <c r="O114" s="7" t="s">
        <v>1172</v>
      </c>
      <c r="P114" s="7"/>
      <c r="Q114" s="7"/>
      <c r="R114" s="7" t="s">
        <v>1173</v>
      </c>
      <c r="S114" s="7" t="s">
        <v>58</v>
      </c>
      <c r="T114" s="8">
        <v>0.0</v>
      </c>
      <c r="U114" s="7" t="s">
        <v>1174</v>
      </c>
      <c r="V114" s="7" t="s">
        <v>1175</v>
      </c>
      <c r="W114" s="7"/>
      <c r="X114" s="9">
        <v>1.0</v>
      </c>
      <c r="Y114" s="7" t="s">
        <v>1176</v>
      </c>
      <c r="Z114" s="7"/>
      <c r="AA114" s="10">
        <f>AH114</f>
        <v>241200</v>
      </c>
      <c r="AB114" s="7"/>
      <c r="AC114" s="7"/>
      <c r="AD114" s="7"/>
      <c r="AE114" s="7">
        <f t="shared" si="19"/>
        <v>0</v>
      </c>
      <c r="AF114" s="7"/>
      <c r="AG114" s="10">
        <f t="shared" si="11"/>
        <v>241200</v>
      </c>
      <c r="AH114" s="10">
        <f t="shared" si="12"/>
        <v>241200</v>
      </c>
      <c r="AI114" s="7">
        <v>4.0E7</v>
      </c>
      <c r="AJ114" s="7">
        <v>0.00603</v>
      </c>
      <c r="AK114" s="7">
        <v>1.0</v>
      </c>
      <c r="AL114" s="11">
        <v>45627.6391087963</v>
      </c>
    </row>
    <row r="115" ht="12.0" customHeight="1">
      <c r="A115" s="6" t="s">
        <v>584</v>
      </c>
      <c r="B115" s="7" t="s">
        <v>585</v>
      </c>
      <c r="C115" s="7" t="s">
        <v>1177</v>
      </c>
      <c r="D115" s="7" t="s">
        <v>1178</v>
      </c>
      <c r="E115" s="7" t="s">
        <v>1170</v>
      </c>
      <c r="F115" s="7"/>
      <c r="G115" s="7" t="s">
        <v>38</v>
      </c>
      <c r="H115" s="7" t="s">
        <v>39</v>
      </c>
      <c r="I115" s="7" t="s">
        <v>40</v>
      </c>
      <c r="J115" s="7">
        <v>119.12303096166936</v>
      </c>
      <c r="K115" s="7">
        <v>-30.975579370203615</v>
      </c>
      <c r="L115" s="7" t="s">
        <v>41</v>
      </c>
      <c r="M115" s="7" t="s">
        <v>1179</v>
      </c>
      <c r="N115" s="7" t="s">
        <v>589</v>
      </c>
      <c r="O115" s="7" t="s">
        <v>589</v>
      </c>
      <c r="P115" s="7" t="s">
        <v>590</v>
      </c>
      <c r="Q115" s="7" t="s">
        <v>590</v>
      </c>
      <c r="R115" s="7" t="s">
        <v>1180</v>
      </c>
      <c r="S115" s="7" t="s">
        <v>58</v>
      </c>
      <c r="T115" s="8">
        <v>0.0</v>
      </c>
      <c r="U115" s="7" t="s">
        <v>1181</v>
      </c>
      <c r="V115" s="7" t="s">
        <v>593</v>
      </c>
      <c r="W115" s="7"/>
      <c r="X115" s="7"/>
      <c r="Y115" s="7"/>
      <c r="Z115" s="7"/>
      <c r="AA115" s="7">
        <f>AB115+AF115</f>
        <v>368500</v>
      </c>
      <c r="AB115" s="7">
        <v>201000.0</v>
      </c>
      <c r="AC115" s="7"/>
      <c r="AD115" s="7"/>
      <c r="AE115" s="7">
        <f t="shared" si="19"/>
        <v>368500</v>
      </c>
      <c r="AF115" s="7">
        <v>167500.0</v>
      </c>
      <c r="AG115" s="10">
        <f t="shared" si="11"/>
        <v>201000</v>
      </c>
      <c r="AH115" s="10">
        <f t="shared" si="12"/>
        <v>0</v>
      </c>
      <c r="AI115" s="7"/>
      <c r="AJ115" s="7">
        <v>0.33165</v>
      </c>
      <c r="AK115" s="7">
        <v>1.5</v>
      </c>
      <c r="AL115" s="11">
        <v>45566.40347222222</v>
      </c>
    </row>
    <row r="116" ht="12.0" customHeight="1">
      <c r="A116" s="6" t="s">
        <v>1182</v>
      </c>
      <c r="B116" s="7" t="s">
        <v>1183</v>
      </c>
      <c r="C116" s="7" t="s">
        <v>1184</v>
      </c>
      <c r="D116" s="7" t="s">
        <v>1185</v>
      </c>
      <c r="E116" s="7" t="s">
        <v>1170</v>
      </c>
      <c r="F116" s="7"/>
      <c r="G116" s="7" t="s">
        <v>38</v>
      </c>
      <c r="H116" s="7" t="s">
        <v>39</v>
      </c>
      <c r="I116" s="7" t="s">
        <v>132</v>
      </c>
      <c r="J116" s="7">
        <v>139.18234236133367</v>
      </c>
      <c r="K116" s="7">
        <v>-18.971669614542336</v>
      </c>
      <c r="L116" s="7" t="s">
        <v>41</v>
      </c>
      <c r="M116" s="7" t="s">
        <v>1186</v>
      </c>
      <c r="N116" s="7" t="s">
        <v>1187</v>
      </c>
      <c r="O116" s="7" t="s">
        <v>1187</v>
      </c>
      <c r="P116" s="7"/>
      <c r="Q116" s="7"/>
      <c r="R116" s="7" t="s">
        <v>1188</v>
      </c>
      <c r="S116" s="7" t="s">
        <v>58</v>
      </c>
      <c r="T116" s="8">
        <v>199300.0</v>
      </c>
      <c r="U116" s="7" t="s">
        <v>1189</v>
      </c>
      <c r="V116" s="7" t="s">
        <v>1190</v>
      </c>
      <c r="W116" s="7"/>
      <c r="X116" s="9">
        <v>1.0</v>
      </c>
      <c r="Y116" s="7" t="s">
        <v>1191</v>
      </c>
      <c r="Z116" s="7"/>
      <c r="AA116" s="10">
        <f t="shared" ref="AA116:AA117" si="24">AB116+AC116+AF116</f>
        <v>59183.33333</v>
      </c>
      <c r="AB116" s="7"/>
      <c r="AC116" s="7"/>
      <c r="AD116" s="7"/>
      <c r="AE116" s="10">
        <f t="shared" si="19"/>
        <v>59183.33333</v>
      </c>
      <c r="AF116" s="10">
        <f>AH116</f>
        <v>59183.33333</v>
      </c>
      <c r="AG116" s="10">
        <f t="shared" si="11"/>
        <v>59183.33333</v>
      </c>
      <c r="AH116" s="10">
        <f t="shared" si="12"/>
        <v>59183.33333</v>
      </c>
      <c r="AI116" s="7">
        <f>26500000/3</f>
        <v>8833333.333</v>
      </c>
      <c r="AJ116" s="7">
        <v>0.0067</v>
      </c>
      <c r="AK116" s="7"/>
      <c r="AL116" s="11">
        <v>45510.69410879629</v>
      </c>
    </row>
    <row r="117" ht="12.0" customHeight="1">
      <c r="A117" s="6" t="s">
        <v>1192</v>
      </c>
      <c r="B117" s="7" t="s">
        <v>1193</v>
      </c>
      <c r="C117" s="7" t="s">
        <v>1194</v>
      </c>
      <c r="D117" s="7" t="s">
        <v>1195</v>
      </c>
      <c r="E117" s="7" t="s">
        <v>1170</v>
      </c>
      <c r="F117" s="7" t="s">
        <v>1196</v>
      </c>
      <c r="G117" s="7" t="s">
        <v>38</v>
      </c>
      <c r="H117" s="7" t="s">
        <v>39</v>
      </c>
      <c r="I117" s="7" t="s">
        <v>68</v>
      </c>
      <c r="J117" s="7">
        <v>150.68750025000406</v>
      </c>
      <c r="K117" s="7">
        <v>-30.195833499175816</v>
      </c>
      <c r="L117" s="7" t="s">
        <v>41</v>
      </c>
      <c r="M117" s="7" t="s">
        <v>1197</v>
      </c>
      <c r="N117" s="7" t="s">
        <v>1198</v>
      </c>
      <c r="O117" s="7" t="s">
        <v>1198</v>
      </c>
      <c r="P117" s="7"/>
      <c r="Q117" s="7"/>
      <c r="R117" s="7" t="s">
        <v>1199</v>
      </c>
      <c r="S117" s="7" t="s">
        <v>58</v>
      </c>
      <c r="T117" s="8">
        <v>2375.0</v>
      </c>
      <c r="U117" s="7" t="s">
        <v>1200</v>
      </c>
      <c r="V117" s="7" t="s">
        <v>1201</v>
      </c>
      <c r="W117" s="7"/>
      <c r="X117" s="9">
        <v>1.0</v>
      </c>
      <c r="Y117" s="7" t="s">
        <v>1202</v>
      </c>
      <c r="Z117" s="7"/>
      <c r="AA117" s="7">
        <f t="shared" si="24"/>
        <v>736000</v>
      </c>
      <c r="AB117" s="7">
        <v>166000.0</v>
      </c>
      <c r="AC117" s="7">
        <v>450000.0</v>
      </c>
      <c r="AD117" s="7"/>
      <c r="AE117" s="7">
        <f t="shared" si="19"/>
        <v>286000</v>
      </c>
      <c r="AF117" s="7">
        <v>120000.0</v>
      </c>
      <c r="AG117" s="10">
        <f t="shared" si="11"/>
        <v>302680</v>
      </c>
      <c r="AH117" s="10">
        <f t="shared" si="12"/>
        <v>136680</v>
      </c>
      <c r="AI117" s="7">
        <v>6000000.0</v>
      </c>
      <c r="AJ117" s="7">
        <v>0.02278</v>
      </c>
      <c r="AK117" s="7"/>
      <c r="AL117" s="11">
        <v>45671.67549768518</v>
      </c>
    </row>
    <row r="118" ht="12.0" customHeight="1">
      <c r="A118" s="6" t="s">
        <v>1203</v>
      </c>
      <c r="B118" s="7" t="s">
        <v>1204</v>
      </c>
      <c r="C118" s="7" t="s">
        <v>1205</v>
      </c>
      <c r="D118" s="7" t="s">
        <v>1206</v>
      </c>
      <c r="E118" s="7" t="s">
        <v>1170</v>
      </c>
      <c r="F118" s="7" t="s">
        <v>1207</v>
      </c>
      <c r="G118" s="7" t="s">
        <v>38</v>
      </c>
      <c r="H118" s="7" t="s">
        <v>39</v>
      </c>
      <c r="I118" s="7" t="s">
        <v>132</v>
      </c>
      <c r="J118" s="7">
        <v>150.66724194196314</v>
      </c>
      <c r="K118" s="7">
        <v>-23.316577767990825</v>
      </c>
      <c r="L118" s="7" t="s">
        <v>41</v>
      </c>
      <c r="M118" s="7" t="s">
        <v>1208</v>
      </c>
      <c r="N118" s="7" t="s">
        <v>1209</v>
      </c>
      <c r="O118" s="7" t="s">
        <v>1209</v>
      </c>
      <c r="P118" s="7"/>
      <c r="Q118" s="7"/>
      <c r="R118" s="7" t="s">
        <v>1210</v>
      </c>
      <c r="S118" s="7" t="s">
        <v>58</v>
      </c>
      <c r="T118" s="8">
        <v>0.0</v>
      </c>
      <c r="U118" s="7" t="s">
        <v>1211</v>
      </c>
      <c r="V118" s="7" t="s">
        <v>1212</v>
      </c>
      <c r="W118" s="7"/>
      <c r="X118" s="9">
        <v>1.0</v>
      </c>
      <c r="Y118" s="7" t="s">
        <v>1213</v>
      </c>
      <c r="Z118" s="7"/>
      <c r="AA118" s="7"/>
      <c r="AB118" s="7"/>
      <c r="AC118" s="7"/>
      <c r="AD118" s="7"/>
      <c r="AE118" s="7">
        <f t="shared" si="19"/>
        <v>0</v>
      </c>
      <c r="AF118" s="7"/>
      <c r="AG118" s="10">
        <f t="shared" si="11"/>
        <v>0</v>
      </c>
      <c r="AH118" s="10">
        <f t="shared" si="12"/>
        <v>0</v>
      </c>
      <c r="AI118" s="7"/>
      <c r="AJ118" s="7">
        <v>0.02211</v>
      </c>
      <c r="AK118" s="7"/>
      <c r="AL118" s="11">
        <v>45550.71025462963</v>
      </c>
    </row>
    <row r="119" ht="12.0" customHeight="1">
      <c r="A119" s="6" t="s">
        <v>495</v>
      </c>
      <c r="B119" s="7" t="s">
        <v>435</v>
      </c>
      <c r="C119" s="7" t="s">
        <v>497</v>
      </c>
      <c r="D119" s="7" t="s">
        <v>1214</v>
      </c>
      <c r="E119" s="7" t="s">
        <v>1170</v>
      </c>
      <c r="F119" s="7" t="s">
        <v>1215</v>
      </c>
      <c r="G119" s="7" t="s">
        <v>38</v>
      </c>
      <c r="H119" s="7" t="s">
        <v>39</v>
      </c>
      <c r="I119" s="7" t="s">
        <v>40</v>
      </c>
      <c r="J119" s="7">
        <v>118.99941844241708</v>
      </c>
      <c r="K119" s="7">
        <v>-27.15484464203001</v>
      </c>
      <c r="L119" s="7" t="s">
        <v>41</v>
      </c>
      <c r="M119" s="7" t="s">
        <v>1216</v>
      </c>
      <c r="N119" s="7" t="s">
        <v>500</v>
      </c>
      <c r="O119" s="7" t="s">
        <v>500</v>
      </c>
      <c r="P119" s="7"/>
      <c r="Q119" s="7"/>
      <c r="R119" s="7" t="s">
        <v>1217</v>
      </c>
      <c r="S119" s="7" t="s">
        <v>58</v>
      </c>
      <c r="T119" s="8">
        <v>13000.0</v>
      </c>
      <c r="U119" s="7" t="s">
        <v>1218</v>
      </c>
      <c r="V119" s="7" t="s">
        <v>502</v>
      </c>
      <c r="W119" s="7"/>
      <c r="X119" s="9">
        <v>1.0</v>
      </c>
      <c r="Y119" s="7" t="s">
        <v>1219</v>
      </c>
      <c r="Z119" s="7"/>
      <c r="AA119" s="7">
        <f t="shared" ref="AA119:AA120" si="25">AB119+AC119+AF119</f>
        <v>2670000</v>
      </c>
      <c r="AB119" s="7">
        <f>1000000*0.67</f>
        <v>670000</v>
      </c>
      <c r="AC119" s="7"/>
      <c r="AD119" s="7"/>
      <c r="AE119" s="7">
        <f t="shared" si="19"/>
        <v>2670000</v>
      </c>
      <c r="AF119" s="7">
        <v>2000000.0</v>
      </c>
      <c r="AG119" s="10">
        <f t="shared" si="11"/>
        <v>1433800</v>
      </c>
      <c r="AH119" s="10">
        <f t="shared" si="12"/>
        <v>763800</v>
      </c>
      <c r="AI119" s="7">
        <v>6000000.0</v>
      </c>
      <c r="AJ119" s="7">
        <v>0.1273</v>
      </c>
      <c r="AK119" s="7">
        <v>0.735</v>
      </c>
      <c r="AL119" s="11">
        <v>45692.68701388889</v>
      </c>
    </row>
    <row r="120" ht="12.0" customHeight="1">
      <c r="A120" s="6" t="s">
        <v>1220</v>
      </c>
      <c r="B120" s="7" t="s">
        <v>465</v>
      </c>
      <c r="C120" s="7" t="s">
        <v>1221</v>
      </c>
      <c r="D120" s="7" t="s">
        <v>1222</v>
      </c>
      <c r="E120" s="7" t="s">
        <v>1170</v>
      </c>
      <c r="F120" s="7"/>
      <c r="G120" s="7" t="s">
        <v>38</v>
      </c>
      <c r="H120" s="7" t="s">
        <v>39</v>
      </c>
      <c r="I120" s="7" t="s">
        <v>598</v>
      </c>
      <c r="J120" s="7">
        <v>137.0137522944249</v>
      </c>
      <c r="K120" s="7">
        <v>-32.06297709865216</v>
      </c>
      <c r="L120" s="7" t="s">
        <v>41</v>
      </c>
      <c r="M120" s="7" t="s">
        <v>1223</v>
      </c>
      <c r="N120" s="7" t="s">
        <v>1224</v>
      </c>
      <c r="O120" s="7"/>
      <c r="P120" s="7"/>
      <c r="Q120" s="7"/>
      <c r="R120" s="7" t="s">
        <v>1225</v>
      </c>
      <c r="S120" s="7" t="s">
        <v>58</v>
      </c>
      <c r="T120" s="8">
        <v>0.0</v>
      </c>
      <c r="U120" s="7" t="s">
        <v>1226</v>
      </c>
      <c r="V120" s="7" t="s">
        <v>1227</v>
      </c>
      <c r="W120" s="7"/>
      <c r="X120" s="9">
        <v>0.49</v>
      </c>
      <c r="Y120" s="7" t="s">
        <v>1228</v>
      </c>
      <c r="Z120" s="7"/>
      <c r="AA120" s="7">
        <f t="shared" si="25"/>
        <v>670000</v>
      </c>
      <c r="AB120" s="7">
        <v>670000.0</v>
      </c>
      <c r="AC120" s="7"/>
      <c r="AD120" s="7"/>
      <c r="AE120" s="7">
        <f t="shared" si="19"/>
        <v>670000</v>
      </c>
      <c r="AF120" s="7"/>
      <c r="AG120" s="10">
        <f t="shared" si="11"/>
        <v>670000</v>
      </c>
      <c r="AH120" s="10">
        <f t="shared" si="12"/>
        <v>0</v>
      </c>
      <c r="AI120" s="7"/>
      <c r="AJ120" s="7">
        <v>0.0</v>
      </c>
      <c r="AK120" s="7">
        <v>1.0</v>
      </c>
      <c r="AL120" s="11">
        <v>45550.701631944445</v>
      </c>
    </row>
    <row r="121" ht="12.0" customHeight="1">
      <c r="A121" s="6" t="s">
        <v>1229</v>
      </c>
      <c r="B121" s="7" t="s">
        <v>1230</v>
      </c>
      <c r="C121" s="7" t="s">
        <v>1231</v>
      </c>
      <c r="D121" s="7" t="s">
        <v>1232</v>
      </c>
      <c r="E121" s="7" t="s">
        <v>1170</v>
      </c>
      <c r="F121" s="7"/>
      <c r="G121" s="7" t="s">
        <v>540</v>
      </c>
      <c r="H121" s="7" t="s">
        <v>39</v>
      </c>
      <c r="I121" s="7" t="s">
        <v>1025</v>
      </c>
      <c r="J121" s="7">
        <v>135.89218389215233</v>
      </c>
      <c r="K121" s="7">
        <v>-25.770371069795104</v>
      </c>
      <c r="L121" s="7" t="s">
        <v>41</v>
      </c>
      <c r="M121" s="7" t="s">
        <v>1233</v>
      </c>
      <c r="N121" s="7" t="s">
        <v>686</v>
      </c>
      <c r="O121" s="7" t="s">
        <v>686</v>
      </c>
      <c r="P121" s="7"/>
      <c r="Q121" s="7"/>
      <c r="R121" s="7" t="s">
        <v>1234</v>
      </c>
      <c r="S121" s="7" t="s">
        <v>58</v>
      </c>
      <c r="T121" s="8">
        <v>395000.0</v>
      </c>
      <c r="U121" s="7" t="s">
        <v>1235</v>
      </c>
      <c r="V121" s="7" t="s">
        <v>1236</v>
      </c>
      <c r="W121" s="7"/>
      <c r="X121" s="9">
        <v>0.8</v>
      </c>
      <c r="Y121" s="7" t="s">
        <v>1111</v>
      </c>
      <c r="Z121" s="7"/>
      <c r="AA121" s="7">
        <f t="shared" ref="AA121:AA122" si="26">AB121</f>
        <v>33500</v>
      </c>
      <c r="AB121" s="7">
        <f>50000*0.67</f>
        <v>33500</v>
      </c>
      <c r="AC121" s="7"/>
      <c r="AD121" s="7"/>
      <c r="AE121" s="7">
        <f t="shared" si="19"/>
        <v>33500</v>
      </c>
      <c r="AF121" s="7"/>
      <c r="AG121" s="10">
        <f t="shared" si="11"/>
        <v>33500</v>
      </c>
      <c r="AH121" s="10">
        <f t="shared" si="12"/>
        <v>0</v>
      </c>
      <c r="AI121" s="7"/>
      <c r="AJ121" s="7">
        <v>0.018760000000000002</v>
      </c>
      <c r="AK121" s="7">
        <v>2.0</v>
      </c>
      <c r="AL121" s="11">
        <v>45635.67774305555</v>
      </c>
    </row>
    <row r="122" ht="12.0" customHeight="1">
      <c r="A122" s="6" t="s">
        <v>1237</v>
      </c>
      <c r="B122" s="7" t="s">
        <v>1238</v>
      </c>
      <c r="C122" s="7" t="s">
        <v>1239</v>
      </c>
      <c r="D122" s="7" t="s">
        <v>1240</v>
      </c>
      <c r="E122" s="7" t="s">
        <v>1170</v>
      </c>
      <c r="F122" s="7"/>
      <c r="G122" s="7" t="s">
        <v>540</v>
      </c>
      <c r="H122" s="7" t="s">
        <v>39</v>
      </c>
      <c r="I122" s="7" t="s">
        <v>40</v>
      </c>
      <c r="J122" s="7">
        <v>118.13287970450689</v>
      </c>
      <c r="K122" s="7">
        <v>-27.39559684956814</v>
      </c>
      <c r="L122" s="7" t="s">
        <v>41</v>
      </c>
      <c r="M122" s="7" t="s">
        <v>1241</v>
      </c>
      <c r="N122" s="7" t="s">
        <v>1242</v>
      </c>
      <c r="O122" s="7" t="s">
        <v>1242</v>
      </c>
      <c r="P122" s="7"/>
      <c r="Q122" s="7"/>
      <c r="R122" s="7" t="s">
        <v>1243</v>
      </c>
      <c r="S122" s="7" t="s">
        <v>58</v>
      </c>
      <c r="T122" s="8">
        <v>0.0</v>
      </c>
      <c r="U122" s="7" t="s">
        <v>1244</v>
      </c>
      <c r="V122" s="7" t="s">
        <v>1245</v>
      </c>
      <c r="W122" s="7"/>
      <c r="X122" s="9">
        <v>1.0</v>
      </c>
      <c r="Y122" s="7" t="s">
        <v>1246</v>
      </c>
      <c r="Z122" s="7"/>
      <c r="AA122" s="7">
        <f t="shared" si="26"/>
        <v>50250</v>
      </c>
      <c r="AB122" s="7">
        <f>75000*0.67</f>
        <v>50250</v>
      </c>
      <c r="AC122" s="7"/>
      <c r="AD122" s="7"/>
      <c r="AE122" s="7">
        <f t="shared" si="19"/>
        <v>50250</v>
      </c>
      <c r="AF122" s="7"/>
      <c r="AG122" s="10">
        <f t="shared" si="11"/>
        <v>50250</v>
      </c>
      <c r="AH122" s="10">
        <f t="shared" si="12"/>
        <v>0</v>
      </c>
      <c r="AI122" s="7"/>
      <c r="AJ122" s="7">
        <v>0.01474</v>
      </c>
      <c r="AK122" s="7">
        <v>1.0</v>
      </c>
      <c r="AL122" s="11">
        <v>45736.694560185184</v>
      </c>
    </row>
    <row r="123" ht="12.0" customHeight="1">
      <c r="A123" s="6" t="s">
        <v>1203</v>
      </c>
      <c r="B123" s="7" t="s">
        <v>1247</v>
      </c>
      <c r="C123" s="7" t="s">
        <v>1205</v>
      </c>
      <c r="D123" s="7" t="s">
        <v>1248</v>
      </c>
      <c r="E123" s="7" t="s">
        <v>1170</v>
      </c>
      <c r="F123" s="7" t="s">
        <v>1207</v>
      </c>
      <c r="G123" s="7" t="s">
        <v>540</v>
      </c>
      <c r="H123" s="7" t="s">
        <v>39</v>
      </c>
      <c r="I123" s="7" t="s">
        <v>132</v>
      </c>
      <c r="J123" s="7">
        <v>149.8566647202644</v>
      </c>
      <c r="K123" s="7">
        <v>-23.2467701456038</v>
      </c>
      <c r="L123" s="7" t="s">
        <v>41</v>
      </c>
      <c r="M123" s="7" t="s">
        <v>1249</v>
      </c>
      <c r="N123" s="7" t="s">
        <v>1209</v>
      </c>
      <c r="O123" s="7" t="s">
        <v>1209</v>
      </c>
      <c r="P123" s="7"/>
      <c r="Q123" s="7"/>
      <c r="R123" s="7" t="s">
        <v>1250</v>
      </c>
      <c r="S123" s="7" t="s">
        <v>58</v>
      </c>
      <c r="T123" s="8">
        <v>0.0</v>
      </c>
      <c r="U123" s="7" t="s">
        <v>1251</v>
      </c>
      <c r="V123" s="7" t="s">
        <v>1212</v>
      </c>
      <c r="W123" s="7"/>
      <c r="X123" s="9">
        <v>1.0</v>
      </c>
      <c r="Y123" s="7" t="s">
        <v>1252</v>
      </c>
      <c r="Z123" s="7"/>
      <c r="AA123" s="7">
        <f>AB123+AF123</f>
        <v>1113875</v>
      </c>
      <c r="AB123" s="7">
        <f>975000*0.67</f>
        <v>653250</v>
      </c>
      <c r="AC123" s="7"/>
      <c r="AD123" s="7">
        <v>1662500.0</v>
      </c>
      <c r="AE123" s="7">
        <f t="shared" si="19"/>
        <v>1113875</v>
      </c>
      <c r="AF123" s="7">
        <f>687500*0.67</f>
        <v>460625</v>
      </c>
      <c r="AG123" s="10">
        <f t="shared" si="11"/>
        <v>653250</v>
      </c>
      <c r="AH123" s="10">
        <f t="shared" si="12"/>
        <v>0</v>
      </c>
      <c r="AI123" s="7"/>
      <c r="AJ123" s="7">
        <v>0.02211</v>
      </c>
      <c r="AK123" s="7"/>
      <c r="AL123" s="11">
        <v>45564.750439814816</v>
      </c>
    </row>
    <row r="124" ht="12.0" customHeight="1">
      <c r="A124" s="6" t="s">
        <v>1253</v>
      </c>
      <c r="B124" s="7" t="s">
        <v>1254</v>
      </c>
      <c r="C124" s="7" t="s">
        <v>1255</v>
      </c>
      <c r="D124" s="7" t="s">
        <v>1256</v>
      </c>
      <c r="E124" s="7" t="s">
        <v>1170</v>
      </c>
      <c r="F124" s="7" t="s">
        <v>1257</v>
      </c>
      <c r="G124" s="7" t="s">
        <v>540</v>
      </c>
      <c r="H124" s="7" t="s">
        <v>39</v>
      </c>
      <c r="I124" s="7" t="s">
        <v>40</v>
      </c>
      <c r="J124" s="7">
        <v>119.56527790974523</v>
      </c>
      <c r="K124" s="7">
        <v>-24.363888652063235</v>
      </c>
      <c r="L124" s="7" t="s">
        <v>41</v>
      </c>
      <c r="M124" s="7" t="s">
        <v>1258</v>
      </c>
      <c r="N124" s="7" t="s">
        <v>1259</v>
      </c>
      <c r="O124" s="7" t="s">
        <v>1259</v>
      </c>
      <c r="P124" s="7"/>
      <c r="Q124" s="7"/>
      <c r="R124" s="7" t="s">
        <v>1260</v>
      </c>
      <c r="S124" s="7" t="s">
        <v>58</v>
      </c>
      <c r="T124" s="8">
        <v>0.0</v>
      </c>
      <c r="U124" s="7" t="s">
        <v>1261</v>
      </c>
      <c r="V124" s="7" t="s">
        <v>1262</v>
      </c>
      <c r="W124" s="7"/>
      <c r="X124" s="7"/>
      <c r="Y124" s="7" t="s">
        <v>1263</v>
      </c>
      <c r="Z124" s="7"/>
      <c r="AA124" s="7">
        <f>AB124+AC124+AF124</f>
        <v>1139000</v>
      </c>
      <c r="AB124" s="7">
        <v>67000.0</v>
      </c>
      <c r="AC124" s="7">
        <v>1005000.0</v>
      </c>
      <c r="AD124" s="7"/>
      <c r="AE124" s="7">
        <f t="shared" si="19"/>
        <v>134000</v>
      </c>
      <c r="AF124" s="7">
        <v>67000.0</v>
      </c>
      <c r="AG124" s="10">
        <f t="shared" si="11"/>
        <v>67000</v>
      </c>
      <c r="AH124" s="10">
        <f t="shared" si="12"/>
        <v>0</v>
      </c>
      <c r="AI124" s="7"/>
      <c r="AJ124" s="7">
        <v>0.01474</v>
      </c>
      <c r="AK124" s="7">
        <v>1.0</v>
      </c>
      <c r="AL124" s="11">
        <v>45601.78959490741</v>
      </c>
    </row>
    <row r="125" ht="12.0" customHeight="1">
      <c r="A125" s="6" t="s">
        <v>1264</v>
      </c>
      <c r="B125" s="7" t="s">
        <v>1265</v>
      </c>
      <c r="C125" s="7" t="s">
        <v>1266</v>
      </c>
      <c r="D125" s="7" t="s">
        <v>1267</v>
      </c>
      <c r="E125" s="7" t="s">
        <v>1170</v>
      </c>
      <c r="F125" s="7" t="s">
        <v>1268</v>
      </c>
      <c r="G125" s="7" t="s">
        <v>540</v>
      </c>
      <c r="H125" s="7" t="s">
        <v>39</v>
      </c>
      <c r="I125" s="7" t="s">
        <v>100</v>
      </c>
      <c r="J125" s="7">
        <v>145.59646943584315</v>
      </c>
      <c r="K125" s="7">
        <v>-42.064873559434076</v>
      </c>
      <c r="L125" s="7" t="s">
        <v>41</v>
      </c>
      <c r="M125" s="7" t="s">
        <v>1269</v>
      </c>
      <c r="N125" s="7" t="s">
        <v>1270</v>
      </c>
      <c r="O125" s="7" t="s">
        <v>1270</v>
      </c>
      <c r="P125" s="7"/>
      <c r="Q125" s="7"/>
      <c r="R125" s="7" t="s">
        <v>1271</v>
      </c>
      <c r="S125" s="7" t="s">
        <v>58</v>
      </c>
      <c r="T125" s="8">
        <v>0.0</v>
      </c>
      <c r="U125" s="7" t="s">
        <v>1272</v>
      </c>
      <c r="V125" s="7" t="s">
        <v>1273</v>
      </c>
      <c r="W125" s="7"/>
      <c r="X125" s="9">
        <v>1.0</v>
      </c>
      <c r="Y125" s="7" t="s">
        <v>1274</v>
      </c>
      <c r="Z125" s="7"/>
      <c r="AA125" s="7"/>
      <c r="AB125" s="7"/>
      <c r="AC125" s="7"/>
      <c r="AD125" s="7"/>
      <c r="AE125" s="7">
        <f t="shared" si="19"/>
        <v>0</v>
      </c>
      <c r="AF125" s="7"/>
      <c r="AG125" s="10">
        <f t="shared" si="11"/>
        <v>0</v>
      </c>
      <c r="AH125" s="10">
        <f t="shared" si="12"/>
        <v>0</v>
      </c>
      <c r="AI125" s="7"/>
      <c r="AJ125" s="7">
        <v>0.15075000000000002</v>
      </c>
      <c r="AK125" s="7"/>
      <c r="AL125" s="11">
        <v>45547.74358796296</v>
      </c>
    </row>
    <row r="126" ht="12.0" customHeight="1">
      <c r="A126" s="6" t="s">
        <v>1275</v>
      </c>
      <c r="B126" s="7" t="s">
        <v>1276</v>
      </c>
      <c r="C126" s="7" t="s">
        <v>1277</v>
      </c>
      <c r="D126" s="7" t="s">
        <v>1278</v>
      </c>
      <c r="E126" s="7" t="s">
        <v>1279</v>
      </c>
      <c r="F126" s="7"/>
      <c r="G126" s="7" t="s">
        <v>41</v>
      </c>
      <c r="H126" s="7" t="s">
        <v>39</v>
      </c>
      <c r="I126" s="7" t="s">
        <v>79</v>
      </c>
      <c r="J126" s="7">
        <v>142.68803650095148</v>
      </c>
      <c r="K126" s="7">
        <v>-37.62175155435688</v>
      </c>
      <c r="L126" s="7" t="s">
        <v>41</v>
      </c>
      <c r="M126" s="7" t="s">
        <v>1280</v>
      </c>
      <c r="N126" s="7" t="s">
        <v>1281</v>
      </c>
      <c r="O126" s="7" t="s">
        <v>1281</v>
      </c>
      <c r="P126" s="7"/>
      <c r="Q126" s="7"/>
      <c r="R126" s="7" t="s">
        <v>1282</v>
      </c>
      <c r="S126" s="7" t="s">
        <v>45</v>
      </c>
      <c r="T126" s="8">
        <v>180000.0</v>
      </c>
      <c r="U126" s="7" t="s">
        <v>1283</v>
      </c>
      <c r="V126" s="7" t="s">
        <v>1284</v>
      </c>
      <c r="W126" s="7"/>
      <c r="X126" s="9">
        <v>1.0</v>
      </c>
      <c r="Y126" s="7" t="s">
        <v>1285</v>
      </c>
      <c r="Z126" s="7"/>
      <c r="AA126" s="7">
        <f t="shared" ref="AA126:AA127" si="27">AB126+AC126+AF126</f>
        <v>1383500</v>
      </c>
      <c r="AB126" s="7">
        <v>33500.0</v>
      </c>
      <c r="AC126" s="7"/>
      <c r="AD126" s="7">
        <v>1400000.0</v>
      </c>
      <c r="AE126" s="7">
        <f t="shared" si="19"/>
        <v>1383500</v>
      </c>
      <c r="AF126" s="7">
        <v>1350000.0</v>
      </c>
      <c r="AG126" s="10">
        <f t="shared" si="11"/>
        <v>33500</v>
      </c>
      <c r="AH126" s="10">
        <f t="shared" si="12"/>
        <v>0</v>
      </c>
      <c r="AI126" s="7"/>
      <c r="AJ126" s="7">
        <v>0.00804</v>
      </c>
      <c r="AK126" s="7"/>
      <c r="AL126" s="11">
        <v>45068.865648148145</v>
      </c>
    </row>
    <row r="127" ht="12.0" customHeight="1">
      <c r="A127" s="6" t="s">
        <v>1286</v>
      </c>
      <c r="B127" s="7" t="s">
        <v>1287</v>
      </c>
      <c r="C127" s="7" t="s">
        <v>1288</v>
      </c>
      <c r="D127" s="7" t="s">
        <v>1289</v>
      </c>
      <c r="E127" s="7" t="s">
        <v>1279</v>
      </c>
      <c r="F127" s="7" t="s">
        <v>1290</v>
      </c>
      <c r="G127" s="7" t="s">
        <v>38</v>
      </c>
      <c r="H127" s="7" t="s">
        <v>39</v>
      </c>
      <c r="I127" s="7" t="s">
        <v>40</v>
      </c>
      <c r="J127" s="7">
        <v>118.52508176350906</v>
      </c>
      <c r="K127" s="7">
        <v>-25.300544447825754</v>
      </c>
      <c r="L127" s="7" t="s">
        <v>41</v>
      </c>
      <c r="M127" s="7" t="s">
        <v>1291</v>
      </c>
      <c r="N127" s="7" t="s">
        <v>1292</v>
      </c>
      <c r="O127" s="7" t="s">
        <v>1292</v>
      </c>
      <c r="P127" s="7"/>
      <c r="Q127" s="7"/>
      <c r="R127" s="7" t="s">
        <v>1293</v>
      </c>
      <c r="S127" s="7" t="s">
        <v>58</v>
      </c>
      <c r="T127" s="8">
        <v>34000.0</v>
      </c>
      <c r="U127" s="7" t="s">
        <v>1294</v>
      </c>
      <c r="V127" s="7" t="s">
        <v>1295</v>
      </c>
      <c r="W127" s="7"/>
      <c r="X127" s="9">
        <v>1.0</v>
      </c>
      <c r="Y127" s="7" t="s">
        <v>1296</v>
      </c>
      <c r="Z127" s="7"/>
      <c r="AA127" s="7">
        <f t="shared" si="27"/>
        <v>50000</v>
      </c>
      <c r="AB127" s="7">
        <v>50000.0</v>
      </c>
      <c r="AC127" s="7"/>
      <c r="AD127" s="7"/>
      <c r="AE127" s="7">
        <f t="shared" si="19"/>
        <v>50000</v>
      </c>
      <c r="AF127" s="7"/>
      <c r="AG127" s="10">
        <f t="shared" si="11"/>
        <v>50000</v>
      </c>
      <c r="AH127" s="10">
        <f t="shared" si="12"/>
        <v>0</v>
      </c>
      <c r="AI127" s="7"/>
      <c r="AJ127" s="7">
        <v>0.0134</v>
      </c>
      <c r="AK127" s="7">
        <v>10.0</v>
      </c>
      <c r="AL127" s="11">
        <v>45676.715567129635</v>
      </c>
    </row>
    <row r="128" ht="12.0" customHeight="1">
      <c r="A128" s="17" t="s">
        <v>1297</v>
      </c>
      <c r="B128" s="18" t="s">
        <v>1298</v>
      </c>
      <c r="C128" s="18" t="s">
        <v>1299</v>
      </c>
      <c r="D128" s="18" t="s">
        <v>1300</v>
      </c>
      <c r="E128" s="18" t="s">
        <v>1301</v>
      </c>
      <c r="F128" s="18"/>
      <c r="G128" s="18" t="s">
        <v>38</v>
      </c>
      <c r="H128" s="18" t="s">
        <v>39</v>
      </c>
      <c r="I128" s="18" t="s">
        <v>68</v>
      </c>
      <c r="J128" s="18">
        <v>149.33400900947777</v>
      </c>
      <c r="K128" s="18">
        <v>-32.45007507480684</v>
      </c>
      <c r="L128" s="18" t="s">
        <v>41</v>
      </c>
      <c r="M128" s="18" t="s">
        <v>1302</v>
      </c>
      <c r="N128" s="18" t="s">
        <v>1303</v>
      </c>
      <c r="O128" s="18" t="s">
        <v>1303</v>
      </c>
      <c r="P128" s="18"/>
      <c r="Q128" s="18"/>
      <c r="R128" s="18" t="s">
        <v>1304</v>
      </c>
      <c r="S128" s="18" t="s">
        <v>58</v>
      </c>
      <c r="T128" s="19">
        <v>426800.0</v>
      </c>
      <c r="U128" s="18" t="s">
        <v>1305</v>
      </c>
      <c r="V128" s="18" t="s">
        <v>1306</v>
      </c>
      <c r="W128" s="18"/>
      <c r="X128" s="20">
        <v>1.0</v>
      </c>
      <c r="Y128" s="18" t="s">
        <v>1307</v>
      </c>
      <c r="Z128" s="18"/>
      <c r="AA128" s="18"/>
      <c r="AB128" s="18">
        <v>1340000.0</v>
      </c>
      <c r="AC128" s="18">
        <v>840000.0</v>
      </c>
      <c r="AD128" s="18"/>
      <c r="AE128" s="18">
        <f t="shared" si="19"/>
        <v>1340000</v>
      </c>
      <c r="AF128" s="18"/>
      <c r="AG128" s="21">
        <f t="shared" si="11"/>
        <v>1992144.5</v>
      </c>
      <c r="AH128" s="21">
        <f t="shared" si="12"/>
        <v>652144.5</v>
      </c>
      <c r="AI128" s="18">
        <v>9270000.0</v>
      </c>
      <c r="AJ128" s="18">
        <v>0.07035</v>
      </c>
      <c r="AK128" s="18">
        <v>1.0</v>
      </c>
      <c r="AL128" s="22">
        <v>45546.68320601852</v>
      </c>
    </row>
    <row r="129" ht="12.0" customHeight="1">
      <c r="A129" s="6" t="s">
        <v>1308</v>
      </c>
      <c r="B129" s="7" t="s">
        <v>454</v>
      </c>
      <c r="C129" s="7" t="s">
        <v>1309</v>
      </c>
      <c r="D129" s="7" t="s">
        <v>1310</v>
      </c>
      <c r="E129" s="7" t="s">
        <v>1311</v>
      </c>
      <c r="F129" s="7" t="s">
        <v>1312</v>
      </c>
      <c r="G129" s="7" t="s">
        <v>38</v>
      </c>
      <c r="H129" s="7" t="s">
        <v>39</v>
      </c>
      <c r="I129" s="7" t="s">
        <v>132</v>
      </c>
      <c r="J129" s="7">
        <v>151.27896003917857</v>
      </c>
      <c r="K129" s="7">
        <v>-24.673429110238583</v>
      </c>
      <c r="L129" s="7" t="s">
        <v>41</v>
      </c>
      <c r="M129" s="7" t="s">
        <v>1313</v>
      </c>
      <c r="N129" s="7" t="s">
        <v>1314</v>
      </c>
      <c r="O129" s="7" t="s">
        <v>1314</v>
      </c>
      <c r="P129" s="7"/>
      <c r="Q129" s="7"/>
      <c r="R129" s="7" t="s">
        <v>1315</v>
      </c>
      <c r="S129" s="7" t="s">
        <v>58</v>
      </c>
      <c r="T129" s="8">
        <v>0.0</v>
      </c>
      <c r="U129" s="7" t="s">
        <v>1316</v>
      </c>
      <c r="V129" s="7" t="s">
        <v>1317</v>
      </c>
      <c r="W129" s="7"/>
      <c r="X129" s="7"/>
      <c r="Y129" s="7" t="s">
        <v>1318</v>
      </c>
      <c r="Z129" s="7"/>
      <c r="AA129" s="7"/>
      <c r="AB129" s="7"/>
      <c r="AC129" s="7"/>
      <c r="AD129" s="7"/>
      <c r="AE129" s="7">
        <f t="shared" si="19"/>
        <v>0</v>
      </c>
      <c r="AF129" s="7"/>
      <c r="AG129" s="10">
        <f t="shared" si="11"/>
        <v>0</v>
      </c>
      <c r="AH129" s="10">
        <f t="shared" si="12"/>
        <v>0</v>
      </c>
      <c r="AI129" s="7"/>
      <c r="AJ129" s="7">
        <v>0.02211</v>
      </c>
      <c r="AK129" s="7"/>
      <c r="AL129" s="11">
        <v>45572.77652777778</v>
      </c>
    </row>
    <row r="130" ht="12.0" customHeight="1">
      <c r="A130" s="6" t="s">
        <v>1319</v>
      </c>
      <c r="B130" s="7" t="s">
        <v>1320</v>
      </c>
      <c r="C130" s="7" t="s">
        <v>1321</v>
      </c>
      <c r="D130" s="7" t="s">
        <v>1322</v>
      </c>
      <c r="E130" s="7" t="s">
        <v>1323</v>
      </c>
      <c r="F130" s="7"/>
      <c r="G130" s="7" t="s">
        <v>879</v>
      </c>
      <c r="H130" s="7" t="s">
        <v>39</v>
      </c>
      <c r="I130" s="7" t="s">
        <v>68</v>
      </c>
      <c r="J130" s="7">
        <v>145.8643848777666</v>
      </c>
      <c r="K130" s="7">
        <v>-31.282837537341848</v>
      </c>
      <c r="L130" s="7" t="s">
        <v>41</v>
      </c>
      <c r="M130" s="7" t="s">
        <v>1324</v>
      </c>
      <c r="N130" s="7" t="s">
        <v>1325</v>
      </c>
      <c r="O130" s="7" t="s">
        <v>1325</v>
      </c>
      <c r="P130" s="7"/>
      <c r="Q130" s="7"/>
      <c r="R130" s="7" t="s">
        <v>1326</v>
      </c>
      <c r="S130" s="7" t="s">
        <v>58</v>
      </c>
      <c r="T130" s="8">
        <v>0.0</v>
      </c>
      <c r="U130" s="7" t="s">
        <v>1327</v>
      </c>
      <c r="V130" s="7" t="s">
        <v>1328</v>
      </c>
      <c r="W130" s="7"/>
      <c r="X130" s="7"/>
      <c r="Y130" s="7"/>
      <c r="Z130" s="7"/>
      <c r="AA130" s="7">
        <f>AB130+AF130</f>
        <v>1100000000</v>
      </c>
      <c r="AB130" s="7">
        <v>1.0E9</v>
      </c>
      <c r="AC130" s="7"/>
      <c r="AD130" s="14"/>
      <c r="AE130" s="7">
        <f t="shared" si="19"/>
        <v>1100000000</v>
      </c>
      <c r="AF130" s="7">
        <v>1.0E8</v>
      </c>
      <c r="AG130" s="10">
        <f t="shared" si="11"/>
        <v>1000000000</v>
      </c>
      <c r="AH130" s="10">
        <f t="shared" si="12"/>
        <v>0</v>
      </c>
      <c r="AI130" s="7"/>
      <c r="AJ130" s="7">
        <v>0.0</v>
      </c>
      <c r="AK130" s="7">
        <v>1.5</v>
      </c>
      <c r="AL130" s="11">
        <v>45093.16666666667</v>
      </c>
    </row>
    <row r="131" ht="12.0" customHeight="1">
      <c r="A131" s="6" t="s">
        <v>1166</v>
      </c>
      <c r="B131" s="7" t="s">
        <v>1167</v>
      </c>
      <c r="C131" s="7" t="s">
        <v>1168</v>
      </c>
      <c r="D131" s="7" t="s">
        <v>1329</v>
      </c>
      <c r="E131" s="7" t="s">
        <v>1330</v>
      </c>
      <c r="F131" s="7"/>
      <c r="G131" s="7" t="s">
        <v>38</v>
      </c>
      <c r="H131" s="7" t="s">
        <v>39</v>
      </c>
      <c r="I131" s="7" t="s">
        <v>68</v>
      </c>
      <c r="J131" s="7">
        <v>148.33981403132876</v>
      </c>
      <c r="K131" s="7">
        <v>-35.33371062022613</v>
      </c>
      <c r="L131" s="7" t="s">
        <v>41</v>
      </c>
      <c r="M131" s="7" t="s">
        <v>1331</v>
      </c>
      <c r="N131" s="7" t="s">
        <v>1172</v>
      </c>
      <c r="O131" s="7" t="s">
        <v>1172</v>
      </c>
      <c r="P131" s="7"/>
      <c r="Q131" s="7"/>
      <c r="R131" s="7" t="s">
        <v>1332</v>
      </c>
      <c r="S131" s="7" t="s">
        <v>58</v>
      </c>
      <c r="T131" s="8">
        <v>1600.0</v>
      </c>
      <c r="U131" s="7" t="s">
        <v>1333</v>
      </c>
      <c r="V131" s="7" t="s">
        <v>1175</v>
      </c>
      <c r="W131" s="7"/>
      <c r="X131" s="9">
        <v>1.0</v>
      </c>
      <c r="Y131" s="7" t="s">
        <v>1334</v>
      </c>
      <c r="Z131" s="7"/>
      <c r="AA131" s="7"/>
      <c r="AB131" s="7"/>
      <c r="AC131" s="7"/>
      <c r="AD131" s="7"/>
      <c r="AE131" s="7">
        <f t="shared" si="19"/>
        <v>0</v>
      </c>
      <c r="AF131" s="7"/>
      <c r="AG131" s="10">
        <f t="shared" si="11"/>
        <v>0</v>
      </c>
      <c r="AH131" s="10">
        <f t="shared" si="12"/>
        <v>0</v>
      </c>
      <c r="AI131" s="7"/>
      <c r="AJ131" s="7">
        <v>0.00603</v>
      </c>
      <c r="AK131" s="7"/>
      <c r="AL131" s="11">
        <v>45600.73737268518</v>
      </c>
    </row>
    <row r="132" ht="12.0" customHeight="1">
      <c r="A132" s="6" t="s">
        <v>1335</v>
      </c>
      <c r="B132" s="7" t="s">
        <v>1336</v>
      </c>
      <c r="C132" s="7" t="s">
        <v>1337</v>
      </c>
      <c r="D132" s="7" t="s">
        <v>1338</v>
      </c>
      <c r="E132" s="7" t="s">
        <v>1330</v>
      </c>
      <c r="F132" s="7" t="s">
        <v>1339</v>
      </c>
      <c r="G132" s="7" t="s">
        <v>38</v>
      </c>
      <c r="H132" s="7" t="s">
        <v>39</v>
      </c>
      <c r="I132" s="7" t="s">
        <v>132</v>
      </c>
      <c r="J132" s="7">
        <v>139.79049292540287</v>
      </c>
      <c r="K132" s="7">
        <v>-21.598698479541266</v>
      </c>
      <c r="L132" s="7" t="s">
        <v>41</v>
      </c>
      <c r="M132" s="7" t="s">
        <v>1340</v>
      </c>
      <c r="N132" s="7" t="s">
        <v>1341</v>
      </c>
      <c r="O132" s="7" t="s">
        <v>1341</v>
      </c>
      <c r="P132" s="7"/>
      <c r="Q132" s="7"/>
      <c r="R132" s="7" t="s">
        <v>1342</v>
      </c>
      <c r="S132" s="7" t="s">
        <v>1343</v>
      </c>
      <c r="T132" s="8">
        <v>194600.0</v>
      </c>
      <c r="U132" s="7" t="s">
        <v>1344</v>
      </c>
      <c r="V132" s="7" t="s">
        <v>1345</v>
      </c>
      <c r="W132" s="7"/>
      <c r="X132" s="9">
        <v>1.0</v>
      </c>
      <c r="Y132" s="7" t="s">
        <v>1346</v>
      </c>
      <c r="Z132" s="7"/>
      <c r="AA132" s="10">
        <f>AB132+AC132+AH132</f>
        <v>6030000</v>
      </c>
      <c r="AB132" s="7">
        <v>6030000.0</v>
      </c>
      <c r="AC132" s="7"/>
      <c r="AD132" s="7"/>
      <c r="AE132" s="10">
        <f t="shared" si="19"/>
        <v>6030000</v>
      </c>
      <c r="AF132" s="10">
        <f>AH132</f>
        <v>0</v>
      </c>
      <c r="AG132" s="10">
        <f t="shared" si="11"/>
        <v>6030000</v>
      </c>
      <c r="AH132" s="10">
        <f t="shared" si="12"/>
        <v>0</v>
      </c>
      <c r="AI132" s="7"/>
      <c r="AJ132" s="7">
        <v>0.22780000000000003</v>
      </c>
      <c r="AK132" s="7"/>
      <c r="AL132" s="11">
        <v>45623.6919212963</v>
      </c>
    </row>
    <row r="133" ht="12.0" customHeight="1">
      <c r="A133" s="6" t="s">
        <v>1347</v>
      </c>
      <c r="B133" s="7" t="s">
        <v>1348</v>
      </c>
      <c r="C133" s="7" t="s">
        <v>1349</v>
      </c>
      <c r="D133" s="7" t="s">
        <v>1350</v>
      </c>
      <c r="E133" s="7" t="s">
        <v>1330</v>
      </c>
      <c r="F133" s="7" t="s">
        <v>1351</v>
      </c>
      <c r="G133" s="7" t="s">
        <v>38</v>
      </c>
      <c r="H133" s="7" t="s">
        <v>39</v>
      </c>
      <c r="I133" s="7" t="s">
        <v>132</v>
      </c>
      <c r="J133" s="7">
        <v>139.97258949146484</v>
      </c>
      <c r="K133" s="7">
        <v>-20.920335830571783</v>
      </c>
      <c r="L133" s="7" t="s">
        <v>41</v>
      </c>
      <c r="M133" s="7" t="s">
        <v>1352</v>
      </c>
      <c r="N133" s="7" t="s">
        <v>1353</v>
      </c>
      <c r="O133" s="7" t="s">
        <v>1353</v>
      </c>
      <c r="P133" s="7"/>
      <c r="Q133" s="7"/>
      <c r="R133" s="7" t="s">
        <v>1354</v>
      </c>
      <c r="S133" s="7" t="s">
        <v>58</v>
      </c>
      <c r="T133" s="8">
        <v>26.0</v>
      </c>
      <c r="U133" s="7" t="s">
        <v>1355</v>
      </c>
      <c r="V133" s="7" t="s">
        <v>1356</v>
      </c>
      <c r="W133" s="7"/>
      <c r="X133" s="9">
        <v>0.8</v>
      </c>
      <c r="Y133" s="7" t="s">
        <v>1357</v>
      </c>
      <c r="Z133" s="7"/>
      <c r="AA133" s="7">
        <f t="shared" ref="AA133:AA136" si="28">AB133+AC133+AF133</f>
        <v>435500</v>
      </c>
      <c r="AB133" s="7">
        <v>402000.0</v>
      </c>
      <c r="AC133" s="7"/>
      <c r="AD133" s="7">
        <v>100500.0</v>
      </c>
      <c r="AE133" s="7">
        <f t="shared" si="19"/>
        <v>435500</v>
      </c>
      <c r="AF133" s="7">
        <f>50000*0.67</f>
        <v>33500</v>
      </c>
      <c r="AG133" s="10">
        <f t="shared" si="11"/>
        <v>402000</v>
      </c>
      <c r="AH133" s="10">
        <f t="shared" si="12"/>
        <v>0</v>
      </c>
      <c r="AI133" s="7"/>
      <c r="AJ133" s="7">
        <v>0.023450000000000002</v>
      </c>
      <c r="AK133" s="7">
        <v>1.0</v>
      </c>
      <c r="AL133" s="11">
        <v>45566.68052083333</v>
      </c>
    </row>
    <row r="134" ht="12.0" customHeight="1">
      <c r="A134" s="6" t="s">
        <v>1358</v>
      </c>
      <c r="B134" s="7" t="s">
        <v>1359</v>
      </c>
      <c r="C134" s="7" t="s">
        <v>1360</v>
      </c>
      <c r="D134" s="7" t="s">
        <v>1361</v>
      </c>
      <c r="E134" s="7" t="s">
        <v>1330</v>
      </c>
      <c r="F134" s="7"/>
      <c r="G134" s="7" t="s">
        <v>38</v>
      </c>
      <c r="H134" s="7" t="s">
        <v>39</v>
      </c>
      <c r="I134" s="7" t="s">
        <v>40</v>
      </c>
      <c r="J134" s="7">
        <v>116.80416681252638</v>
      </c>
      <c r="K134" s="7">
        <v>-31.466406441513747</v>
      </c>
      <c r="L134" s="7" t="s">
        <v>41</v>
      </c>
      <c r="M134" s="7" t="s">
        <v>1362</v>
      </c>
      <c r="N134" s="7" t="s">
        <v>1363</v>
      </c>
      <c r="O134" s="7" t="s">
        <v>1363</v>
      </c>
      <c r="P134" s="7"/>
      <c r="Q134" s="7"/>
      <c r="R134" s="7" t="s">
        <v>1364</v>
      </c>
      <c r="S134" s="7" t="s">
        <v>58</v>
      </c>
      <c r="T134" s="8">
        <v>18700.0</v>
      </c>
      <c r="U134" s="7" t="s">
        <v>1365</v>
      </c>
      <c r="V134" s="7" t="s">
        <v>1366</v>
      </c>
      <c r="W134" s="7"/>
      <c r="X134" s="9">
        <v>1.0</v>
      </c>
      <c r="Y134" s="7" t="s">
        <v>1367</v>
      </c>
      <c r="Z134" s="7"/>
      <c r="AA134" s="7">
        <f t="shared" si="28"/>
        <v>200000</v>
      </c>
      <c r="AB134" s="7">
        <v>0.0</v>
      </c>
      <c r="AC134" s="7"/>
      <c r="AD134" s="7"/>
      <c r="AE134" s="7">
        <f t="shared" si="19"/>
        <v>200000</v>
      </c>
      <c r="AF134" s="7">
        <v>200000.0</v>
      </c>
      <c r="AG134" s="10">
        <f t="shared" si="11"/>
        <v>132868.0015</v>
      </c>
      <c r="AH134" s="10">
        <f t="shared" si="12"/>
        <v>132868.0015</v>
      </c>
      <c r="AI134" s="7">
        <v>1525465.0</v>
      </c>
      <c r="AJ134" s="7">
        <v>0.08710000000000001</v>
      </c>
      <c r="AK134" s="7"/>
      <c r="AL134" s="11">
        <v>45546.697962962964</v>
      </c>
    </row>
    <row r="135" ht="12.0" customHeight="1">
      <c r="A135" s="6" t="s">
        <v>1368</v>
      </c>
      <c r="B135" s="7" t="s">
        <v>1369</v>
      </c>
      <c r="C135" s="7" t="s">
        <v>1370</v>
      </c>
      <c r="D135" s="7" t="s">
        <v>1371</v>
      </c>
      <c r="E135" s="7" t="s">
        <v>1330</v>
      </c>
      <c r="F135" s="7" t="s">
        <v>1372</v>
      </c>
      <c r="G135" s="7" t="s">
        <v>540</v>
      </c>
      <c r="H135" s="7" t="s">
        <v>39</v>
      </c>
      <c r="I135" s="7" t="s">
        <v>68</v>
      </c>
      <c r="J135" s="7">
        <v>146.13063884188918</v>
      </c>
      <c r="K135" s="7">
        <v>-30.67566901029383</v>
      </c>
      <c r="L135" s="7" t="s">
        <v>41</v>
      </c>
      <c r="M135" s="7" t="s">
        <v>1373</v>
      </c>
      <c r="N135" s="7" t="s">
        <v>1374</v>
      </c>
      <c r="O135" s="7" t="s">
        <v>1374</v>
      </c>
      <c r="P135" s="7"/>
      <c r="Q135" s="7"/>
      <c r="R135" s="7" t="s">
        <v>1375</v>
      </c>
      <c r="S135" s="7" t="s">
        <v>58</v>
      </c>
      <c r="T135" s="8">
        <v>193200.0</v>
      </c>
      <c r="U135" s="7" t="s">
        <v>1376</v>
      </c>
      <c r="V135" s="7" t="s">
        <v>1377</v>
      </c>
      <c r="W135" s="7"/>
      <c r="X135" s="9">
        <v>0.75</v>
      </c>
      <c r="Y135" s="7" t="s">
        <v>1378</v>
      </c>
      <c r="Z135" s="7"/>
      <c r="AA135" s="7">
        <f t="shared" si="28"/>
        <v>4163500</v>
      </c>
      <c r="AB135" s="7">
        <v>16500.0</v>
      </c>
      <c r="AC135" s="7">
        <v>3745000.0</v>
      </c>
      <c r="AD135" s="7">
        <v>125000.0</v>
      </c>
      <c r="AE135" s="7">
        <f t="shared" si="19"/>
        <v>418500</v>
      </c>
      <c r="AF135" s="7">
        <f>600000*0.67</f>
        <v>402000</v>
      </c>
      <c r="AG135" s="10">
        <f t="shared" si="11"/>
        <v>16500</v>
      </c>
      <c r="AH135" s="10">
        <f t="shared" si="12"/>
        <v>0</v>
      </c>
      <c r="AI135" s="7"/>
      <c r="AJ135" s="7">
        <v>0.0134</v>
      </c>
      <c r="AK135" s="7">
        <v>1.5</v>
      </c>
      <c r="AL135" s="11">
        <v>45698.665347222224</v>
      </c>
    </row>
    <row r="136" ht="12.0" customHeight="1">
      <c r="A136" s="6" t="s">
        <v>1379</v>
      </c>
      <c r="B136" s="7" t="s">
        <v>1380</v>
      </c>
      <c r="C136" s="7" t="s">
        <v>1381</v>
      </c>
      <c r="D136" s="7" t="s">
        <v>1382</v>
      </c>
      <c r="E136" s="7" t="s">
        <v>1330</v>
      </c>
      <c r="F136" s="7" t="s">
        <v>1383</v>
      </c>
      <c r="G136" s="7" t="s">
        <v>540</v>
      </c>
      <c r="H136" s="7" t="s">
        <v>39</v>
      </c>
      <c r="I136" s="7" t="s">
        <v>40</v>
      </c>
      <c r="J136" s="7">
        <v>122.74949592076199</v>
      </c>
      <c r="K136" s="7">
        <v>-32.9216191414795</v>
      </c>
      <c r="L136" s="7" t="s">
        <v>41</v>
      </c>
      <c r="M136" s="7" t="s">
        <v>1384</v>
      </c>
      <c r="N136" s="7" t="s">
        <v>744</v>
      </c>
      <c r="O136" s="7" t="s">
        <v>1385</v>
      </c>
      <c r="P136" s="7"/>
      <c r="Q136" s="7"/>
      <c r="R136" s="7" t="s">
        <v>1386</v>
      </c>
      <c r="S136" s="7" t="s">
        <v>58</v>
      </c>
      <c r="T136" s="8">
        <v>36000.0</v>
      </c>
      <c r="U136" s="7" t="s">
        <v>1387</v>
      </c>
      <c r="V136" s="7" t="s">
        <v>1388</v>
      </c>
      <c r="W136" s="7"/>
      <c r="X136" s="9">
        <v>0.5</v>
      </c>
      <c r="Y136" s="7" t="s">
        <v>1389</v>
      </c>
      <c r="Z136" s="7"/>
      <c r="AA136" s="7">
        <f t="shared" si="28"/>
        <v>685000</v>
      </c>
      <c r="AB136" s="7">
        <v>335000.0</v>
      </c>
      <c r="AC136" s="7">
        <v>350000.0</v>
      </c>
      <c r="AD136" s="7"/>
      <c r="AE136" s="7">
        <f t="shared" si="19"/>
        <v>335000</v>
      </c>
      <c r="AF136" s="7"/>
      <c r="AG136" s="10">
        <f t="shared" si="11"/>
        <v>335000</v>
      </c>
      <c r="AH136" s="10">
        <f t="shared" si="12"/>
        <v>0</v>
      </c>
      <c r="AI136" s="7"/>
      <c r="AJ136" s="7">
        <v>0.00737</v>
      </c>
      <c r="AK136" s="7">
        <v>0.5</v>
      </c>
      <c r="AL136" s="11">
        <v>45741.726493055554</v>
      </c>
    </row>
    <row r="137" ht="12.0" customHeight="1">
      <c r="A137" s="17" t="s">
        <v>1166</v>
      </c>
      <c r="B137" s="18" t="s">
        <v>1390</v>
      </c>
      <c r="C137" s="18" t="s">
        <v>1168</v>
      </c>
      <c r="D137" s="18" t="s">
        <v>1391</v>
      </c>
      <c r="E137" s="18" t="s">
        <v>1330</v>
      </c>
      <c r="F137" s="18"/>
      <c r="G137" s="18" t="s">
        <v>540</v>
      </c>
      <c r="H137" s="18" t="s">
        <v>39</v>
      </c>
      <c r="I137" s="18" t="s">
        <v>68</v>
      </c>
      <c r="J137" s="18">
        <v>148.3073643153934</v>
      </c>
      <c r="K137" s="18">
        <v>-34.412020845371124</v>
      </c>
      <c r="L137" s="18" t="s">
        <v>41</v>
      </c>
      <c r="M137" s="18" t="s">
        <v>1392</v>
      </c>
      <c r="N137" s="18" t="s">
        <v>1172</v>
      </c>
      <c r="O137" s="18" t="s">
        <v>1172</v>
      </c>
      <c r="P137" s="18"/>
      <c r="Q137" s="18"/>
      <c r="R137" s="18" t="s">
        <v>1393</v>
      </c>
      <c r="S137" s="18" t="s">
        <v>58</v>
      </c>
      <c r="T137" s="19">
        <v>0.0</v>
      </c>
      <c r="U137" s="18" t="s">
        <v>1394</v>
      </c>
      <c r="V137" s="18" t="s">
        <v>1175</v>
      </c>
      <c r="W137" s="18"/>
      <c r="X137" s="20">
        <v>1.0</v>
      </c>
      <c r="Y137" s="18" t="s">
        <v>1395</v>
      </c>
      <c r="Z137" s="18"/>
      <c r="AA137" s="18"/>
      <c r="AB137" s="18"/>
      <c r="AC137" s="18"/>
      <c r="AD137" s="18"/>
      <c r="AE137" s="18">
        <f t="shared" si="19"/>
        <v>0</v>
      </c>
      <c r="AF137" s="18"/>
      <c r="AG137" s="21">
        <f t="shared" si="11"/>
        <v>0</v>
      </c>
      <c r="AH137" s="21">
        <f t="shared" si="12"/>
        <v>0</v>
      </c>
      <c r="AI137" s="18"/>
      <c r="AJ137" s="18">
        <v>0.00603</v>
      </c>
      <c r="AK137" s="18"/>
      <c r="AL137" s="22">
        <v>45600.74582175926</v>
      </c>
    </row>
    <row r="138" ht="12.0" customHeight="1">
      <c r="A138" s="6" t="s">
        <v>1396</v>
      </c>
      <c r="B138" s="7" t="s">
        <v>1397</v>
      </c>
      <c r="C138" s="7" t="s">
        <v>1398</v>
      </c>
      <c r="D138" s="7" t="s">
        <v>1399</v>
      </c>
      <c r="E138" s="7" t="s">
        <v>1330</v>
      </c>
      <c r="F138" s="7" t="s">
        <v>1400</v>
      </c>
      <c r="G138" s="7" t="s">
        <v>540</v>
      </c>
      <c r="H138" s="7" t="s">
        <v>39</v>
      </c>
      <c r="I138" s="7" t="s">
        <v>68</v>
      </c>
      <c r="J138" s="7">
        <v>149.5698487853706</v>
      </c>
      <c r="K138" s="7">
        <v>-32.78602055753351</v>
      </c>
      <c r="L138" s="7" t="s">
        <v>41</v>
      </c>
      <c r="M138" s="7" t="s">
        <v>1401</v>
      </c>
      <c r="N138" s="7" t="s">
        <v>1402</v>
      </c>
      <c r="O138" s="7" t="s">
        <v>1402</v>
      </c>
      <c r="P138" s="7"/>
      <c r="Q138" s="7"/>
      <c r="R138" s="7" t="s">
        <v>1403</v>
      </c>
      <c r="S138" s="7" t="s">
        <v>58</v>
      </c>
      <c r="T138" s="8">
        <v>46100.0</v>
      </c>
      <c r="U138" s="7" t="s">
        <v>1404</v>
      </c>
      <c r="V138" s="7" t="s">
        <v>1405</v>
      </c>
      <c r="W138" s="7"/>
      <c r="X138" s="9">
        <v>0.8</v>
      </c>
      <c r="Y138" s="7" t="s">
        <v>1406</v>
      </c>
      <c r="Z138" s="7"/>
      <c r="AA138" s="7">
        <f t="shared" ref="AA138:AA139" si="29">AB138+AC138+AF138</f>
        <v>321000</v>
      </c>
      <c r="AB138" s="7">
        <v>120000.0</v>
      </c>
      <c r="AC138" s="7">
        <v>201000.0</v>
      </c>
      <c r="AD138" s="7"/>
      <c r="AE138" s="7">
        <f t="shared" si="19"/>
        <v>120000</v>
      </c>
      <c r="AF138" s="7"/>
      <c r="AG138" s="10">
        <f t="shared" si="11"/>
        <v>120000</v>
      </c>
      <c r="AH138" s="10">
        <f t="shared" si="12"/>
        <v>0</v>
      </c>
      <c r="AI138" s="7"/>
      <c r="AJ138" s="7">
        <v>0.01206</v>
      </c>
      <c r="AK138" s="7"/>
      <c r="AL138" s="11">
        <v>45484.68324074074</v>
      </c>
    </row>
    <row r="139" ht="12.0" customHeight="1">
      <c r="A139" s="6" t="s">
        <v>1407</v>
      </c>
      <c r="B139" s="7" t="s">
        <v>1408</v>
      </c>
      <c r="C139" s="7" t="s">
        <v>1409</v>
      </c>
      <c r="D139" s="7" t="s">
        <v>1410</v>
      </c>
      <c r="E139" s="7" t="s">
        <v>1330</v>
      </c>
      <c r="F139" s="7"/>
      <c r="G139" s="7" t="s">
        <v>540</v>
      </c>
      <c r="H139" s="7" t="s">
        <v>39</v>
      </c>
      <c r="I139" s="7" t="s">
        <v>68</v>
      </c>
      <c r="J139" s="7">
        <v>147.49386211066027</v>
      </c>
      <c r="K139" s="7">
        <v>-31.88068878570392</v>
      </c>
      <c r="L139" s="7" t="s">
        <v>41</v>
      </c>
      <c r="M139" s="7" t="s">
        <v>1411</v>
      </c>
      <c r="N139" s="7" t="s">
        <v>1412</v>
      </c>
      <c r="O139" s="7" t="s">
        <v>1412</v>
      </c>
      <c r="P139" s="7" t="s">
        <v>1413</v>
      </c>
      <c r="Q139" s="7" t="s">
        <v>1413</v>
      </c>
      <c r="R139" s="7" t="s">
        <v>1414</v>
      </c>
      <c r="S139" s="7" t="s">
        <v>58</v>
      </c>
      <c r="T139" s="8">
        <v>96200.0</v>
      </c>
      <c r="U139" s="7" t="s">
        <v>1415</v>
      </c>
      <c r="V139" s="7" t="s">
        <v>1416</v>
      </c>
      <c r="W139" s="7"/>
      <c r="X139" s="9">
        <v>1.0</v>
      </c>
      <c r="Y139" s="7" t="s">
        <v>1417</v>
      </c>
      <c r="Z139" s="7"/>
      <c r="AA139" s="7">
        <f t="shared" si="29"/>
        <v>47445000</v>
      </c>
      <c r="AB139" s="7">
        <f>33500000*0.67</f>
        <v>22445000</v>
      </c>
      <c r="AC139" s="7">
        <v>2.5E7</v>
      </c>
      <c r="AD139" s="7"/>
      <c r="AE139" s="7">
        <f t="shared" si="19"/>
        <v>22445000</v>
      </c>
      <c r="AF139" s="7"/>
      <c r="AG139" s="10">
        <f t="shared" si="11"/>
        <v>22445000</v>
      </c>
      <c r="AH139" s="10">
        <f t="shared" si="12"/>
        <v>0</v>
      </c>
      <c r="AI139" s="7"/>
      <c r="AJ139" s="7">
        <v>0.023450000000000002</v>
      </c>
      <c r="AK139" s="7"/>
      <c r="AL139" s="11">
        <v>45543.67991898148</v>
      </c>
    </row>
    <row r="140" ht="12.0" customHeight="1">
      <c r="A140" s="6" t="s">
        <v>1407</v>
      </c>
      <c r="B140" s="7" t="s">
        <v>1418</v>
      </c>
      <c r="C140" s="7" t="s">
        <v>1409</v>
      </c>
      <c r="D140" s="7" t="s">
        <v>1419</v>
      </c>
      <c r="E140" s="7" t="s">
        <v>1330</v>
      </c>
      <c r="F140" s="7" t="s">
        <v>1420</v>
      </c>
      <c r="G140" s="7" t="s">
        <v>540</v>
      </c>
      <c r="H140" s="7" t="s">
        <v>39</v>
      </c>
      <c r="I140" s="7" t="s">
        <v>68</v>
      </c>
      <c r="J140" s="7">
        <v>147.19305555378472</v>
      </c>
      <c r="K140" s="7">
        <v>-31.131250005677092</v>
      </c>
      <c r="L140" s="7" t="s">
        <v>41</v>
      </c>
      <c r="M140" s="7" t="s">
        <v>1421</v>
      </c>
      <c r="N140" s="7" t="s">
        <v>1412</v>
      </c>
      <c r="O140" s="7" t="s">
        <v>1412</v>
      </c>
      <c r="P140" s="7" t="s">
        <v>1413</v>
      </c>
      <c r="Q140" s="7" t="s">
        <v>1413</v>
      </c>
      <c r="R140" s="7" t="s">
        <v>1422</v>
      </c>
      <c r="S140" s="7" t="s">
        <v>58</v>
      </c>
      <c r="T140" s="8">
        <v>0.0</v>
      </c>
      <c r="U140" s="7" t="s">
        <v>1423</v>
      </c>
      <c r="V140" s="7" t="s">
        <v>1416</v>
      </c>
      <c r="W140" s="7"/>
      <c r="X140" s="7"/>
      <c r="Y140" s="7"/>
      <c r="Z140" s="7"/>
      <c r="AA140" s="7"/>
      <c r="AB140" s="7"/>
      <c r="AC140" s="7"/>
      <c r="AD140" s="7"/>
      <c r="AE140" s="7">
        <f t="shared" si="19"/>
        <v>0</v>
      </c>
      <c r="AF140" s="7"/>
      <c r="AG140" s="10">
        <f t="shared" si="11"/>
        <v>0</v>
      </c>
      <c r="AH140" s="10">
        <f t="shared" si="12"/>
        <v>0</v>
      </c>
      <c r="AI140" s="7"/>
      <c r="AJ140" s="7">
        <v>0.0</v>
      </c>
      <c r="AK140" s="7"/>
      <c r="AL140" s="11">
        <v>45544.14583333333</v>
      </c>
    </row>
    <row r="141" ht="12.0" customHeight="1">
      <c r="A141" s="6" t="s">
        <v>1424</v>
      </c>
      <c r="B141" s="7" t="s">
        <v>1425</v>
      </c>
      <c r="C141" s="7" t="s">
        <v>1426</v>
      </c>
      <c r="D141" s="7" t="s">
        <v>1427</v>
      </c>
      <c r="E141" s="7" t="s">
        <v>1330</v>
      </c>
      <c r="F141" s="7" t="s">
        <v>1428</v>
      </c>
      <c r="G141" s="7" t="s">
        <v>540</v>
      </c>
      <c r="H141" s="7" t="s">
        <v>39</v>
      </c>
      <c r="I141" s="7" t="s">
        <v>100</v>
      </c>
      <c r="J141" s="7">
        <v>145.5717727131376</v>
      </c>
      <c r="K141" s="7">
        <v>-42.206119912012184</v>
      </c>
      <c r="L141" s="7" t="s">
        <v>41</v>
      </c>
      <c r="M141" s="7" t="s">
        <v>1429</v>
      </c>
      <c r="N141" s="7" t="s">
        <v>1430</v>
      </c>
      <c r="O141" s="7" t="s">
        <v>1430</v>
      </c>
      <c r="P141" s="7" t="s">
        <v>1431</v>
      </c>
      <c r="Q141" s="7" t="s">
        <v>1431</v>
      </c>
      <c r="R141" s="7" t="s">
        <v>1432</v>
      </c>
      <c r="S141" s="7" t="s">
        <v>58</v>
      </c>
      <c r="T141" s="8">
        <v>17100.0</v>
      </c>
      <c r="U141" s="7" t="s">
        <v>1433</v>
      </c>
      <c r="V141" s="7" t="s">
        <v>1434</v>
      </c>
      <c r="W141" s="7"/>
      <c r="X141" s="7"/>
      <c r="Y141" s="7"/>
      <c r="Z141" s="7"/>
      <c r="AA141" s="7">
        <f>AB141+AC141+AF141</f>
        <v>2450000</v>
      </c>
      <c r="AB141" s="7"/>
      <c r="AC141" s="7">
        <v>2450000.0</v>
      </c>
      <c r="AD141" s="7"/>
      <c r="AE141" s="7">
        <f t="shared" si="19"/>
        <v>0</v>
      </c>
      <c r="AF141" s="7"/>
      <c r="AG141" s="10">
        <f t="shared" si="11"/>
        <v>0</v>
      </c>
      <c r="AH141" s="10">
        <f t="shared" si="12"/>
        <v>0</v>
      </c>
      <c r="AI141" s="7"/>
      <c r="AJ141" s="7">
        <v>0.0</v>
      </c>
      <c r="AK141" s="7"/>
      <c r="AL141" s="11">
        <v>45538.20833333333</v>
      </c>
    </row>
    <row r="142" ht="12.0" customHeight="1">
      <c r="A142" s="6" t="s">
        <v>1435</v>
      </c>
      <c r="B142" s="7" t="s">
        <v>1436</v>
      </c>
      <c r="C142" s="7" t="s">
        <v>1437</v>
      </c>
      <c r="D142" s="7" t="s">
        <v>1438</v>
      </c>
      <c r="E142" s="7" t="s">
        <v>1439</v>
      </c>
      <c r="F142" s="7" t="s">
        <v>1440</v>
      </c>
      <c r="G142" s="7" t="s">
        <v>540</v>
      </c>
      <c r="H142" s="7" t="s">
        <v>39</v>
      </c>
      <c r="I142" s="7" t="s">
        <v>598</v>
      </c>
      <c r="J142" s="7">
        <v>140.57908778170548</v>
      </c>
      <c r="K142" s="7">
        <v>-32.57234214271405</v>
      </c>
      <c r="L142" s="7" t="s">
        <v>41</v>
      </c>
      <c r="M142" s="7" t="s">
        <v>1441</v>
      </c>
      <c r="N142" s="7" t="s">
        <v>1442</v>
      </c>
      <c r="O142" s="7" t="s">
        <v>1443</v>
      </c>
      <c r="P142" s="7"/>
      <c r="Q142" s="7"/>
      <c r="R142" s="7" t="s">
        <v>1444</v>
      </c>
      <c r="S142" s="7" t="s">
        <v>58</v>
      </c>
      <c r="T142" s="8">
        <v>140000.0</v>
      </c>
      <c r="U142" s="7" t="s">
        <v>1445</v>
      </c>
      <c r="V142" s="7" t="s">
        <v>1446</v>
      </c>
      <c r="W142" s="7"/>
      <c r="X142" s="9">
        <v>0.75</v>
      </c>
      <c r="Y142" s="7" t="s">
        <v>1447</v>
      </c>
      <c r="Z142" s="7"/>
      <c r="AA142" s="7">
        <f>AC142</f>
        <v>4550000</v>
      </c>
      <c r="AB142" s="7"/>
      <c r="AC142" s="7">
        <v>4550000.0</v>
      </c>
      <c r="AD142" s="7"/>
      <c r="AE142" s="7">
        <f t="shared" si="19"/>
        <v>0</v>
      </c>
      <c r="AF142" s="7"/>
      <c r="AG142" s="10">
        <f t="shared" si="11"/>
        <v>0</v>
      </c>
      <c r="AH142" s="10">
        <f t="shared" si="12"/>
        <v>0</v>
      </c>
      <c r="AI142" s="7"/>
      <c r="AJ142" s="7">
        <v>2.2244</v>
      </c>
      <c r="AK142" s="7">
        <v>1.5</v>
      </c>
      <c r="AL142" s="11">
        <v>45477.68208333333</v>
      </c>
    </row>
    <row r="143" ht="12.0" customHeight="1">
      <c r="A143" s="6" t="s">
        <v>1448</v>
      </c>
      <c r="B143" s="7" t="s">
        <v>1449</v>
      </c>
      <c r="C143" s="7" t="s">
        <v>1450</v>
      </c>
      <c r="D143" s="7" t="s">
        <v>1451</v>
      </c>
      <c r="E143" s="7" t="s">
        <v>1452</v>
      </c>
      <c r="F143" s="7"/>
      <c r="G143" s="7" t="s">
        <v>41</v>
      </c>
      <c r="H143" s="7" t="s">
        <v>39</v>
      </c>
      <c r="I143" s="7" t="s">
        <v>40</v>
      </c>
      <c r="J143" s="7">
        <v>117.55625003124511</v>
      </c>
      <c r="K143" s="7">
        <v>-25.070138767364075</v>
      </c>
      <c r="L143" s="7" t="s">
        <v>41</v>
      </c>
      <c r="M143" s="7" t="s">
        <v>1453</v>
      </c>
      <c r="N143" s="7" t="s">
        <v>1454</v>
      </c>
      <c r="O143" s="7" t="s">
        <v>1454</v>
      </c>
      <c r="P143" s="7"/>
      <c r="Q143" s="7"/>
      <c r="R143" s="7" t="s">
        <v>1455</v>
      </c>
      <c r="S143" s="7" t="s">
        <v>58</v>
      </c>
      <c r="T143" s="8">
        <v>7500.0</v>
      </c>
      <c r="U143" s="7" t="s">
        <v>1456</v>
      </c>
      <c r="V143" s="7" t="s">
        <v>1457</v>
      </c>
      <c r="W143" s="7"/>
      <c r="X143" s="7"/>
      <c r="Y143" s="7" t="s">
        <v>1458</v>
      </c>
      <c r="Z143" s="7"/>
      <c r="AA143" s="7">
        <f t="shared" ref="AA143:AA144" si="30">AB143+AC143+AF143</f>
        <v>2968500</v>
      </c>
      <c r="AB143" s="7">
        <v>33500.0</v>
      </c>
      <c r="AC143" s="7">
        <v>2500000.0</v>
      </c>
      <c r="AD143" s="7"/>
      <c r="AE143" s="7">
        <f t="shared" si="19"/>
        <v>468500</v>
      </c>
      <c r="AF143" s="7">
        <v>435000.0</v>
      </c>
      <c r="AG143" s="10">
        <f t="shared" si="11"/>
        <v>33500</v>
      </c>
      <c r="AH143" s="10">
        <f t="shared" si="12"/>
        <v>0</v>
      </c>
      <c r="AI143" s="7"/>
      <c r="AJ143" s="7">
        <v>0.00871</v>
      </c>
      <c r="AK143" s="7"/>
      <c r="AL143" s="11">
        <v>45706.686435185184</v>
      </c>
    </row>
    <row r="144" ht="12.0" customHeight="1">
      <c r="A144" s="6" t="s">
        <v>1459</v>
      </c>
      <c r="B144" s="7" t="s">
        <v>1460</v>
      </c>
      <c r="C144" s="7" t="s">
        <v>1461</v>
      </c>
      <c r="D144" s="7" t="s">
        <v>1462</v>
      </c>
      <c r="E144" s="7" t="s">
        <v>1463</v>
      </c>
      <c r="F144" s="7" t="s">
        <v>1464</v>
      </c>
      <c r="G144" s="7" t="s">
        <v>540</v>
      </c>
      <c r="H144" s="7" t="s">
        <v>39</v>
      </c>
      <c r="I144" s="7" t="s">
        <v>40</v>
      </c>
      <c r="J144" s="7">
        <v>119.93081711125126</v>
      </c>
      <c r="K144" s="7">
        <v>-20.937612353409655</v>
      </c>
      <c r="L144" s="7" t="s">
        <v>41</v>
      </c>
      <c r="M144" s="7" t="s">
        <v>1465</v>
      </c>
      <c r="N144" s="7" t="s">
        <v>1466</v>
      </c>
      <c r="O144" s="7" t="s">
        <v>1467</v>
      </c>
      <c r="P144" s="7"/>
      <c r="Q144" s="7"/>
      <c r="R144" s="7" t="s">
        <v>1468</v>
      </c>
      <c r="S144" s="7" t="s">
        <v>58</v>
      </c>
      <c r="T144" s="8">
        <v>0.0</v>
      </c>
      <c r="U144" s="7" t="s">
        <v>1469</v>
      </c>
      <c r="V144" s="7" t="s">
        <v>1470</v>
      </c>
      <c r="W144" s="7"/>
      <c r="X144" s="9">
        <v>1.0</v>
      </c>
      <c r="Y144" s="7" t="s">
        <v>1471</v>
      </c>
      <c r="Z144" s="7"/>
      <c r="AA144" s="7">
        <f t="shared" si="30"/>
        <v>334000</v>
      </c>
      <c r="AB144" s="7">
        <v>134000.0</v>
      </c>
      <c r="AC144" s="7"/>
      <c r="AD144" s="7">
        <v>400000.0</v>
      </c>
      <c r="AE144" s="7">
        <f t="shared" si="19"/>
        <v>334000</v>
      </c>
      <c r="AF144" s="7">
        <v>200000.0</v>
      </c>
      <c r="AG144" s="10">
        <f t="shared" si="11"/>
        <v>134000</v>
      </c>
      <c r="AH144" s="10">
        <f t="shared" si="12"/>
        <v>0</v>
      </c>
      <c r="AI144" s="7"/>
      <c r="AJ144" s="7">
        <v>0.1072</v>
      </c>
      <c r="AK144" s="7">
        <v>0.75</v>
      </c>
      <c r="AL144" s="11">
        <v>45629.70125</v>
      </c>
    </row>
    <row r="145" ht="12.0" customHeight="1">
      <c r="A145" s="6" t="s">
        <v>1472</v>
      </c>
      <c r="B145" s="7" t="s">
        <v>1473</v>
      </c>
      <c r="C145" s="7" t="s">
        <v>1474</v>
      </c>
      <c r="D145" s="7" t="s">
        <v>1475</v>
      </c>
      <c r="E145" s="7" t="s">
        <v>1476</v>
      </c>
      <c r="F145" s="7" t="s">
        <v>1477</v>
      </c>
      <c r="G145" s="7" t="s">
        <v>38</v>
      </c>
      <c r="H145" s="7" t="s">
        <v>39</v>
      </c>
      <c r="I145" s="7" t="s">
        <v>132</v>
      </c>
      <c r="J145" s="7">
        <v>139.4874263583951</v>
      </c>
      <c r="K145" s="7">
        <v>-20.2371358661757</v>
      </c>
      <c r="L145" s="7" t="s">
        <v>41</v>
      </c>
      <c r="M145" s="7" t="s">
        <v>1478</v>
      </c>
      <c r="N145" s="7" t="s">
        <v>1479</v>
      </c>
      <c r="O145" s="7" t="s">
        <v>1479</v>
      </c>
      <c r="P145" s="7"/>
      <c r="Q145" s="7"/>
      <c r="R145" s="7" t="s">
        <v>1480</v>
      </c>
      <c r="S145" s="7" t="s">
        <v>58</v>
      </c>
      <c r="T145" s="8">
        <v>200300.0</v>
      </c>
      <c r="U145" s="7" t="s">
        <v>1481</v>
      </c>
      <c r="V145" s="7" t="s">
        <v>1482</v>
      </c>
      <c r="W145" s="7"/>
      <c r="X145" s="9">
        <v>1.0</v>
      </c>
      <c r="Y145" s="7" t="s">
        <v>1483</v>
      </c>
      <c r="Z145" s="7"/>
      <c r="AA145" s="7"/>
      <c r="AB145" s="14"/>
      <c r="AC145" s="7"/>
      <c r="AD145" s="7"/>
      <c r="AE145" s="7">
        <f t="shared" si="19"/>
        <v>0</v>
      </c>
      <c r="AF145" s="7"/>
      <c r="AG145" s="10">
        <f t="shared" si="11"/>
        <v>541955.5342</v>
      </c>
      <c r="AH145" s="10">
        <f t="shared" si="12"/>
        <v>541955.5342</v>
      </c>
      <c r="AI145" s="7">
        <v>1.15555551E8</v>
      </c>
      <c r="AJ145" s="7">
        <v>0.004690000000000001</v>
      </c>
      <c r="AK145" s="7"/>
      <c r="AL145" s="11">
        <v>45531.814733796295</v>
      </c>
    </row>
    <row r="146" ht="12.0" customHeight="1">
      <c r="A146" s="6" t="s">
        <v>1484</v>
      </c>
      <c r="B146" s="7" t="s">
        <v>401</v>
      </c>
      <c r="C146" s="7" t="s">
        <v>1485</v>
      </c>
      <c r="D146" s="7" t="s">
        <v>1486</v>
      </c>
      <c r="E146" s="7" t="s">
        <v>1487</v>
      </c>
      <c r="F146" s="7" t="s">
        <v>1488</v>
      </c>
      <c r="G146" s="7" t="s">
        <v>38</v>
      </c>
      <c r="H146" s="7" t="s">
        <v>39</v>
      </c>
      <c r="I146" s="7" t="s">
        <v>598</v>
      </c>
      <c r="J146" s="7">
        <v>140.8008044587573</v>
      </c>
      <c r="K146" s="7">
        <v>-32.178722191571026</v>
      </c>
      <c r="L146" s="7" t="s">
        <v>41</v>
      </c>
      <c r="M146" s="7" t="s">
        <v>1489</v>
      </c>
      <c r="N146" s="7" t="s">
        <v>1490</v>
      </c>
      <c r="O146" s="7" t="s">
        <v>1490</v>
      </c>
      <c r="P146" s="7"/>
      <c r="Q146" s="7"/>
      <c r="R146" s="7" t="s">
        <v>1491</v>
      </c>
      <c r="S146" s="7" t="s">
        <v>58</v>
      </c>
      <c r="T146" s="8">
        <v>2300.0</v>
      </c>
      <c r="U146" s="7" t="s">
        <v>1492</v>
      </c>
      <c r="V146" s="7" t="s">
        <v>1493</v>
      </c>
      <c r="W146" s="7"/>
      <c r="X146" s="9">
        <v>1.0</v>
      </c>
      <c r="Y146" s="7" t="s">
        <v>1494</v>
      </c>
      <c r="Z146" s="7"/>
      <c r="AA146" s="7">
        <f>AB146+AC146+AF146</f>
        <v>2000000</v>
      </c>
      <c r="AB146" s="7"/>
      <c r="AC146" s="7">
        <v>2000000.0</v>
      </c>
      <c r="AD146" s="7"/>
      <c r="AE146" s="7">
        <f t="shared" si="19"/>
        <v>0</v>
      </c>
      <c r="AF146" s="7"/>
      <c r="AG146" s="10">
        <f t="shared" si="11"/>
        <v>0</v>
      </c>
      <c r="AH146" s="10">
        <f t="shared" si="12"/>
        <v>0</v>
      </c>
      <c r="AI146" s="7"/>
      <c r="AJ146" s="7">
        <v>0.11055000000000001</v>
      </c>
      <c r="AK146" s="7"/>
      <c r="AL146" s="11">
        <v>45522.68142361111</v>
      </c>
    </row>
    <row r="147" ht="12.0" customHeight="1">
      <c r="A147" s="6" t="s">
        <v>1495</v>
      </c>
      <c r="B147" s="7" t="s">
        <v>1496</v>
      </c>
      <c r="C147" s="7" t="s">
        <v>1497</v>
      </c>
      <c r="D147" s="7" t="s">
        <v>1498</v>
      </c>
      <c r="E147" s="7" t="s">
        <v>1499</v>
      </c>
      <c r="F147" s="7" t="s">
        <v>1500</v>
      </c>
      <c r="G147" s="7" t="s">
        <v>38</v>
      </c>
      <c r="H147" s="7" t="s">
        <v>39</v>
      </c>
      <c r="I147" s="7" t="s">
        <v>132</v>
      </c>
      <c r="J147" s="7">
        <v>150.77150531413508</v>
      </c>
      <c r="K147" s="7">
        <v>-23.980497209757097</v>
      </c>
      <c r="L147" s="7" t="s">
        <v>41</v>
      </c>
      <c r="M147" s="7" t="s">
        <v>1501</v>
      </c>
      <c r="N147" s="7" t="s">
        <v>1502</v>
      </c>
      <c r="O147" s="7" t="s">
        <v>1502</v>
      </c>
      <c r="P147" s="7"/>
      <c r="Q147" s="7"/>
      <c r="R147" s="7" t="s">
        <v>1503</v>
      </c>
      <c r="S147" s="7" t="s">
        <v>1504</v>
      </c>
      <c r="T147" s="8">
        <v>0.0</v>
      </c>
      <c r="U147" s="7" t="s">
        <v>1505</v>
      </c>
      <c r="V147" s="7" t="s">
        <v>1506</v>
      </c>
      <c r="W147" s="7"/>
      <c r="X147" s="9">
        <v>0.51</v>
      </c>
      <c r="Y147" s="7" t="s">
        <v>1507</v>
      </c>
      <c r="Z147" s="7"/>
      <c r="AA147" s="7"/>
      <c r="AB147" s="7"/>
      <c r="AC147" s="7"/>
      <c r="AD147" s="7"/>
      <c r="AE147" s="7">
        <f t="shared" si="19"/>
        <v>0</v>
      </c>
      <c r="AF147" s="7"/>
      <c r="AG147" s="10">
        <f t="shared" si="11"/>
        <v>0</v>
      </c>
      <c r="AH147" s="10">
        <f t="shared" si="12"/>
        <v>0</v>
      </c>
      <c r="AI147" s="7"/>
      <c r="AJ147" s="7">
        <v>0.00268</v>
      </c>
      <c r="AK147" s="7"/>
      <c r="AL147" s="11">
        <v>45490.68386574074</v>
      </c>
    </row>
    <row r="148" ht="12.0" customHeight="1">
      <c r="A148" s="6" t="s">
        <v>1508</v>
      </c>
      <c r="B148" s="7" t="s">
        <v>476</v>
      </c>
      <c r="C148" s="7" t="s">
        <v>1509</v>
      </c>
      <c r="D148" s="7" t="s">
        <v>1510</v>
      </c>
      <c r="E148" s="7" t="s">
        <v>1511</v>
      </c>
      <c r="F148" s="7"/>
      <c r="G148" s="7" t="s">
        <v>540</v>
      </c>
      <c r="H148" s="7" t="s">
        <v>39</v>
      </c>
      <c r="I148" s="7" t="s">
        <v>40</v>
      </c>
      <c r="J148" s="7">
        <v>118.49287181793578</v>
      </c>
      <c r="K148" s="7">
        <v>-24.31382211850167</v>
      </c>
      <c r="L148" s="7" t="s">
        <v>41</v>
      </c>
      <c r="M148" s="7" t="s">
        <v>1512</v>
      </c>
      <c r="N148" s="7" t="s">
        <v>1513</v>
      </c>
      <c r="O148" s="7" t="s">
        <v>1513</v>
      </c>
      <c r="P148" s="7"/>
      <c r="Q148" s="7"/>
      <c r="R148" s="7" t="s">
        <v>1514</v>
      </c>
      <c r="S148" s="7" t="s">
        <v>932</v>
      </c>
      <c r="T148" s="8">
        <v>77900.0</v>
      </c>
      <c r="U148" s="7" t="s">
        <v>1515</v>
      </c>
      <c r="V148" s="7" t="s">
        <v>1516</v>
      </c>
      <c r="W148" s="7"/>
      <c r="X148" s="9">
        <v>1.0</v>
      </c>
      <c r="Y148" s="7" t="s">
        <v>1517</v>
      </c>
      <c r="Z148" s="7"/>
      <c r="AA148" s="7">
        <f t="shared" ref="AA148:AA149" si="31">AB148+AC148+AF148</f>
        <v>75000</v>
      </c>
      <c r="AB148" s="13">
        <v>0.0</v>
      </c>
      <c r="AC148" s="7"/>
      <c r="AD148" s="7"/>
      <c r="AE148" s="7">
        <f t="shared" si="19"/>
        <v>75000</v>
      </c>
      <c r="AF148" s="7">
        <v>75000.0</v>
      </c>
      <c r="AG148" s="10">
        <f t="shared" si="11"/>
        <v>50250.00134</v>
      </c>
      <c r="AH148" s="10">
        <f t="shared" si="12"/>
        <v>50250.00134</v>
      </c>
      <c r="AI148" s="7">
        <v>1.0714286E7</v>
      </c>
      <c r="AJ148" s="7">
        <v>0.004690000000000001</v>
      </c>
      <c r="AK148" s="7">
        <v>1.25</v>
      </c>
      <c r="AL148" s="11">
        <v>45743.73810185185</v>
      </c>
    </row>
    <row r="149" ht="12.0" customHeight="1">
      <c r="A149" s="6" t="s">
        <v>1518</v>
      </c>
      <c r="B149" s="7" t="s">
        <v>1519</v>
      </c>
      <c r="C149" s="7" t="s">
        <v>1520</v>
      </c>
      <c r="D149" s="7" t="s">
        <v>1521</v>
      </c>
      <c r="E149" s="7" t="s">
        <v>1522</v>
      </c>
      <c r="F149" s="7" t="s">
        <v>1523</v>
      </c>
      <c r="G149" s="7" t="s">
        <v>38</v>
      </c>
      <c r="H149" s="7" t="s">
        <v>39</v>
      </c>
      <c r="I149" s="7" t="s">
        <v>40</v>
      </c>
      <c r="J149" s="7">
        <v>127.4776601933135</v>
      </c>
      <c r="K149" s="7">
        <v>-18.35845346613322</v>
      </c>
      <c r="L149" s="7" t="s">
        <v>41</v>
      </c>
      <c r="M149" s="7" t="s">
        <v>1524</v>
      </c>
      <c r="N149" s="7" t="s">
        <v>134</v>
      </c>
      <c r="O149" s="7" t="s">
        <v>1525</v>
      </c>
      <c r="P149" s="7"/>
      <c r="Q149" s="7"/>
      <c r="R149" s="7" t="s">
        <v>1526</v>
      </c>
      <c r="S149" s="7" t="s">
        <v>58</v>
      </c>
      <c r="T149" s="8">
        <v>0.0</v>
      </c>
      <c r="U149" s="7" t="s">
        <v>1527</v>
      </c>
      <c r="V149" s="7" t="s">
        <v>137</v>
      </c>
      <c r="W149" s="7"/>
      <c r="X149" s="7"/>
      <c r="Y149" s="7" t="s">
        <v>1528</v>
      </c>
      <c r="Z149" s="7"/>
      <c r="AA149" s="7">
        <f t="shared" si="31"/>
        <v>469000</v>
      </c>
      <c r="AB149" s="7"/>
      <c r="AC149" s="7">
        <v>335000.0</v>
      </c>
      <c r="AD149" s="7"/>
      <c r="AE149" s="7">
        <f t="shared" si="19"/>
        <v>134000</v>
      </c>
      <c r="AF149" s="7">
        <v>134000.0</v>
      </c>
      <c r="AG149" s="10">
        <f t="shared" si="11"/>
        <v>102361.1193</v>
      </c>
      <c r="AH149" s="10">
        <f t="shared" si="12"/>
        <v>102361.1193</v>
      </c>
      <c r="AI149" s="7">
        <v>2777778.0</v>
      </c>
      <c r="AJ149" s="7">
        <v>0.03685</v>
      </c>
      <c r="AK149" s="7">
        <v>1.0</v>
      </c>
      <c r="AL149" s="11">
        <v>45705.71304398148</v>
      </c>
    </row>
    <row r="150" ht="12.0" customHeight="1">
      <c r="A150" s="6" t="s">
        <v>1529</v>
      </c>
      <c r="B150" s="7" t="s">
        <v>1530</v>
      </c>
      <c r="C150" s="7" t="s">
        <v>1531</v>
      </c>
      <c r="D150" s="7" t="s">
        <v>1532</v>
      </c>
      <c r="E150" s="7" t="s">
        <v>1533</v>
      </c>
      <c r="F150" s="7" t="s">
        <v>1534</v>
      </c>
      <c r="G150" s="7" t="s">
        <v>38</v>
      </c>
      <c r="H150" s="7" t="s">
        <v>39</v>
      </c>
      <c r="I150" s="7" t="s">
        <v>40</v>
      </c>
      <c r="J150" s="7">
        <v>127.65783094182127</v>
      </c>
      <c r="K150" s="7">
        <v>-25.757454022037017</v>
      </c>
      <c r="L150" s="7" t="s">
        <v>41</v>
      </c>
      <c r="M150" s="7" t="s">
        <v>1535</v>
      </c>
      <c r="N150" s="7" t="s">
        <v>1536</v>
      </c>
      <c r="O150" s="7" t="s">
        <v>1536</v>
      </c>
      <c r="P150" s="7"/>
      <c r="Q150" s="7"/>
      <c r="R150" s="7" t="s">
        <v>1537</v>
      </c>
      <c r="S150" s="7" t="s">
        <v>58</v>
      </c>
      <c r="T150" s="8">
        <v>61800.0</v>
      </c>
      <c r="U150" s="7" t="s">
        <v>1538</v>
      </c>
      <c r="V150" s="7" t="s">
        <v>1539</v>
      </c>
      <c r="W150" s="7"/>
      <c r="X150" s="9">
        <v>1.0</v>
      </c>
      <c r="Y150" s="7" t="s">
        <v>1540</v>
      </c>
      <c r="Z150" s="7"/>
      <c r="AA150" s="10">
        <f>AH150</f>
        <v>489937.494</v>
      </c>
      <c r="AB150" s="7"/>
      <c r="AC150" s="7"/>
      <c r="AD150" s="7"/>
      <c r="AE150" s="7">
        <f t="shared" si="19"/>
        <v>0</v>
      </c>
      <c r="AF150" s="7"/>
      <c r="AG150" s="10">
        <f t="shared" si="11"/>
        <v>489937.494</v>
      </c>
      <c r="AH150" s="10">
        <f t="shared" si="12"/>
        <v>489937.494</v>
      </c>
      <c r="AI150" s="7">
        <v>2.7083333E7</v>
      </c>
      <c r="AJ150" s="7">
        <v>0.018090000000000002</v>
      </c>
      <c r="AK150" s="7"/>
      <c r="AL150" s="11">
        <v>45685.67645833333</v>
      </c>
    </row>
    <row r="151" ht="12.0" customHeight="1">
      <c r="A151" s="6" t="s">
        <v>1541</v>
      </c>
      <c r="B151" s="7" t="s">
        <v>1542</v>
      </c>
      <c r="C151" s="7" t="s">
        <v>1543</v>
      </c>
      <c r="D151" s="7" t="s">
        <v>1544</v>
      </c>
      <c r="E151" s="7" t="s">
        <v>1545</v>
      </c>
      <c r="F151" s="7"/>
      <c r="G151" s="7" t="s">
        <v>540</v>
      </c>
      <c r="H151" s="7" t="s">
        <v>39</v>
      </c>
      <c r="I151" s="7" t="s">
        <v>598</v>
      </c>
      <c r="J151" s="7">
        <v>135.94319618609057</v>
      </c>
      <c r="K151" s="7">
        <v>-34.334401392945026</v>
      </c>
      <c r="L151" s="7" t="s">
        <v>41</v>
      </c>
      <c r="M151" s="7" t="s">
        <v>1546</v>
      </c>
      <c r="N151" s="7" t="s">
        <v>1547</v>
      </c>
      <c r="O151" s="7" t="s">
        <v>1547</v>
      </c>
      <c r="P151" s="7"/>
      <c r="Q151" s="7"/>
      <c r="R151" s="7" t="s">
        <v>1548</v>
      </c>
      <c r="S151" s="7" t="s">
        <v>58</v>
      </c>
      <c r="T151" s="8">
        <v>0.0</v>
      </c>
      <c r="U151" s="7" t="s">
        <v>1549</v>
      </c>
      <c r="V151" s="7" t="s">
        <v>1550</v>
      </c>
      <c r="W151" s="7"/>
      <c r="X151" s="9">
        <v>1.0</v>
      </c>
      <c r="Y151" s="7" t="s">
        <v>1551</v>
      </c>
      <c r="Z151" s="7"/>
      <c r="AA151" s="7"/>
      <c r="AB151" s="7"/>
      <c r="AC151" s="7"/>
      <c r="AD151" s="7"/>
      <c r="AE151" s="7">
        <f t="shared" si="19"/>
        <v>0</v>
      </c>
      <c r="AF151" s="7"/>
      <c r="AG151" s="10">
        <f t="shared" si="11"/>
        <v>0</v>
      </c>
      <c r="AH151" s="10">
        <f t="shared" si="12"/>
        <v>0</v>
      </c>
      <c r="AI151" s="7"/>
      <c r="AJ151" s="7">
        <v>0.00335</v>
      </c>
      <c r="AK151" s="7"/>
      <c r="AL151" s="11">
        <v>45641.64096064815</v>
      </c>
    </row>
    <row r="152" ht="12.0" customHeight="1">
      <c r="A152" s="6" t="s">
        <v>1552</v>
      </c>
      <c r="B152" s="7" t="s">
        <v>1460</v>
      </c>
      <c r="C152" s="7" t="s">
        <v>1553</v>
      </c>
      <c r="D152" s="7" t="s">
        <v>1554</v>
      </c>
      <c r="E152" s="7" t="s">
        <v>1555</v>
      </c>
      <c r="F152" s="7"/>
      <c r="G152" s="7" t="s">
        <v>530</v>
      </c>
      <c r="H152" s="7" t="s">
        <v>39</v>
      </c>
      <c r="I152" s="7" t="s">
        <v>40</v>
      </c>
      <c r="J152" s="7">
        <v>117.81219203280331</v>
      </c>
      <c r="K152" s="7">
        <v>-20.85371478274962</v>
      </c>
      <c r="L152" s="7" t="s">
        <v>41</v>
      </c>
      <c r="M152" s="7" t="s">
        <v>1556</v>
      </c>
      <c r="N152" s="7" t="s">
        <v>1557</v>
      </c>
      <c r="O152" s="7" t="s">
        <v>1557</v>
      </c>
      <c r="P152" s="7"/>
      <c r="Q152" s="7"/>
      <c r="R152" s="7" t="s">
        <v>1558</v>
      </c>
      <c r="S152" s="7" t="s">
        <v>58</v>
      </c>
      <c r="T152" s="8">
        <v>0.0</v>
      </c>
      <c r="U152" s="7" t="s">
        <v>1559</v>
      </c>
      <c r="V152" s="7" t="s">
        <v>1560</v>
      </c>
      <c r="W152" s="7"/>
      <c r="X152" s="9">
        <v>1.0</v>
      </c>
      <c r="Y152" s="7" t="s">
        <v>1561</v>
      </c>
      <c r="Z152" s="7"/>
      <c r="AA152" s="7"/>
      <c r="AB152" s="7">
        <v>0.0</v>
      </c>
      <c r="AC152" s="7"/>
      <c r="AD152" s="7"/>
      <c r="AE152" s="7">
        <f t="shared" si="19"/>
        <v>0</v>
      </c>
      <c r="AF152" s="7"/>
      <c r="AG152" s="10">
        <f t="shared" si="11"/>
        <v>0</v>
      </c>
      <c r="AH152" s="10">
        <f t="shared" si="12"/>
        <v>0</v>
      </c>
      <c r="AI152" s="7"/>
      <c r="AJ152" s="7">
        <v>0.00536</v>
      </c>
      <c r="AK152" s="7"/>
      <c r="AL152" s="11">
        <v>45678.68622685185</v>
      </c>
    </row>
    <row r="153" ht="12.0" customHeight="1">
      <c r="A153" s="6" t="s">
        <v>1562</v>
      </c>
      <c r="B153" s="7" t="s">
        <v>160</v>
      </c>
      <c r="C153" s="7" t="s">
        <v>1563</v>
      </c>
      <c r="D153" s="7" t="s">
        <v>1564</v>
      </c>
      <c r="E153" s="7" t="s">
        <v>1565</v>
      </c>
      <c r="F153" s="7" t="s">
        <v>1566</v>
      </c>
      <c r="G153" s="7" t="s">
        <v>540</v>
      </c>
      <c r="H153" s="7" t="s">
        <v>39</v>
      </c>
      <c r="I153" s="7" t="s">
        <v>1025</v>
      </c>
      <c r="J153" s="7">
        <v>134.87137684924136</v>
      </c>
      <c r="K153" s="7">
        <v>-23.12826091001967</v>
      </c>
      <c r="L153" s="7" t="s">
        <v>41</v>
      </c>
      <c r="M153" s="7" t="s">
        <v>1567</v>
      </c>
      <c r="N153" s="7" t="s">
        <v>1568</v>
      </c>
      <c r="O153" s="7" t="s">
        <v>1568</v>
      </c>
      <c r="P153" s="7"/>
      <c r="Q153" s="7"/>
      <c r="R153" s="7" t="s">
        <v>1569</v>
      </c>
      <c r="S153" s="7" t="s">
        <v>58</v>
      </c>
      <c r="T153" s="8">
        <v>100000.0</v>
      </c>
      <c r="U153" s="7" t="s">
        <v>1570</v>
      </c>
      <c r="V153" s="7" t="s">
        <v>1571</v>
      </c>
      <c r="W153" s="7"/>
      <c r="X153" s="9">
        <v>1.0</v>
      </c>
      <c r="Y153" s="7" t="s">
        <v>1572</v>
      </c>
      <c r="Z153" s="7"/>
      <c r="AA153" s="7">
        <f>AB153+AC153+AF153</f>
        <v>134000</v>
      </c>
      <c r="AB153" s="7">
        <v>134000.0</v>
      </c>
      <c r="AC153" s="7"/>
      <c r="AD153" s="7"/>
      <c r="AE153" s="7">
        <f t="shared" si="19"/>
        <v>134000</v>
      </c>
      <c r="AF153" s="7"/>
      <c r="AG153" s="10">
        <f t="shared" si="11"/>
        <v>134000</v>
      </c>
      <c r="AH153" s="10">
        <f t="shared" si="12"/>
        <v>0</v>
      </c>
      <c r="AI153" s="7"/>
      <c r="AJ153" s="7">
        <v>0.0</v>
      </c>
      <c r="AK153" s="7"/>
      <c r="AL153" s="11">
        <v>45572.694756944446</v>
      </c>
    </row>
    <row r="154" ht="12.0" customHeight="1">
      <c r="A154" s="6" t="s">
        <v>1424</v>
      </c>
      <c r="B154" s="7" t="s">
        <v>87</v>
      </c>
      <c r="C154" s="7" t="s">
        <v>1426</v>
      </c>
      <c r="D154" s="7" t="s">
        <v>1573</v>
      </c>
      <c r="E154" s="7" t="s">
        <v>1574</v>
      </c>
      <c r="F154" s="7" t="s">
        <v>1428</v>
      </c>
      <c r="G154" s="7" t="s">
        <v>540</v>
      </c>
      <c r="H154" s="7" t="s">
        <v>39</v>
      </c>
      <c r="I154" s="7" t="s">
        <v>100</v>
      </c>
      <c r="J154" s="7">
        <v>145.7033147449207</v>
      </c>
      <c r="K154" s="7">
        <v>-41.78559165052115</v>
      </c>
      <c r="L154" s="7" t="s">
        <v>41</v>
      </c>
      <c r="M154" s="7" t="s">
        <v>1575</v>
      </c>
      <c r="N154" s="7" t="s">
        <v>1430</v>
      </c>
      <c r="O154" s="7" t="s">
        <v>1430</v>
      </c>
      <c r="P154" s="7" t="s">
        <v>1431</v>
      </c>
      <c r="Q154" s="7" t="s">
        <v>1431</v>
      </c>
      <c r="R154" s="7" t="s">
        <v>1576</v>
      </c>
      <c r="S154" s="7" t="s">
        <v>58</v>
      </c>
      <c r="T154" s="8">
        <v>0.0</v>
      </c>
      <c r="U154" s="7" t="s">
        <v>1577</v>
      </c>
      <c r="V154" s="7" t="s">
        <v>1578</v>
      </c>
      <c r="W154" s="7"/>
      <c r="X154" s="7"/>
      <c r="Y154" s="7"/>
      <c r="Z154" s="7"/>
      <c r="AA154" s="7"/>
      <c r="AB154" s="7"/>
      <c r="AC154" s="7"/>
      <c r="AD154" s="7"/>
      <c r="AE154" s="7">
        <f t="shared" si="19"/>
        <v>0</v>
      </c>
      <c r="AF154" s="7"/>
      <c r="AG154" s="10">
        <f t="shared" si="11"/>
        <v>0</v>
      </c>
      <c r="AH154" s="10">
        <f t="shared" si="12"/>
        <v>0</v>
      </c>
      <c r="AI154" s="7"/>
      <c r="AJ154" s="7">
        <v>0.0</v>
      </c>
      <c r="AK154" s="7"/>
      <c r="AL154" s="11">
        <v>45642.26041666667</v>
      </c>
    </row>
    <row r="155" ht="12.0" customHeight="1">
      <c r="A155" s="6" t="s">
        <v>486</v>
      </c>
      <c r="B155" s="7" t="s">
        <v>1579</v>
      </c>
      <c r="C155" s="7" t="s">
        <v>1580</v>
      </c>
      <c r="D155" s="7" t="s">
        <v>1581</v>
      </c>
      <c r="E155" s="7" t="s">
        <v>1582</v>
      </c>
      <c r="F155" s="7"/>
      <c r="G155" s="7" t="s">
        <v>38</v>
      </c>
      <c r="H155" s="7" t="s">
        <v>39</v>
      </c>
      <c r="I155" s="7" t="s">
        <v>40</v>
      </c>
      <c r="J155" s="7">
        <v>117.8106019840349</v>
      </c>
      <c r="K155" s="7">
        <v>-27.052072059160608</v>
      </c>
      <c r="L155" s="7" t="s">
        <v>41</v>
      </c>
      <c r="M155" s="7" t="s">
        <v>1583</v>
      </c>
      <c r="N155" s="7" t="s">
        <v>333</v>
      </c>
      <c r="O155" s="7" t="s">
        <v>333</v>
      </c>
      <c r="P155" s="7"/>
      <c r="Q155" s="7"/>
      <c r="R155" s="7" t="s">
        <v>1584</v>
      </c>
      <c r="S155" s="7" t="s">
        <v>58</v>
      </c>
      <c r="T155" s="8">
        <v>13120.0</v>
      </c>
      <c r="U155" s="15" t="s">
        <v>1585</v>
      </c>
      <c r="V155" s="7" t="s">
        <v>493</v>
      </c>
      <c r="W155" s="7"/>
      <c r="X155" s="9">
        <v>1.0</v>
      </c>
      <c r="Y155" s="7" t="s">
        <v>1586</v>
      </c>
      <c r="Z155" s="7"/>
      <c r="AA155" s="7">
        <f>AB155</f>
        <v>837500</v>
      </c>
      <c r="AB155" s="7">
        <v>837500.0</v>
      </c>
      <c r="AC155" s="7"/>
      <c r="AD155" s="7"/>
      <c r="AE155" s="7">
        <f t="shared" si="19"/>
        <v>837500</v>
      </c>
      <c r="AF155" s="7"/>
      <c r="AG155" s="10">
        <f t="shared" si="11"/>
        <v>837500</v>
      </c>
      <c r="AH155" s="10">
        <f t="shared" si="12"/>
        <v>0</v>
      </c>
      <c r="AI155" s="7"/>
      <c r="AJ155" s="7">
        <v>1.4472000000000003</v>
      </c>
      <c r="AK155" s="7"/>
      <c r="AL155" s="11">
        <v>45643.64753472222</v>
      </c>
    </row>
    <row r="156" ht="12.0" customHeight="1">
      <c r="A156" s="6" t="s">
        <v>1587</v>
      </c>
      <c r="B156" s="7" t="s">
        <v>435</v>
      </c>
      <c r="C156" s="7" t="s">
        <v>1588</v>
      </c>
      <c r="D156" s="7" t="s">
        <v>1589</v>
      </c>
      <c r="E156" s="7" t="s">
        <v>1582</v>
      </c>
      <c r="F156" s="7" t="s">
        <v>1590</v>
      </c>
      <c r="G156" s="7" t="s">
        <v>38</v>
      </c>
      <c r="H156" s="7" t="s">
        <v>39</v>
      </c>
      <c r="I156" s="7" t="s">
        <v>40</v>
      </c>
      <c r="J156" s="7">
        <v>115.60114553867406</v>
      </c>
      <c r="K156" s="7">
        <v>-21.97249990650742</v>
      </c>
      <c r="L156" s="7" t="s">
        <v>41</v>
      </c>
      <c r="M156" s="7" t="s">
        <v>1591</v>
      </c>
      <c r="N156" s="7" t="s">
        <v>1592</v>
      </c>
      <c r="O156" s="7" t="s">
        <v>1592</v>
      </c>
      <c r="P156" s="7"/>
      <c r="Q156" s="7"/>
      <c r="R156" s="7" t="s">
        <v>1593</v>
      </c>
      <c r="S156" s="7" t="s">
        <v>58</v>
      </c>
      <c r="T156" s="8">
        <v>0.0</v>
      </c>
      <c r="U156" s="7" t="s">
        <v>1594</v>
      </c>
      <c r="V156" s="7" t="s">
        <v>1595</v>
      </c>
      <c r="W156" s="7"/>
      <c r="X156" s="9">
        <v>1.0</v>
      </c>
      <c r="Y156" s="7" t="s">
        <v>1596</v>
      </c>
      <c r="Z156" s="7"/>
      <c r="AA156" s="7"/>
      <c r="AB156" s="7"/>
      <c r="AC156" s="7"/>
      <c r="AD156" s="7"/>
      <c r="AE156" s="7">
        <f t="shared" si="19"/>
        <v>0</v>
      </c>
      <c r="AF156" s="7"/>
      <c r="AG156" s="10">
        <f t="shared" si="11"/>
        <v>0</v>
      </c>
      <c r="AH156" s="10">
        <f t="shared" si="12"/>
        <v>0</v>
      </c>
      <c r="AI156" s="7"/>
      <c r="AJ156" s="7">
        <v>0.0067</v>
      </c>
      <c r="AK156" s="7"/>
      <c r="AL156" s="11">
        <v>45508.68572916667</v>
      </c>
    </row>
    <row r="157" ht="12.0" customHeight="1">
      <c r="A157" s="6" t="s">
        <v>1597</v>
      </c>
      <c r="B157" s="7" t="s">
        <v>401</v>
      </c>
      <c r="C157" s="7" t="s">
        <v>1598</v>
      </c>
      <c r="D157" s="7" t="s">
        <v>1599</v>
      </c>
      <c r="E157" s="7" t="s">
        <v>1582</v>
      </c>
      <c r="F157" s="7"/>
      <c r="G157" s="7" t="s">
        <v>38</v>
      </c>
      <c r="H157" s="7" t="s">
        <v>39</v>
      </c>
      <c r="I157" s="7" t="s">
        <v>40</v>
      </c>
      <c r="J157" s="7">
        <v>116.00575859225476</v>
      </c>
      <c r="K157" s="7">
        <v>-21.63238848572012</v>
      </c>
      <c r="L157" s="7" t="s">
        <v>41</v>
      </c>
      <c r="M157" s="7" t="s">
        <v>1600</v>
      </c>
      <c r="N157" s="7" t="s">
        <v>1601</v>
      </c>
      <c r="O157" s="7" t="s">
        <v>1601</v>
      </c>
      <c r="P157" s="7"/>
      <c r="Q157" s="7"/>
      <c r="R157" s="7" t="s">
        <v>1602</v>
      </c>
      <c r="S157" s="7" t="s">
        <v>58</v>
      </c>
      <c r="T157" s="8">
        <v>0.0</v>
      </c>
      <c r="U157" s="7" t="s">
        <v>1603</v>
      </c>
      <c r="V157" s="7" t="s">
        <v>1604</v>
      </c>
      <c r="W157" s="7"/>
      <c r="X157" s="9">
        <v>1.0</v>
      </c>
      <c r="Y157" s="7" t="s">
        <v>1605</v>
      </c>
      <c r="Z157" s="7"/>
      <c r="AA157" s="7">
        <f t="shared" ref="AA157:AA159" si="32">AB157+AC157+AF157</f>
        <v>33667500</v>
      </c>
      <c r="AB157" s="7">
        <v>3.36675E7</v>
      </c>
      <c r="AC157" s="7"/>
      <c r="AD157" s="7"/>
      <c r="AE157" s="7">
        <f t="shared" si="19"/>
        <v>33667500</v>
      </c>
      <c r="AF157" s="7"/>
      <c r="AG157" s="10">
        <f t="shared" si="11"/>
        <v>33667500</v>
      </c>
      <c r="AH157" s="10">
        <f t="shared" si="12"/>
        <v>0</v>
      </c>
      <c r="AI157" s="7"/>
      <c r="AJ157" s="7">
        <v>0.16415000000000002</v>
      </c>
      <c r="AK157" s="7"/>
      <c r="AL157" s="11">
        <v>45736.725127314814</v>
      </c>
    </row>
    <row r="158" ht="12.0" customHeight="1">
      <c r="A158" s="6" t="s">
        <v>1606</v>
      </c>
      <c r="B158" s="7" t="s">
        <v>1607</v>
      </c>
      <c r="C158" s="7" t="s">
        <v>1608</v>
      </c>
      <c r="D158" s="7" t="s">
        <v>1609</v>
      </c>
      <c r="E158" s="7" t="s">
        <v>1582</v>
      </c>
      <c r="F158" s="7"/>
      <c r="G158" s="7" t="s">
        <v>38</v>
      </c>
      <c r="H158" s="7" t="s">
        <v>39</v>
      </c>
      <c r="I158" s="7" t="s">
        <v>598</v>
      </c>
      <c r="J158" s="7">
        <v>136.21063726399944</v>
      </c>
      <c r="K158" s="7">
        <v>-32.763517239558915</v>
      </c>
      <c r="L158" s="7" t="s">
        <v>41</v>
      </c>
      <c r="M158" s="7" t="s">
        <v>1610</v>
      </c>
      <c r="N158" s="7" t="s">
        <v>1224</v>
      </c>
      <c r="O158" s="7" t="s">
        <v>1224</v>
      </c>
      <c r="P158" s="7"/>
      <c r="Q158" s="7"/>
      <c r="R158" s="7" t="s">
        <v>1611</v>
      </c>
      <c r="S158" s="7" t="s">
        <v>58</v>
      </c>
      <c r="T158" s="8">
        <v>0.0</v>
      </c>
      <c r="U158" s="7" t="s">
        <v>1612</v>
      </c>
      <c r="V158" s="7" t="s">
        <v>1613</v>
      </c>
      <c r="W158" s="7"/>
      <c r="X158" s="9">
        <v>0.8</v>
      </c>
      <c r="Y158" s="7" t="s">
        <v>1614</v>
      </c>
      <c r="Z158" s="7"/>
      <c r="AA158" s="7">
        <f t="shared" si="32"/>
        <v>1000000</v>
      </c>
      <c r="AB158" s="7">
        <v>0.0</v>
      </c>
      <c r="AC158" s="7">
        <v>500000.0</v>
      </c>
      <c r="AD158" s="7"/>
      <c r="AE158" s="7">
        <f t="shared" si="19"/>
        <v>500000</v>
      </c>
      <c r="AF158" s="7">
        <v>500000.0</v>
      </c>
      <c r="AG158" s="10">
        <f t="shared" si="11"/>
        <v>0</v>
      </c>
      <c r="AH158" s="10">
        <f t="shared" si="12"/>
        <v>0</v>
      </c>
      <c r="AI158" s="7"/>
      <c r="AJ158" s="7">
        <v>0.01474</v>
      </c>
      <c r="AK158" s="7">
        <v>1.0</v>
      </c>
      <c r="AL158" s="11">
        <v>45747.706192129626</v>
      </c>
    </row>
    <row r="159" ht="12.0" customHeight="1">
      <c r="A159" s="6" t="s">
        <v>1587</v>
      </c>
      <c r="B159" s="7" t="s">
        <v>1167</v>
      </c>
      <c r="C159" s="7" t="s">
        <v>1588</v>
      </c>
      <c r="D159" s="7" t="s">
        <v>1615</v>
      </c>
      <c r="E159" s="7" t="s">
        <v>1582</v>
      </c>
      <c r="F159" s="7"/>
      <c r="G159" s="7" t="s">
        <v>540</v>
      </c>
      <c r="H159" s="7" t="s">
        <v>39</v>
      </c>
      <c r="I159" s="7" t="s">
        <v>40</v>
      </c>
      <c r="J159" s="7">
        <v>119.5652248193401</v>
      </c>
      <c r="K159" s="7">
        <v>-20.34701541258356</v>
      </c>
      <c r="L159" s="7" t="s">
        <v>41</v>
      </c>
      <c r="M159" s="7" t="s">
        <v>41</v>
      </c>
      <c r="N159" s="7" t="s">
        <v>1592</v>
      </c>
      <c r="O159" s="7" t="s">
        <v>1592</v>
      </c>
      <c r="P159" s="7"/>
      <c r="Q159" s="7"/>
      <c r="R159" s="7" t="s">
        <v>1616</v>
      </c>
      <c r="S159" s="7" t="s">
        <v>58</v>
      </c>
      <c r="T159" s="8">
        <v>0.0</v>
      </c>
      <c r="U159" s="7" t="s">
        <v>1617</v>
      </c>
      <c r="V159" s="7" t="s">
        <v>1595</v>
      </c>
      <c r="W159" s="7"/>
      <c r="X159" s="9">
        <v>1.0</v>
      </c>
      <c r="Y159" s="7" t="s">
        <v>1618</v>
      </c>
      <c r="Z159" s="7"/>
      <c r="AA159" s="7">
        <f t="shared" si="32"/>
        <v>1200000</v>
      </c>
      <c r="AB159" s="7"/>
      <c r="AC159" s="7">
        <v>1200000.0</v>
      </c>
      <c r="AD159" s="7"/>
      <c r="AE159" s="7">
        <f t="shared" si="19"/>
        <v>0</v>
      </c>
      <c r="AF159" s="7"/>
      <c r="AG159" s="10">
        <f t="shared" si="11"/>
        <v>0</v>
      </c>
      <c r="AH159" s="10">
        <f t="shared" si="12"/>
        <v>0</v>
      </c>
      <c r="AI159" s="7"/>
      <c r="AJ159" s="7">
        <v>0.0067</v>
      </c>
      <c r="AK159" s="7"/>
      <c r="AL159" s="11">
        <v>45543.705671296295</v>
      </c>
    </row>
    <row r="160" ht="12.0" customHeight="1">
      <c r="A160" s="6" t="s">
        <v>1619</v>
      </c>
      <c r="B160" s="7" t="s">
        <v>1620</v>
      </c>
      <c r="C160" s="7" t="s">
        <v>1621</v>
      </c>
      <c r="D160" s="7" t="s">
        <v>1622</v>
      </c>
      <c r="E160" s="7" t="s">
        <v>1623</v>
      </c>
      <c r="F160" s="7"/>
      <c r="G160" s="7" t="s">
        <v>38</v>
      </c>
      <c r="H160" s="7" t="s">
        <v>39</v>
      </c>
      <c r="I160" s="7" t="s">
        <v>68</v>
      </c>
      <c r="J160" s="7">
        <v>141.721648921303</v>
      </c>
      <c r="K160" s="7">
        <v>-32.0181351448961</v>
      </c>
      <c r="L160" s="7" t="s">
        <v>41</v>
      </c>
      <c r="M160" s="7" t="s">
        <v>41</v>
      </c>
      <c r="N160" s="7" t="s">
        <v>1624</v>
      </c>
      <c r="O160" s="7" t="s">
        <v>1624</v>
      </c>
      <c r="P160" s="7"/>
      <c r="Q160" s="7"/>
      <c r="R160" s="7" t="s">
        <v>1625</v>
      </c>
      <c r="S160" s="7" t="s">
        <v>58</v>
      </c>
      <c r="T160" s="8">
        <v>177000.0</v>
      </c>
      <c r="U160" s="7" t="s">
        <v>1626</v>
      </c>
      <c r="V160" s="7" t="s">
        <v>1627</v>
      </c>
      <c r="W160" s="7"/>
      <c r="X160" s="9">
        <v>1.0</v>
      </c>
      <c r="Y160" s="7" t="s">
        <v>1628</v>
      </c>
      <c r="Z160" s="7"/>
      <c r="AA160" s="7">
        <f>AE160</f>
        <v>184250</v>
      </c>
      <c r="AB160" s="7"/>
      <c r="AC160" s="7"/>
      <c r="AD160" s="7"/>
      <c r="AE160" s="7">
        <f t="shared" si="19"/>
        <v>184250</v>
      </c>
      <c r="AF160" s="7">
        <f>275000*0.67</f>
        <v>184250</v>
      </c>
      <c r="AG160" s="10">
        <f t="shared" si="11"/>
        <v>0</v>
      </c>
      <c r="AH160" s="10">
        <f t="shared" si="12"/>
        <v>0</v>
      </c>
      <c r="AI160" s="7"/>
      <c r="AJ160" s="7">
        <v>0.00402</v>
      </c>
      <c r="AK160" s="7">
        <v>2.0</v>
      </c>
      <c r="AL160" s="11">
        <v>45725.741435185184</v>
      </c>
    </row>
    <row r="161" ht="12.0" customHeight="1">
      <c r="A161" s="6" t="s">
        <v>1629</v>
      </c>
      <c r="B161" s="7" t="s">
        <v>1630</v>
      </c>
      <c r="C161" s="7" t="s">
        <v>1631</v>
      </c>
      <c r="D161" s="7" t="s">
        <v>1632</v>
      </c>
      <c r="E161" s="7" t="s">
        <v>1633</v>
      </c>
      <c r="F161" s="7" t="s">
        <v>1634</v>
      </c>
      <c r="G161" s="7" t="s">
        <v>540</v>
      </c>
      <c r="H161" s="7" t="s">
        <v>39</v>
      </c>
      <c r="I161" s="7" t="s">
        <v>1025</v>
      </c>
      <c r="J161" s="7">
        <v>135.80092426491487</v>
      </c>
      <c r="K161" s="7">
        <v>-22.741423904471954</v>
      </c>
      <c r="L161" s="7" t="s">
        <v>41</v>
      </c>
      <c r="M161" s="7" t="s">
        <v>1635</v>
      </c>
      <c r="N161" s="7" t="s">
        <v>1636</v>
      </c>
      <c r="O161" s="7" t="s">
        <v>1636</v>
      </c>
      <c r="P161" s="7"/>
      <c r="Q161" s="7"/>
      <c r="R161" s="7" t="s">
        <v>1637</v>
      </c>
      <c r="S161" s="7" t="s">
        <v>58</v>
      </c>
      <c r="T161" s="8">
        <v>0.0</v>
      </c>
      <c r="U161" s="7" t="s">
        <v>1638</v>
      </c>
      <c r="V161" s="7" t="s">
        <v>1639</v>
      </c>
      <c r="W161" s="7"/>
      <c r="X161" s="9">
        <v>1.0</v>
      </c>
      <c r="Y161" s="7" t="s">
        <v>1640</v>
      </c>
      <c r="Z161" s="7"/>
      <c r="AA161" s="7">
        <f t="shared" ref="AA161:AA162" si="33">AB161+AC161+AF161</f>
        <v>482567.5</v>
      </c>
      <c r="AB161" s="7">
        <v>482567.5</v>
      </c>
      <c r="AC161" s="7"/>
      <c r="AD161" s="7"/>
      <c r="AE161" s="7">
        <f t="shared" si="19"/>
        <v>482567.5</v>
      </c>
      <c r="AF161" s="7"/>
      <c r="AG161" s="10">
        <f t="shared" si="11"/>
        <v>482567.5</v>
      </c>
      <c r="AH161" s="10">
        <f t="shared" si="12"/>
        <v>0</v>
      </c>
      <c r="AI161" s="7"/>
      <c r="AJ161" s="7">
        <v>0.0737</v>
      </c>
      <c r="AK161" s="7"/>
      <c r="AL161" s="11">
        <v>45616.65094907407</v>
      </c>
    </row>
    <row r="162" ht="12.0" customHeight="1">
      <c r="A162" s="6" t="s">
        <v>1629</v>
      </c>
      <c r="B162" s="7" t="s">
        <v>1641</v>
      </c>
      <c r="C162" s="7" t="s">
        <v>1631</v>
      </c>
      <c r="D162" s="7" t="s">
        <v>1642</v>
      </c>
      <c r="E162" s="7" t="s">
        <v>1643</v>
      </c>
      <c r="F162" s="7"/>
      <c r="G162" s="7" t="s">
        <v>540</v>
      </c>
      <c r="H162" s="7" t="s">
        <v>39</v>
      </c>
      <c r="I162" s="7" t="s">
        <v>40</v>
      </c>
      <c r="J162" s="7">
        <v>127.95673324108452</v>
      </c>
      <c r="K162" s="7">
        <v>-16.33974030886683</v>
      </c>
      <c r="L162" s="7" t="s">
        <v>41</v>
      </c>
      <c r="M162" s="7" t="s">
        <v>1644</v>
      </c>
      <c r="N162" s="7" t="s">
        <v>1636</v>
      </c>
      <c r="O162" s="7" t="s">
        <v>1636</v>
      </c>
      <c r="P162" s="7"/>
      <c r="Q162" s="7"/>
      <c r="R162" s="7" t="s">
        <v>1645</v>
      </c>
      <c r="S162" s="7" t="s">
        <v>58</v>
      </c>
      <c r="T162" s="8">
        <v>18100.0</v>
      </c>
      <c r="U162" s="7" t="s">
        <v>1646</v>
      </c>
      <c r="V162" s="7" t="s">
        <v>1639</v>
      </c>
      <c r="W162" s="7"/>
      <c r="X162" s="9">
        <v>1.0</v>
      </c>
      <c r="Y162" s="7" t="s">
        <v>1647</v>
      </c>
      <c r="Z162" s="7"/>
      <c r="AA162" s="10">
        <f t="shared" si="33"/>
        <v>10050000</v>
      </c>
      <c r="AB162" s="7">
        <v>2680000.0</v>
      </c>
      <c r="AC162" s="7"/>
      <c r="AD162" s="7">
        <v>2.0E7</v>
      </c>
      <c r="AE162" s="10">
        <f t="shared" si="19"/>
        <v>10050000</v>
      </c>
      <c r="AF162" s="10">
        <f>AH162</f>
        <v>7370000</v>
      </c>
      <c r="AG162" s="10">
        <f t="shared" si="11"/>
        <v>10050000</v>
      </c>
      <c r="AH162" s="10">
        <f t="shared" si="12"/>
        <v>7370000</v>
      </c>
      <c r="AI162" s="7">
        <v>1.0E8</v>
      </c>
      <c r="AJ162" s="7">
        <v>0.0737</v>
      </c>
      <c r="AK162" s="7"/>
      <c r="AL162" s="11">
        <v>45480.97396990741</v>
      </c>
    </row>
    <row r="163" ht="12.0" customHeight="1">
      <c r="A163" s="6" t="s">
        <v>1648</v>
      </c>
      <c r="B163" s="7" t="s">
        <v>454</v>
      </c>
      <c r="C163" s="7" t="s">
        <v>1649</v>
      </c>
      <c r="D163" s="7" t="s">
        <v>1650</v>
      </c>
      <c r="E163" s="7" t="s">
        <v>1651</v>
      </c>
      <c r="F163" s="7"/>
      <c r="G163" s="7" t="s">
        <v>38</v>
      </c>
      <c r="H163" s="7" t="s">
        <v>39</v>
      </c>
      <c r="I163" s="7" t="s">
        <v>40</v>
      </c>
      <c r="J163" s="7">
        <v>120.45005206416936</v>
      </c>
      <c r="K163" s="7">
        <v>-33.808022862807434</v>
      </c>
      <c r="L163" s="7" t="s">
        <v>41</v>
      </c>
      <c r="M163" s="7" t="s">
        <v>1652</v>
      </c>
      <c r="N163" s="7" t="s">
        <v>1653</v>
      </c>
      <c r="O163" s="7" t="s">
        <v>1653</v>
      </c>
      <c r="P163" s="7"/>
      <c r="Q163" s="7"/>
      <c r="R163" s="7" t="s">
        <v>1654</v>
      </c>
      <c r="S163" s="7" t="s">
        <v>58</v>
      </c>
      <c r="T163" s="8">
        <v>0.0</v>
      </c>
      <c r="U163" s="7" t="s">
        <v>1655</v>
      </c>
      <c r="V163" s="7" t="s">
        <v>1656</v>
      </c>
      <c r="W163" s="7"/>
      <c r="X163" s="9">
        <v>1.0</v>
      </c>
      <c r="Y163" s="7" t="s">
        <v>1657</v>
      </c>
      <c r="Z163" s="7"/>
      <c r="AA163" s="7"/>
      <c r="AB163" s="7">
        <v>0.0</v>
      </c>
      <c r="AC163" s="7"/>
      <c r="AD163" s="7"/>
      <c r="AE163" s="7">
        <f t="shared" si="19"/>
        <v>0</v>
      </c>
      <c r="AF163" s="7"/>
      <c r="AG163" s="10">
        <f t="shared" si="11"/>
        <v>0</v>
      </c>
      <c r="AH163" s="10">
        <f t="shared" si="12"/>
        <v>0</v>
      </c>
      <c r="AI163" s="7"/>
      <c r="AJ163" s="7">
        <v>0.03216</v>
      </c>
      <c r="AK163" s="7"/>
      <c r="AL163" s="11">
        <v>45602.67508101852</v>
      </c>
    </row>
    <row r="164" ht="12.0" customHeight="1">
      <c r="A164" s="6" t="s">
        <v>1658</v>
      </c>
      <c r="B164" s="7" t="s">
        <v>1659</v>
      </c>
      <c r="C164" s="7" t="s">
        <v>1660</v>
      </c>
      <c r="D164" s="7" t="s">
        <v>1661</v>
      </c>
      <c r="E164" s="7" t="s">
        <v>1662</v>
      </c>
      <c r="F164" s="7" t="s">
        <v>1663</v>
      </c>
      <c r="G164" s="7" t="s">
        <v>38</v>
      </c>
      <c r="H164" s="7" t="s">
        <v>39</v>
      </c>
      <c r="I164" s="7" t="s">
        <v>40</v>
      </c>
      <c r="J164" s="7">
        <v>115.50920914464268</v>
      </c>
      <c r="K164" s="7">
        <v>-34.27447283686445</v>
      </c>
      <c r="L164" s="7" t="s">
        <v>41</v>
      </c>
      <c r="M164" s="7" t="s">
        <v>1664</v>
      </c>
      <c r="N164" s="7" t="s">
        <v>1665</v>
      </c>
      <c r="O164" s="7" t="s">
        <v>1665</v>
      </c>
      <c r="P164" s="7"/>
      <c r="Q164" s="7"/>
      <c r="R164" s="7" t="s">
        <v>1666</v>
      </c>
      <c r="S164" s="7" t="s">
        <v>1667</v>
      </c>
      <c r="T164" s="8">
        <v>0.0</v>
      </c>
      <c r="U164" s="7" t="s">
        <v>1668</v>
      </c>
      <c r="V164" s="7" t="s">
        <v>1669</v>
      </c>
      <c r="W164" s="7"/>
      <c r="X164" s="9">
        <v>1.0</v>
      </c>
      <c r="Y164" s="7" t="s">
        <v>1670</v>
      </c>
      <c r="Z164" s="7"/>
      <c r="AA164" s="7"/>
      <c r="AB164" s="7"/>
      <c r="AC164" s="7"/>
      <c r="AD164" s="7"/>
      <c r="AE164" s="7">
        <f t="shared" si="19"/>
        <v>0</v>
      </c>
      <c r="AF164" s="7"/>
      <c r="AG164" s="10">
        <f t="shared" si="11"/>
        <v>0</v>
      </c>
      <c r="AH164" s="10">
        <f t="shared" si="12"/>
        <v>0</v>
      </c>
      <c r="AI164" s="7"/>
      <c r="AJ164" s="7">
        <v>0.01608</v>
      </c>
      <c r="AK164" s="7"/>
      <c r="AL164" s="11">
        <v>45140.7920949074</v>
      </c>
    </row>
    <row r="165" ht="12.0" customHeight="1">
      <c r="A165" s="6" t="s">
        <v>1671</v>
      </c>
      <c r="B165" s="7" t="s">
        <v>1672</v>
      </c>
      <c r="C165" s="7" t="s">
        <v>1673</v>
      </c>
      <c r="D165" s="7" t="s">
        <v>1674</v>
      </c>
      <c r="E165" s="7" t="s">
        <v>1675</v>
      </c>
      <c r="F165" s="7" t="s">
        <v>1676</v>
      </c>
      <c r="G165" s="7" t="s">
        <v>540</v>
      </c>
      <c r="H165" s="7" t="s">
        <v>39</v>
      </c>
      <c r="I165" s="7" t="s">
        <v>598</v>
      </c>
      <c r="J165" s="7">
        <v>131.12319235823713</v>
      </c>
      <c r="K165" s="7">
        <v>-28.8307760626111</v>
      </c>
      <c r="L165" s="7" t="s">
        <v>41</v>
      </c>
      <c r="M165" s="7" t="s">
        <v>1677</v>
      </c>
      <c r="N165" s="7" t="s">
        <v>1678</v>
      </c>
      <c r="O165" s="7" t="s">
        <v>1678</v>
      </c>
      <c r="P165" s="7"/>
      <c r="Q165" s="7"/>
      <c r="R165" s="7" t="s">
        <v>1679</v>
      </c>
      <c r="S165" s="7" t="s">
        <v>58</v>
      </c>
      <c r="T165" s="8">
        <v>1946700.0</v>
      </c>
      <c r="U165" s="12" t="s">
        <v>1680</v>
      </c>
      <c r="V165" s="7" t="s">
        <v>1681</v>
      </c>
      <c r="W165" s="7"/>
      <c r="X165" s="9">
        <v>1.0</v>
      </c>
      <c r="Y165" s="7" t="s">
        <v>1682</v>
      </c>
      <c r="Z165" s="7"/>
      <c r="AA165" s="10">
        <f>AG165</f>
        <v>804000</v>
      </c>
      <c r="AB165" s="7"/>
      <c r="AC165" s="7"/>
      <c r="AD165" s="7"/>
      <c r="AE165" s="7">
        <f t="shared" si="19"/>
        <v>0</v>
      </c>
      <c r="AF165" s="7"/>
      <c r="AG165" s="10">
        <f t="shared" si="11"/>
        <v>804000</v>
      </c>
      <c r="AH165" s="10">
        <f t="shared" si="12"/>
        <v>804000</v>
      </c>
      <c r="AI165" s="7">
        <v>1.0E8</v>
      </c>
      <c r="AJ165" s="7">
        <v>0.00804</v>
      </c>
      <c r="AK165" s="7"/>
      <c r="AL165" s="11">
        <v>45649.02924768519</v>
      </c>
    </row>
    <row r="166" ht="12.0" customHeight="1">
      <c r="A166" s="6" t="s">
        <v>1683</v>
      </c>
      <c r="B166" s="7" t="s">
        <v>1684</v>
      </c>
      <c r="C166" s="7" t="s">
        <v>1685</v>
      </c>
      <c r="D166" s="7" t="s">
        <v>1686</v>
      </c>
      <c r="E166" s="7" t="s">
        <v>1687</v>
      </c>
      <c r="F166" s="7" t="s">
        <v>1688</v>
      </c>
      <c r="G166" s="7" t="s">
        <v>38</v>
      </c>
      <c r="H166" s="7" t="s">
        <v>39</v>
      </c>
      <c r="I166" s="7" t="s">
        <v>40</v>
      </c>
      <c r="J166" s="7">
        <v>117.95210841953163</v>
      </c>
      <c r="K166" s="7">
        <v>-31.0316880542726</v>
      </c>
      <c r="L166" s="7" t="s">
        <v>41</v>
      </c>
      <c r="M166" s="7" t="s">
        <v>1689</v>
      </c>
      <c r="N166" s="7" t="s">
        <v>1690</v>
      </c>
      <c r="O166" s="7" t="s">
        <v>1690</v>
      </c>
      <c r="P166" s="7"/>
      <c r="Q166" s="7"/>
      <c r="R166" s="7" t="s">
        <v>1691</v>
      </c>
      <c r="S166" s="7" t="s">
        <v>1692</v>
      </c>
      <c r="T166" s="8">
        <v>80000.0</v>
      </c>
      <c r="U166" s="15" t="s">
        <v>1693</v>
      </c>
      <c r="V166" s="7" t="s">
        <v>1694</v>
      </c>
      <c r="W166" s="7"/>
      <c r="X166" s="9">
        <v>0.51</v>
      </c>
      <c r="Y166" s="7" t="s">
        <v>1695</v>
      </c>
      <c r="Z166" s="7"/>
      <c r="AA166" s="7">
        <f>AC166</f>
        <v>171000</v>
      </c>
      <c r="AB166" s="7"/>
      <c r="AC166" s="7">
        <v>171000.0</v>
      </c>
      <c r="AD166" s="7"/>
      <c r="AE166" s="7"/>
      <c r="AF166" s="7"/>
      <c r="AG166" s="10">
        <f t="shared" si="11"/>
        <v>0</v>
      </c>
      <c r="AH166" s="10">
        <f t="shared" si="12"/>
        <v>0</v>
      </c>
      <c r="AI166" s="7"/>
      <c r="AJ166" s="7">
        <v>0.05226</v>
      </c>
      <c r="AK166" s="7"/>
      <c r="AL166" s="11">
        <v>45137.68391203704</v>
      </c>
    </row>
    <row r="167" ht="12.0" customHeight="1">
      <c r="A167" s="6" t="s">
        <v>1696</v>
      </c>
      <c r="B167" s="7" t="s">
        <v>1697</v>
      </c>
      <c r="C167" s="7" t="s">
        <v>1698</v>
      </c>
      <c r="D167" s="7" t="s">
        <v>1699</v>
      </c>
      <c r="E167" s="7" t="s">
        <v>1687</v>
      </c>
      <c r="F167" s="7" t="s">
        <v>1700</v>
      </c>
      <c r="G167" s="7" t="s">
        <v>38</v>
      </c>
      <c r="H167" s="7" t="s">
        <v>39</v>
      </c>
      <c r="I167" s="7" t="s">
        <v>1025</v>
      </c>
      <c r="J167" s="7">
        <v>130.73229166669242</v>
      </c>
      <c r="K167" s="7">
        <v>-12.788541666655968</v>
      </c>
      <c r="L167" s="7" t="s">
        <v>41</v>
      </c>
      <c r="M167" s="7" t="s">
        <v>1701</v>
      </c>
      <c r="N167" s="7" t="s">
        <v>1702</v>
      </c>
      <c r="O167" s="7" t="s">
        <v>1702</v>
      </c>
      <c r="P167" s="7"/>
      <c r="Q167" s="7"/>
      <c r="R167" s="7" t="s">
        <v>1703</v>
      </c>
      <c r="S167" s="7" t="s">
        <v>58</v>
      </c>
      <c r="T167" s="8">
        <v>6300.0</v>
      </c>
      <c r="U167" s="7" t="s">
        <v>1704</v>
      </c>
      <c r="V167" s="7" t="s">
        <v>1705</v>
      </c>
      <c r="W167" s="7"/>
      <c r="X167" s="9">
        <v>0.3</v>
      </c>
      <c r="Y167" s="7" t="s">
        <v>1706</v>
      </c>
      <c r="Z167" s="7"/>
      <c r="AA167" s="7">
        <f>AB167+AC167+AF167</f>
        <v>335000</v>
      </c>
      <c r="AB167" s="7">
        <f>500000*0.67</f>
        <v>335000</v>
      </c>
      <c r="AC167" s="7"/>
      <c r="AD167" s="7"/>
      <c r="AE167" s="7">
        <f t="shared" ref="AE167:AE244" si="34">AB167+AF167</f>
        <v>335000</v>
      </c>
      <c r="AF167" s="7">
        <f>AI167*AJ167</f>
        <v>0</v>
      </c>
      <c r="AG167" s="10">
        <f t="shared" si="11"/>
        <v>335000</v>
      </c>
      <c r="AH167" s="10">
        <f t="shared" si="12"/>
        <v>0</v>
      </c>
      <c r="AI167" s="7"/>
      <c r="AJ167" s="7">
        <v>0.02881</v>
      </c>
      <c r="AK167" s="7"/>
      <c r="AL167" s="11">
        <v>45602.69059027778</v>
      </c>
    </row>
    <row r="168" ht="12.0" customHeight="1">
      <c r="A168" s="6" t="s">
        <v>1707</v>
      </c>
      <c r="B168" s="7" t="s">
        <v>869</v>
      </c>
      <c r="C168" s="7" t="s">
        <v>1708</v>
      </c>
      <c r="D168" s="7" t="s">
        <v>1709</v>
      </c>
      <c r="E168" s="7" t="s">
        <v>1687</v>
      </c>
      <c r="F168" s="7"/>
      <c r="G168" s="7" t="s">
        <v>38</v>
      </c>
      <c r="H168" s="7" t="s">
        <v>39</v>
      </c>
      <c r="I168" s="7" t="s">
        <v>40</v>
      </c>
      <c r="J168" s="7">
        <v>121.08842683847878</v>
      </c>
      <c r="K168" s="7">
        <v>-31.13906002321539</v>
      </c>
      <c r="L168" s="7" t="s">
        <v>41</v>
      </c>
      <c r="M168" s="7" t="s">
        <v>1710</v>
      </c>
      <c r="N168" s="7" t="s">
        <v>1711</v>
      </c>
      <c r="O168" s="7" t="s">
        <v>1711</v>
      </c>
      <c r="P168" s="7"/>
      <c r="Q168" s="7"/>
      <c r="R168" s="7" t="s">
        <v>1712</v>
      </c>
      <c r="S168" s="7" t="s">
        <v>58</v>
      </c>
      <c r="T168" s="8">
        <v>0.0</v>
      </c>
      <c r="U168" s="7" t="s">
        <v>1713</v>
      </c>
      <c r="V168" s="7" t="s">
        <v>1714</v>
      </c>
      <c r="W168" s="7"/>
      <c r="X168" s="9">
        <v>1.0</v>
      </c>
      <c r="Y168" s="7" t="s">
        <v>1715</v>
      </c>
      <c r="Z168" s="7"/>
      <c r="AA168" s="7"/>
      <c r="AB168" s="7"/>
      <c r="AC168" s="7"/>
      <c r="AD168" s="7"/>
      <c r="AE168" s="7">
        <f t="shared" si="34"/>
        <v>0</v>
      </c>
      <c r="AF168" s="7"/>
      <c r="AG168" s="10">
        <f t="shared" si="11"/>
        <v>0</v>
      </c>
      <c r="AH168" s="10">
        <f t="shared" si="12"/>
        <v>0</v>
      </c>
      <c r="AI168" s="7"/>
      <c r="AJ168" s="7">
        <v>0.01139</v>
      </c>
      <c r="AK168" s="7">
        <v>2.0</v>
      </c>
      <c r="AL168" s="11">
        <v>45678.68256944444</v>
      </c>
    </row>
    <row r="169" ht="12.0" customHeight="1">
      <c r="A169" s="6" t="s">
        <v>1716</v>
      </c>
      <c r="B169" s="7" t="s">
        <v>246</v>
      </c>
      <c r="C169" s="7" t="s">
        <v>1717</v>
      </c>
      <c r="D169" s="7" t="s">
        <v>1718</v>
      </c>
      <c r="E169" s="7" t="s">
        <v>1687</v>
      </c>
      <c r="F169" s="7"/>
      <c r="G169" s="7" t="s">
        <v>38</v>
      </c>
      <c r="H169" s="7" t="s">
        <v>39</v>
      </c>
      <c r="I169" s="7" t="s">
        <v>40</v>
      </c>
      <c r="J169" s="7">
        <v>119.70913340440475</v>
      </c>
      <c r="K169" s="7">
        <v>-32.161085413736956</v>
      </c>
      <c r="L169" s="7" t="s">
        <v>41</v>
      </c>
      <c r="M169" s="7" t="s">
        <v>1719</v>
      </c>
      <c r="N169" s="7" t="s">
        <v>1720</v>
      </c>
      <c r="O169" s="7" t="s">
        <v>1720</v>
      </c>
      <c r="P169" s="7"/>
      <c r="Q169" s="7"/>
      <c r="R169" s="7" t="s">
        <v>1721</v>
      </c>
      <c r="S169" s="7" t="s">
        <v>58</v>
      </c>
      <c r="T169" s="8">
        <v>0.0</v>
      </c>
      <c r="U169" s="7" t="s">
        <v>1722</v>
      </c>
      <c r="V169" s="7" t="s">
        <v>1723</v>
      </c>
      <c r="W169" s="7"/>
      <c r="X169" s="7"/>
      <c r="Y169" s="7" t="s">
        <v>1724</v>
      </c>
      <c r="Z169" s="7"/>
      <c r="AA169" s="7">
        <f>AB169+AC169+AF169</f>
        <v>5504000</v>
      </c>
      <c r="AB169" s="7">
        <v>804000.0</v>
      </c>
      <c r="AC169" s="7">
        <v>4700000.0</v>
      </c>
      <c r="AD169" s="7"/>
      <c r="AE169" s="7">
        <f t="shared" si="34"/>
        <v>804000</v>
      </c>
      <c r="AF169" s="7"/>
      <c r="AG169" s="10">
        <f t="shared" si="11"/>
        <v>804000</v>
      </c>
      <c r="AH169" s="10">
        <f t="shared" si="12"/>
        <v>0</v>
      </c>
      <c r="AI169" s="7"/>
      <c r="AJ169" s="7">
        <v>0.11725</v>
      </c>
      <c r="AK169" s="7"/>
      <c r="AL169" s="11">
        <v>45635.64059027778</v>
      </c>
    </row>
    <row r="170" ht="12.0" customHeight="1">
      <c r="A170" s="6" t="s">
        <v>1725</v>
      </c>
      <c r="B170" s="7" t="s">
        <v>1726</v>
      </c>
      <c r="C170" s="7" t="s">
        <v>1727</v>
      </c>
      <c r="D170" s="7" t="s">
        <v>1728</v>
      </c>
      <c r="E170" s="7" t="s">
        <v>1687</v>
      </c>
      <c r="F170" s="7"/>
      <c r="G170" s="7" t="s">
        <v>540</v>
      </c>
      <c r="H170" s="7" t="s">
        <v>39</v>
      </c>
      <c r="I170" s="7" t="s">
        <v>40</v>
      </c>
      <c r="J170" s="7">
        <v>117.16258407215287</v>
      </c>
      <c r="K170" s="7">
        <v>-20.796899522144834</v>
      </c>
      <c r="L170" s="7" t="s">
        <v>41</v>
      </c>
      <c r="M170" s="7" t="s">
        <v>1729</v>
      </c>
      <c r="N170" s="7" t="s">
        <v>1730</v>
      </c>
      <c r="O170" s="7" t="s">
        <v>1730</v>
      </c>
      <c r="P170" s="7"/>
      <c r="Q170" s="7"/>
      <c r="R170" s="7" t="s">
        <v>1731</v>
      </c>
      <c r="S170" s="7" t="s">
        <v>58</v>
      </c>
      <c r="T170" s="8">
        <v>1763.5</v>
      </c>
      <c r="U170" s="7" t="s">
        <v>1732</v>
      </c>
      <c r="V170" s="7" t="s">
        <v>1733</v>
      </c>
      <c r="W170" s="7"/>
      <c r="X170" s="9">
        <v>0.8</v>
      </c>
      <c r="Y170" s="7" t="s">
        <v>1734</v>
      </c>
      <c r="Z170" s="7"/>
      <c r="AA170" s="7"/>
      <c r="AB170" s="7"/>
      <c r="AC170" s="7"/>
      <c r="AD170" s="7"/>
      <c r="AE170" s="7">
        <f t="shared" si="34"/>
        <v>0</v>
      </c>
      <c r="AF170" s="7"/>
      <c r="AG170" s="7"/>
      <c r="AH170" s="10"/>
      <c r="AI170" s="7"/>
      <c r="AJ170" s="7">
        <v>0.00402</v>
      </c>
      <c r="AK170" s="7"/>
      <c r="AL170" s="11">
        <v>45536.69583333333</v>
      </c>
    </row>
    <row r="171" ht="12.0" customHeight="1">
      <c r="A171" s="6" t="s">
        <v>1735</v>
      </c>
      <c r="B171" s="7" t="s">
        <v>390</v>
      </c>
      <c r="C171" s="7" t="s">
        <v>1736</v>
      </c>
      <c r="D171" s="7" t="s">
        <v>1737</v>
      </c>
      <c r="E171" s="7" t="s">
        <v>1687</v>
      </c>
      <c r="F171" s="7"/>
      <c r="G171" s="7" t="s">
        <v>540</v>
      </c>
      <c r="H171" s="7" t="s">
        <v>39</v>
      </c>
      <c r="I171" s="7" t="s">
        <v>40</v>
      </c>
      <c r="J171" s="7">
        <v>119.52640822960416</v>
      </c>
      <c r="K171" s="7">
        <v>-20.757629042974564</v>
      </c>
      <c r="L171" s="7" t="s">
        <v>41</v>
      </c>
      <c r="M171" s="7" t="s">
        <v>1738</v>
      </c>
      <c r="N171" s="7" t="s">
        <v>1739</v>
      </c>
      <c r="O171" s="7"/>
      <c r="P171" s="7"/>
      <c r="Q171" s="7"/>
      <c r="R171" s="7" t="s">
        <v>1740</v>
      </c>
      <c r="S171" s="7" t="s">
        <v>58</v>
      </c>
      <c r="T171" s="8">
        <v>0.0</v>
      </c>
      <c r="U171" s="7" t="s">
        <v>1741</v>
      </c>
      <c r="V171" s="7" t="s">
        <v>1742</v>
      </c>
      <c r="W171" s="7"/>
      <c r="X171" s="9">
        <v>1.0</v>
      </c>
      <c r="Y171" s="7" t="s">
        <v>1743</v>
      </c>
      <c r="Z171" s="7"/>
      <c r="AA171" s="7">
        <f>AB171+AC171</f>
        <v>770500</v>
      </c>
      <c r="AB171" s="7">
        <f>100000*0.67</f>
        <v>67000</v>
      </c>
      <c r="AC171" s="7">
        <f>1050000*0.67</f>
        <v>703500</v>
      </c>
      <c r="AD171" s="7"/>
      <c r="AE171" s="7">
        <f t="shared" si="34"/>
        <v>67000</v>
      </c>
      <c r="AF171" s="7"/>
      <c r="AG171" s="10">
        <f t="shared" ref="AG171:AG244" si="35">AB171+AH171</f>
        <v>67000</v>
      </c>
      <c r="AH171" s="10">
        <f t="shared" ref="AH171:AH214" si="36">AI171*AJ171</f>
        <v>0</v>
      </c>
      <c r="AI171" s="7"/>
      <c r="AJ171" s="7">
        <v>0.0</v>
      </c>
      <c r="AK171" s="7"/>
      <c r="AL171" s="11">
        <v>45571.76696759259</v>
      </c>
    </row>
    <row r="172" ht="12.0" customHeight="1">
      <c r="A172" s="6" t="s">
        <v>1744</v>
      </c>
      <c r="B172" s="7" t="s">
        <v>1745</v>
      </c>
      <c r="C172" s="7" t="s">
        <v>1746</v>
      </c>
      <c r="D172" s="7" t="s">
        <v>1747</v>
      </c>
      <c r="E172" s="7" t="s">
        <v>1687</v>
      </c>
      <c r="F172" s="7"/>
      <c r="G172" s="7" t="s">
        <v>540</v>
      </c>
      <c r="H172" s="7" t="s">
        <v>39</v>
      </c>
      <c r="I172" s="7" t="s">
        <v>598</v>
      </c>
      <c r="J172" s="7">
        <v>138.02879157335434</v>
      </c>
      <c r="K172" s="7">
        <v>-35.77498973776134</v>
      </c>
      <c r="L172" s="7" t="s">
        <v>41</v>
      </c>
      <c r="M172" s="7" t="s">
        <v>1748</v>
      </c>
      <c r="N172" s="7" t="s">
        <v>1749</v>
      </c>
      <c r="O172" s="7" t="s">
        <v>1749</v>
      </c>
      <c r="P172" s="7"/>
      <c r="Q172" s="7"/>
      <c r="R172" s="7" t="s">
        <v>1750</v>
      </c>
      <c r="S172" s="7" t="s">
        <v>58</v>
      </c>
      <c r="T172" s="8">
        <v>0.0</v>
      </c>
      <c r="U172" s="7" t="s">
        <v>1751</v>
      </c>
      <c r="V172" s="7" t="s">
        <v>1752</v>
      </c>
      <c r="W172" s="7"/>
      <c r="X172" s="9">
        <v>0.9</v>
      </c>
      <c r="Y172" s="7" t="s">
        <v>1753</v>
      </c>
      <c r="Z172" s="7"/>
      <c r="AA172" s="7">
        <f>AB172+AC172+AF172</f>
        <v>1460000</v>
      </c>
      <c r="AB172" s="7">
        <v>200000.0</v>
      </c>
      <c r="AC172" s="7">
        <v>980000.0</v>
      </c>
      <c r="AD172" s="7"/>
      <c r="AE172" s="7">
        <f t="shared" si="34"/>
        <v>480000</v>
      </c>
      <c r="AF172" s="7">
        <v>280000.0</v>
      </c>
      <c r="AG172" s="10">
        <f t="shared" si="35"/>
        <v>200000</v>
      </c>
      <c r="AH172" s="10">
        <f t="shared" si="36"/>
        <v>0</v>
      </c>
      <c r="AI172" s="7"/>
      <c r="AJ172" s="7">
        <v>0.0</v>
      </c>
      <c r="AK172" s="7">
        <v>2.0</v>
      </c>
      <c r="AL172" s="11">
        <v>45578.717928240745</v>
      </c>
    </row>
    <row r="173" ht="12.0" customHeight="1">
      <c r="A173" s="6" t="s">
        <v>1754</v>
      </c>
      <c r="B173" s="7" t="s">
        <v>1755</v>
      </c>
      <c r="C173" s="7" t="s">
        <v>1756</v>
      </c>
      <c r="D173" s="7" t="s">
        <v>1757</v>
      </c>
      <c r="E173" s="7" t="s">
        <v>1687</v>
      </c>
      <c r="F173" s="7"/>
      <c r="G173" s="7" t="s">
        <v>540</v>
      </c>
      <c r="H173" s="7" t="s">
        <v>39</v>
      </c>
      <c r="I173" s="7" t="s">
        <v>40</v>
      </c>
      <c r="J173" s="7">
        <v>117.73587078881343</v>
      </c>
      <c r="K173" s="7">
        <v>-29.15692786245303</v>
      </c>
      <c r="L173" s="7" t="s">
        <v>41</v>
      </c>
      <c r="M173" s="7" t="s">
        <v>1758</v>
      </c>
      <c r="N173" s="7" t="s">
        <v>1759</v>
      </c>
      <c r="O173" s="7" t="s">
        <v>1759</v>
      </c>
      <c r="P173" s="7"/>
      <c r="Q173" s="7"/>
      <c r="R173" s="7" t="s">
        <v>1760</v>
      </c>
      <c r="S173" s="7" t="s">
        <v>561</v>
      </c>
      <c r="T173" s="8">
        <v>0.0</v>
      </c>
      <c r="U173" s="7" t="s">
        <v>1761</v>
      </c>
      <c r="V173" s="7" t="s">
        <v>1762</v>
      </c>
      <c r="W173" s="7"/>
      <c r="X173" s="7"/>
      <c r="Y173" s="7"/>
      <c r="Z173" s="7"/>
      <c r="AA173" s="7"/>
      <c r="AB173" s="7"/>
      <c r="AC173" s="7"/>
      <c r="AD173" s="7"/>
      <c r="AE173" s="7">
        <f t="shared" si="34"/>
        <v>0</v>
      </c>
      <c r="AF173" s="7"/>
      <c r="AG173" s="10">
        <f t="shared" si="35"/>
        <v>0</v>
      </c>
      <c r="AH173" s="10">
        <f t="shared" si="36"/>
        <v>0</v>
      </c>
      <c r="AI173" s="7"/>
      <c r="AJ173" s="7">
        <v>0.0</v>
      </c>
      <c r="AK173" s="7"/>
      <c r="AL173" s="11">
        <v>45574.682870370365</v>
      </c>
    </row>
    <row r="174" ht="12.0" customHeight="1">
      <c r="A174" s="6" t="s">
        <v>1763</v>
      </c>
      <c r="B174" s="7" t="s">
        <v>1418</v>
      </c>
      <c r="C174" s="7" t="s">
        <v>1764</v>
      </c>
      <c r="D174" s="7" t="s">
        <v>1765</v>
      </c>
      <c r="E174" s="7" t="s">
        <v>1687</v>
      </c>
      <c r="F174" s="7"/>
      <c r="G174" s="7" t="s">
        <v>540</v>
      </c>
      <c r="H174" s="7" t="s">
        <v>39</v>
      </c>
      <c r="I174" s="7" t="s">
        <v>40</v>
      </c>
      <c r="J174" s="7">
        <v>119.09880951019976</v>
      </c>
      <c r="K174" s="7">
        <v>-20.671031890525118</v>
      </c>
      <c r="L174" s="7" t="s">
        <v>41</v>
      </c>
      <c r="M174" s="7" t="s">
        <v>1766</v>
      </c>
      <c r="N174" s="7" t="s">
        <v>1767</v>
      </c>
      <c r="O174" s="7" t="s">
        <v>1767</v>
      </c>
      <c r="P174" s="7"/>
      <c r="Q174" s="7"/>
      <c r="R174" s="7" t="s">
        <v>1768</v>
      </c>
      <c r="S174" s="7" t="s">
        <v>58</v>
      </c>
      <c r="T174" s="8">
        <v>6750.0</v>
      </c>
      <c r="U174" s="7" t="s">
        <v>1769</v>
      </c>
      <c r="V174" s="7" t="s">
        <v>1770</v>
      </c>
      <c r="W174" s="7"/>
      <c r="X174" s="9">
        <v>1.0</v>
      </c>
      <c r="Y174" s="7" t="s">
        <v>1771</v>
      </c>
      <c r="Z174" s="7"/>
      <c r="AA174" s="7"/>
      <c r="AB174" s="7"/>
      <c r="AC174" s="7"/>
      <c r="AD174" s="7"/>
      <c r="AE174" s="7">
        <f t="shared" si="34"/>
        <v>0</v>
      </c>
      <c r="AF174" s="7"/>
      <c r="AG174" s="10">
        <f t="shared" si="35"/>
        <v>0</v>
      </c>
      <c r="AH174" s="10">
        <f t="shared" si="36"/>
        <v>0</v>
      </c>
      <c r="AI174" s="7"/>
      <c r="AJ174" s="7">
        <v>0.07705000000000001</v>
      </c>
      <c r="AK174" s="7"/>
      <c r="AL174" s="11">
        <v>45484.71680555555</v>
      </c>
    </row>
    <row r="175" ht="12.0" customHeight="1">
      <c r="A175" s="6" t="s">
        <v>276</v>
      </c>
      <c r="B175" s="7" t="s">
        <v>140</v>
      </c>
      <c r="C175" s="7" t="s">
        <v>1772</v>
      </c>
      <c r="D175" s="7" t="s">
        <v>1773</v>
      </c>
      <c r="E175" s="7" t="s">
        <v>1687</v>
      </c>
      <c r="F175" s="7" t="s">
        <v>1774</v>
      </c>
      <c r="G175" s="7" t="s">
        <v>540</v>
      </c>
      <c r="H175" s="7" t="s">
        <v>39</v>
      </c>
      <c r="I175" s="7" t="s">
        <v>40</v>
      </c>
      <c r="J175" s="7">
        <v>119.87917658307919</v>
      </c>
      <c r="K175" s="7">
        <v>-33.63748631107078</v>
      </c>
      <c r="L175" s="7" t="s">
        <v>41</v>
      </c>
      <c r="M175" s="7" t="s">
        <v>1775</v>
      </c>
      <c r="N175" s="7" t="s">
        <v>282</v>
      </c>
      <c r="O175" s="7" t="s">
        <v>282</v>
      </c>
      <c r="P175" s="7"/>
      <c r="Q175" s="7"/>
      <c r="R175" s="7" t="s">
        <v>1776</v>
      </c>
      <c r="S175" s="7" t="s">
        <v>58</v>
      </c>
      <c r="T175" s="8">
        <v>13000.0</v>
      </c>
      <c r="U175" s="7" t="s">
        <v>1777</v>
      </c>
      <c r="V175" s="7" t="s">
        <v>285</v>
      </c>
      <c r="W175" s="7"/>
      <c r="X175" s="9">
        <v>1.0</v>
      </c>
      <c r="Y175" s="7" t="s">
        <v>1778</v>
      </c>
      <c r="Z175" s="7"/>
      <c r="AA175" s="7">
        <f t="shared" ref="AA175:AA176" si="37">AB175+AC175+AF175</f>
        <v>385920</v>
      </c>
      <c r="AB175" s="7">
        <f>576000*0.67</f>
        <v>385920</v>
      </c>
      <c r="AC175" s="7"/>
      <c r="AD175" s="7"/>
      <c r="AE175" s="7">
        <f t="shared" si="34"/>
        <v>385920</v>
      </c>
      <c r="AF175" s="7"/>
      <c r="AG175" s="10">
        <f t="shared" si="35"/>
        <v>385920</v>
      </c>
      <c r="AH175" s="10">
        <f t="shared" si="36"/>
        <v>0</v>
      </c>
      <c r="AI175" s="7"/>
      <c r="AJ175" s="7">
        <v>0.04154</v>
      </c>
      <c r="AK175" s="7"/>
      <c r="AL175" s="11">
        <v>45138.08498842592</v>
      </c>
    </row>
    <row r="176" ht="12.0" customHeight="1">
      <c r="A176" s="6" t="s">
        <v>1779</v>
      </c>
      <c r="B176" s="7" t="s">
        <v>1780</v>
      </c>
      <c r="C176" s="7" t="s">
        <v>1781</v>
      </c>
      <c r="D176" s="7" t="s">
        <v>1782</v>
      </c>
      <c r="E176" s="7" t="s">
        <v>1687</v>
      </c>
      <c r="F176" s="7" t="s">
        <v>1783</v>
      </c>
      <c r="G176" s="7" t="s">
        <v>540</v>
      </c>
      <c r="H176" s="7" t="s">
        <v>39</v>
      </c>
      <c r="I176" s="7" t="s">
        <v>40</v>
      </c>
      <c r="J176" s="7">
        <v>119.62904038986451</v>
      </c>
      <c r="K176" s="7">
        <v>-31.770456078330604</v>
      </c>
      <c r="L176" s="7" t="s">
        <v>41</v>
      </c>
      <c r="M176" s="7" t="s">
        <v>1784</v>
      </c>
      <c r="N176" s="7" t="s">
        <v>1785</v>
      </c>
      <c r="O176" s="7" t="s">
        <v>1785</v>
      </c>
      <c r="P176" s="7"/>
      <c r="Q176" s="7"/>
      <c r="R176" s="7" t="s">
        <v>1786</v>
      </c>
      <c r="S176" s="7" t="s">
        <v>58</v>
      </c>
      <c r="T176" s="8">
        <v>19700.0</v>
      </c>
      <c r="U176" s="7" t="s">
        <v>1787</v>
      </c>
      <c r="V176" s="7" t="s">
        <v>1788</v>
      </c>
      <c r="W176" s="7"/>
      <c r="X176" s="9">
        <v>1.0</v>
      </c>
      <c r="Y176" s="7" t="s">
        <v>1789</v>
      </c>
      <c r="Z176" s="7"/>
      <c r="AA176" s="7">
        <f t="shared" si="37"/>
        <v>670000</v>
      </c>
      <c r="AB176" s="7">
        <v>670000.0</v>
      </c>
      <c r="AC176" s="7"/>
      <c r="AD176" s="7"/>
      <c r="AE176" s="7">
        <f t="shared" si="34"/>
        <v>670000</v>
      </c>
      <c r="AF176" s="7"/>
      <c r="AG176" s="10">
        <f t="shared" si="35"/>
        <v>670000</v>
      </c>
      <c r="AH176" s="10">
        <f t="shared" si="36"/>
        <v>0</v>
      </c>
      <c r="AI176" s="7"/>
      <c r="AJ176" s="7">
        <v>0.04757</v>
      </c>
      <c r="AK176" s="7"/>
      <c r="AL176" s="11">
        <v>45706.68377314815</v>
      </c>
    </row>
    <row r="177" ht="12.0" customHeight="1">
      <c r="A177" s="6" t="s">
        <v>1790</v>
      </c>
      <c r="B177" s="7" t="s">
        <v>1047</v>
      </c>
      <c r="C177" s="7" t="s">
        <v>1791</v>
      </c>
      <c r="D177" s="7" t="s">
        <v>1792</v>
      </c>
      <c r="E177" s="7" t="s">
        <v>1687</v>
      </c>
      <c r="F177" s="7"/>
      <c r="G177" s="7" t="s">
        <v>540</v>
      </c>
      <c r="H177" s="7" t="s">
        <v>39</v>
      </c>
      <c r="I177" s="7" t="s">
        <v>40</v>
      </c>
      <c r="J177" s="7">
        <v>119.17542077600714</v>
      </c>
      <c r="K177" s="7">
        <v>-21.604701719742383</v>
      </c>
      <c r="L177" s="7" t="s">
        <v>41</v>
      </c>
      <c r="M177" s="7" t="s">
        <v>1793</v>
      </c>
      <c r="N177" s="7" t="s">
        <v>1794</v>
      </c>
      <c r="O177" s="7" t="s">
        <v>1794</v>
      </c>
      <c r="P177" s="7"/>
      <c r="Q177" s="7"/>
      <c r="R177" s="7" t="s">
        <v>1795</v>
      </c>
      <c r="S177" s="7" t="s">
        <v>58</v>
      </c>
      <c r="T177" s="8">
        <v>0.0</v>
      </c>
      <c r="U177" s="7" t="s">
        <v>1796</v>
      </c>
      <c r="V177" s="7" t="s">
        <v>1797</v>
      </c>
      <c r="W177" s="7"/>
      <c r="X177" s="9">
        <v>1.0</v>
      </c>
      <c r="Y177" s="7" t="s">
        <v>1798</v>
      </c>
      <c r="Z177" s="7"/>
      <c r="AA177" s="7"/>
      <c r="AB177" s="7">
        <v>0.0</v>
      </c>
      <c r="AC177" s="7"/>
      <c r="AD177" s="7"/>
      <c r="AE177" s="7">
        <f t="shared" si="34"/>
        <v>0</v>
      </c>
      <c r="AF177" s="7"/>
      <c r="AG177" s="10">
        <f t="shared" si="35"/>
        <v>0</v>
      </c>
      <c r="AH177" s="10">
        <f t="shared" si="36"/>
        <v>0</v>
      </c>
      <c r="AI177" s="7"/>
      <c r="AJ177" s="7">
        <v>0.01541</v>
      </c>
      <c r="AK177" s="7"/>
      <c r="AL177" s="11">
        <v>45635.670682870375</v>
      </c>
    </row>
    <row r="178" ht="12.0" customHeight="1">
      <c r="A178" s="6" t="s">
        <v>1799</v>
      </c>
      <c r="B178" s="7" t="s">
        <v>1780</v>
      </c>
      <c r="C178" s="7" t="s">
        <v>1800</v>
      </c>
      <c r="D178" s="7" t="s">
        <v>1801</v>
      </c>
      <c r="E178" s="7" t="s">
        <v>1802</v>
      </c>
      <c r="F178" s="7"/>
      <c r="G178" s="7" t="s">
        <v>540</v>
      </c>
      <c r="H178" s="7" t="s">
        <v>39</v>
      </c>
      <c r="I178" s="7" t="s">
        <v>68</v>
      </c>
      <c r="J178" s="7">
        <v>141.58735954991286</v>
      </c>
      <c r="K178" s="7">
        <v>-31.501779023835702</v>
      </c>
      <c r="L178" s="7" t="s">
        <v>41</v>
      </c>
      <c r="M178" s="7" t="s">
        <v>1803</v>
      </c>
      <c r="N178" s="7" t="s">
        <v>1804</v>
      </c>
      <c r="O178" s="7" t="s">
        <v>1804</v>
      </c>
      <c r="P178" s="7"/>
      <c r="Q178" s="7"/>
      <c r="R178" s="7" t="s">
        <v>1805</v>
      </c>
      <c r="S178" s="7" t="s">
        <v>1806</v>
      </c>
      <c r="T178" s="8">
        <v>26000.0</v>
      </c>
      <c r="U178" s="7" t="s">
        <v>1807</v>
      </c>
      <c r="V178" s="7" t="s">
        <v>1808</v>
      </c>
      <c r="W178" s="7"/>
      <c r="X178" s="9">
        <v>0.9</v>
      </c>
      <c r="Y178" s="7" t="s">
        <v>1809</v>
      </c>
      <c r="Z178" s="7"/>
      <c r="AA178" s="7"/>
      <c r="AB178" s="7">
        <v>0.0</v>
      </c>
      <c r="AC178" s="7"/>
      <c r="AD178" s="7"/>
      <c r="AE178" s="7">
        <f t="shared" si="34"/>
        <v>0</v>
      </c>
      <c r="AF178" s="7"/>
      <c r="AG178" s="10">
        <f t="shared" si="35"/>
        <v>0</v>
      </c>
      <c r="AH178" s="10">
        <f t="shared" si="36"/>
        <v>0</v>
      </c>
      <c r="AI178" s="7"/>
      <c r="AJ178" s="7">
        <v>0.036180000000000004</v>
      </c>
      <c r="AK178" s="7"/>
      <c r="AL178" s="11">
        <v>45245.749826388885</v>
      </c>
    </row>
    <row r="179" ht="12.0" customHeight="1">
      <c r="A179" s="6" t="s">
        <v>1810</v>
      </c>
      <c r="B179" s="7" t="s">
        <v>1811</v>
      </c>
      <c r="C179" s="7" t="s">
        <v>1812</v>
      </c>
      <c r="D179" s="7" t="s">
        <v>1813</v>
      </c>
      <c r="E179" s="7" t="s">
        <v>1814</v>
      </c>
      <c r="F179" s="7" t="s">
        <v>1815</v>
      </c>
      <c r="G179" s="7" t="s">
        <v>540</v>
      </c>
      <c r="H179" s="7" t="s">
        <v>39</v>
      </c>
      <c r="I179" s="7" t="s">
        <v>40</v>
      </c>
      <c r="J179" s="7">
        <v>119.89412128953694</v>
      </c>
      <c r="K179" s="7">
        <v>-21.222726474107418</v>
      </c>
      <c r="L179" s="7" t="s">
        <v>41</v>
      </c>
      <c r="M179" s="7" t="s">
        <v>1816</v>
      </c>
      <c r="N179" s="7" t="s">
        <v>1739</v>
      </c>
      <c r="O179" s="7" t="s">
        <v>1739</v>
      </c>
      <c r="P179" s="7"/>
      <c r="Q179" s="7"/>
      <c r="R179" s="7" t="s">
        <v>1817</v>
      </c>
      <c r="S179" s="7" t="s">
        <v>58</v>
      </c>
      <c r="T179" s="8">
        <v>1900.0</v>
      </c>
      <c r="U179" s="7" t="s">
        <v>1818</v>
      </c>
      <c r="V179" s="7" t="s">
        <v>1819</v>
      </c>
      <c r="W179" s="7"/>
      <c r="X179" s="9">
        <v>1.0</v>
      </c>
      <c r="Y179" s="7" t="s">
        <v>1820</v>
      </c>
      <c r="Z179" s="7"/>
      <c r="AA179" s="7">
        <f>AB179+AC179+AF179</f>
        <v>154000</v>
      </c>
      <c r="AB179" s="7">
        <v>20000.0</v>
      </c>
      <c r="AC179" s="7"/>
      <c r="AD179" s="7">
        <v>230000.0</v>
      </c>
      <c r="AE179" s="7">
        <f t="shared" si="34"/>
        <v>154000</v>
      </c>
      <c r="AF179" s="7">
        <v>134000.0</v>
      </c>
      <c r="AG179" s="10">
        <f t="shared" si="35"/>
        <v>20000</v>
      </c>
      <c r="AH179" s="10">
        <f t="shared" si="36"/>
        <v>0</v>
      </c>
      <c r="AI179" s="7"/>
      <c r="AJ179" s="7">
        <v>0.0603</v>
      </c>
      <c r="AK179" s="7"/>
      <c r="AL179" s="11">
        <v>45733.73670138889</v>
      </c>
    </row>
    <row r="180" ht="12.0" customHeight="1">
      <c r="A180" s="6" t="s">
        <v>1821</v>
      </c>
      <c r="B180" s="7" t="s">
        <v>1822</v>
      </c>
      <c r="C180" s="7" t="s">
        <v>1823</v>
      </c>
      <c r="D180" s="7" t="s">
        <v>1824</v>
      </c>
      <c r="E180" s="7" t="s">
        <v>1825</v>
      </c>
      <c r="F180" s="7"/>
      <c r="G180" s="7" t="s">
        <v>38</v>
      </c>
      <c r="H180" s="7" t="s">
        <v>39</v>
      </c>
      <c r="I180" s="7" t="s">
        <v>40</v>
      </c>
      <c r="J180" s="7">
        <v>121.1020170023112</v>
      </c>
      <c r="K180" s="7">
        <v>-22.115862232398552</v>
      </c>
      <c r="L180" s="7" t="s">
        <v>41</v>
      </c>
      <c r="M180" s="7" t="s">
        <v>1826</v>
      </c>
      <c r="N180" s="7" t="s">
        <v>1827</v>
      </c>
      <c r="O180" s="7" t="s">
        <v>1828</v>
      </c>
      <c r="P180" s="7"/>
      <c r="Q180" s="7" t="s">
        <v>1829</v>
      </c>
      <c r="R180" s="7" t="s">
        <v>1830</v>
      </c>
      <c r="S180" s="7" t="s">
        <v>58</v>
      </c>
      <c r="T180" s="8">
        <v>0.0</v>
      </c>
      <c r="U180" s="15" t="s">
        <v>1831</v>
      </c>
      <c r="V180" s="7" t="s">
        <v>1832</v>
      </c>
      <c r="W180" s="7"/>
      <c r="X180" s="9">
        <v>1.0</v>
      </c>
      <c r="Y180" s="7" t="s">
        <v>1833</v>
      </c>
      <c r="Z180" s="7"/>
      <c r="AA180" s="10">
        <f>AB180+AC180+AH180</f>
        <v>11470100</v>
      </c>
      <c r="AB180" s="7">
        <v>33500.0</v>
      </c>
      <c r="AC180" s="7">
        <v>1400000.0</v>
      </c>
      <c r="AD180" s="7">
        <v>2981500.0</v>
      </c>
      <c r="AE180" s="10">
        <f t="shared" si="34"/>
        <v>10070100</v>
      </c>
      <c r="AF180" s="10">
        <f>AH180</f>
        <v>10036600</v>
      </c>
      <c r="AG180" s="10">
        <f t="shared" si="35"/>
        <v>10070100</v>
      </c>
      <c r="AH180" s="10">
        <f t="shared" si="36"/>
        <v>10036600</v>
      </c>
      <c r="AI180" s="7">
        <v>2000000.0</v>
      </c>
      <c r="AJ180" s="7">
        <v>5.018300000000001</v>
      </c>
      <c r="AK180" s="7"/>
      <c r="AL180" s="11">
        <v>45691.6950462963</v>
      </c>
    </row>
    <row r="181" ht="12.0" customHeight="1">
      <c r="A181" s="6" t="s">
        <v>1587</v>
      </c>
      <c r="B181" s="7" t="s">
        <v>1755</v>
      </c>
      <c r="C181" s="7" t="s">
        <v>1834</v>
      </c>
      <c r="D181" s="7" t="s">
        <v>1835</v>
      </c>
      <c r="E181" s="7" t="s">
        <v>1825</v>
      </c>
      <c r="F181" s="7"/>
      <c r="G181" s="7" t="s">
        <v>38</v>
      </c>
      <c r="H181" s="7" t="s">
        <v>39</v>
      </c>
      <c r="I181" s="7" t="s">
        <v>40</v>
      </c>
      <c r="J181" s="7">
        <v>118.88753751298671</v>
      </c>
      <c r="K181" s="7">
        <v>-20.427564627389295</v>
      </c>
      <c r="L181" s="7" t="s">
        <v>41</v>
      </c>
      <c r="M181" s="7" t="s">
        <v>1836</v>
      </c>
      <c r="N181" s="7" t="s">
        <v>1592</v>
      </c>
      <c r="O181" s="7" t="s">
        <v>1592</v>
      </c>
      <c r="P181" s="7"/>
      <c r="Q181" s="7"/>
      <c r="R181" s="7" t="s">
        <v>1837</v>
      </c>
      <c r="S181" s="7" t="s">
        <v>58</v>
      </c>
      <c r="T181" s="8">
        <v>4772.5</v>
      </c>
      <c r="U181" s="7" t="s">
        <v>1838</v>
      </c>
      <c r="V181" s="7" t="s">
        <v>1595</v>
      </c>
      <c r="W181" s="7"/>
      <c r="X181" s="9">
        <v>0.8</v>
      </c>
      <c r="Y181" s="7" t="s">
        <v>1839</v>
      </c>
      <c r="Z181" s="7"/>
      <c r="AA181" s="7"/>
      <c r="AB181" s="7"/>
      <c r="AC181" s="7"/>
      <c r="AD181" s="7"/>
      <c r="AE181" s="7">
        <f t="shared" si="34"/>
        <v>0</v>
      </c>
      <c r="AF181" s="7"/>
      <c r="AG181" s="10">
        <f t="shared" si="35"/>
        <v>0</v>
      </c>
      <c r="AH181" s="10">
        <f t="shared" si="36"/>
        <v>0</v>
      </c>
      <c r="AI181" s="7"/>
      <c r="AJ181" s="7">
        <v>0.0067</v>
      </c>
      <c r="AK181" s="7">
        <v>1.5</v>
      </c>
      <c r="AL181" s="11">
        <v>45620.66924768519</v>
      </c>
    </row>
    <row r="182" ht="12.0" customHeight="1">
      <c r="A182" s="6" t="s">
        <v>1587</v>
      </c>
      <c r="B182" s="7" t="s">
        <v>435</v>
      </c>
      <c r="C182" s="7" t="s">
        <v>1840</v>
      </c>
      <c r="D182" s="7" t="s">
        <v>1841</v>
      </c>
      <c r="E182" s="7" t="s">
        <v>1825</v>
      </c>
      <c r="F182" s="7" t="s">
        <v>1842</v>
      </c>
      <c r="G182" s="7" t="s">
        <v>540</v>
      </c>
      <c r="H182" s="7" t="s">
        <v>39</v>
      </c>
      <c r="I182" s="7" t="s">
        <v>40</v>
      </c>
      <c r="J182" s="7">
        <v>121.20606046899461</v>
      </c>
      <c r="K182" s="7">
        <v>-22.108333294794576</v>
      </c>
      <c r="L182" s="7" t="s">
        <v>41</v>
      </c>
      <c r="M182" s="7" t="s">
        <v>1843</v>
      </c>
      <c r="N182" s="7" t="s">
        <v>1844</v>
      </c>
      <c r="O182" s="7" t="s">
        <v>1592</v>
      </c>
      <c r="P182" s="7"/>
      <c r="Q182" s="7"/>
      <c r="R182" s="7" t="s">
        <v>1845</v>
      </c>
      <c r="S182" s="7" t="s">
        <v>58</v>
      </c>
      <c r="T182" s="8">
        <v>0.0</v>
      </c>
      <c r="U182" s="7" t="s">
        <v>1846</v>
      </c>
      <c r="V182" s="7" t="s">
        <v>1595</v>
      </c>
      <c r="W182" s="7"/>
      <c r="X182" s="9">
        <v>0.8</v>
      </c>
      <c r="Y182" s="7" t="s">
        <v>1847</v>
      </c>
      <c r="Z182" s="7"/>
      <c r="AA182" s="7">
        <f>AC182</f>
        <v>52762.5</v>
      </c>
      <c r="AB182" s="7"/>
      <c r="AC182" s="7">
        <f>78750*0.67</f>
        <v>52762.5</v>
      </c>
      <c r="AD182" s="7"/>
      <c r="AE182" s="7">
        <f t="shared" si="34"/>
        <v>0</v>
      </c>
      <c r="AF182" s="7"/>
      <c r="AG182" s="10">
        <f t="shared" si="35"/>
        <v>0</v>
      </c>
      <c r="AH182" s="10">
        <f t="shared" si="36"/>
        <v>0</v>
      </c>
      <c r="AI182" s="7"/>
      <c r="AJ182" s="7">
        <v>0.0067</v>
      </c>
      <c r="AK182" s="7"/>
      <c r="AL182" s="11">
        <v>45579.716736111106</v>
      </c>
    </row>
    <row r="183" ht="12.0" customHeight="1">
      <c r="A183" s="6" t="s">
        <v>1763</v>
      </c>
      <c r="B183" s="7" t="s">
        <v>1848</v>
      </c>
      <c r="C183" s="7" t="s">
        <v>1764</v>
      </c>
      <c r="D183" s="7" t="s">
        <v>1849</v>
      </c>
      <c r="E183" s="7" t="s">
        <v>1825</v>
      </c>
      <c r="F183" s="7"/>
      <c r="G183" s="7" t="s">
        <v>540</v>
      </c>
      <c r="H183" s="7" t="s">
        <v>39</v>
      </c>
      <c r="I183" s="7" t="s">
        <v>40</v>
      </c>
      <c r="J183" s="7">
        <v>120.66348037350248</v>
      </c>
      <c r="K183" s="7">
        <v>-21.038725706701058</v>
      </c>
      <c r="L183" s="7" t="s">
        <v>41</v>
      </c>
      <c r="M183" s="7" t="s">
        <v>1850</v>
      </c>
      <c r="N183" s="7" t="s">
        <v>1767</v>
      </c>
      <c r="O183" s="7" t="s">
        <v>1767</v>
      </c>
      <c r="P183" s="7"/>
      <c r="Q183" s="7"/>
      <c r="R183" s="7" t="s">
        <v>1851</v>
      </c>
      <c r="S183" s="7" t="s">
        <v>58</v>
      </c>
      <c r="T183" s="8">
        <v>0.0</v>
      </c>
      <c r="U183" s="7" t="s">
        <v>1852</v>
      </c>
      <c r="V183" s="7" t="s">
        <v>1770</v>
      </c>
      <c r="W183" s="7"/>
      <c r="X183" s="9">
        <v>1.0</v>
      </c>
      <c r="Y183" s="7" t="s">
        <v>1853</v>
      </c>
      <c r="Z183" s="7"/>
      <c r="AA183" s="7"/>
      <c r="AB183" s="7"/>
      <c r="AC183" s="7"/>
      <c r="AD183" s="7"/>
      <c r="AE183" s="7">
        <f t="shared" si="34"/>
        <v>0</v>
      </c>
      <c r="AF183" s="7"/>
      <c r="AG183" s="10">
        <f t="shared" si="35"/>
        <v>0</v>
      </c>
      <c r="AH183" s="10">
        <f t="shared" si="36"/>
        <v>0</v>
      </c>
      <c r="AI183" s="7"/>
      <c r="AJ183" s="7">
        <v>0.07705000000000001</v>
      </c>
      <c r="AK183" s="7"/>
      <c r="AL183" s="11">
        <v>45698.66667824074</v>
      </c>
    </row>
    <row r="184" ht="12.0" customHeight="1">
      <c r="A184" s="6" t="s">
        <v>1587</v>
      </c>
      <c r="B184" s="7" t="s">
        <v>435</v>
      </c>
      <c r="C184" s="7" t="s">
        <v>1840</v>
      </c>
      <c r="D184" s="7" t="s">
        <v>1854</v>
      </c>
      <c r="E184" s="7" t="s">
        <v>1825</v>
      </c>
      <c r="F184" s="7"/>
      <c r="G184" s="7" t="s">
        <v>540</v>
      </c>
      <c r="H184" s="7" t="s">
        <v>39</v>
      </c>
      <c r="I184" s="7" t="s">
        <v>40</v>
      </c>
      <c r="J184" s="7">
        <v>120.88750021875605</v>
      </c>
      <c r="K184" s="7">
        <v>-21.942707936822654</v>
      </c>
      <c r="L184" s="7" t="s">
        <v>41</v>
      </c>
      <c r="M184" s="7" t="s">
        <v>1855</v>
      </c>
      <c r="N184" s="7" t="s">
        <v>1592</v>
      </c>
      <c r="O184" s="7" t="s">
        <v>1592</v>
      </c>
      <c r="P184" s="7"/>
      <c r="Q184" s="7"/>
      <c r="R184" s="7" t="s">
        <v>1856</v>
      </c>
      <c r="S184" s="7" t="s">
        <v>58</v>
      </c>
      <c r="T184" s="8">
        <v>5100.0</v>
      </c>
      <c r="U184" s="7" t="s">
        <v>1857</v>
      </c>
      <c r="V184" s="7" t="s">
        <v>1595</v>
      </c>
      <c r="W184" s="7"/>
      <c r="X184" s="9">
        <v>0.8</v>
      </c>
      <c r="Y184" s="7" t="s">
        <v>1858</v>
      </c>
      <c r="Z184" s="7"/>
      <c r="AA184" s="7">
        <f t="shared" ref="AA184:AA188" si="38">AB184+AC184+AF184</f>
        <v>163001.25</v>
      </c>
      <c r="AB184" s="7">
        <v>50501.25</v>
      </c>
      <c r="AC184" s="7">
        <v>112500.0</v>
      </c>
      <c r="AD184" s="7"/>
      <c r="AE184" s="7">
        <f t="shared" si="34"/>
        <v>50501.25</v>
      </c>
      <c r="AF184" s="7"/>
      <c r="AG184" s="10">
        <f t="shared" si="35"/>
        <v>50501.25</v>
      </c>
      <c r="AH184" s="10">
        <f t="shared" si="36"/>
        <v>0</v>
      </c>
      <c r="AI184" s="7"/>
      <c r="AJ184" s="7">
        <v>0.0067</v>
      </c>
      <c r="AK184" s="7"/>
      <c r="AL184" s="11">
        <v>45579.70979166667</v>
      </c>
    </row>
    <row r="185" ht="12.0" customHeight="1">
      <c r="A185" s="6" t="s">
        <v>1859</v>
      </c>
      <c r="B185" s="7" t="s">
        <v>1860</v>
      </c>
      <c r="C185" s="7" t="s">
        <v>1861</v>
      </c>
      <c r="D185" s="7" t="s">
        <v>1862</v>
      </c>
      <c r="E185" s="7" t="s">
        <v>1863</v>
      </c>
      <c r="F185" s="7"/>
      <c r="G185" s="7" t="s">
        <v>38</v>
      </c>
      <c r="H185" s="7" t="s">
        <v>39</v>
      </c>
      <c r="I185" s="7" t="s">
        <v>79</v>
      </c>
      <c r="J185" s="7">
        <v>146.5923053762665</v>
      </c>
      <c r="K185" s="7">
        <v>-36.43074843068738</v>
      </c>
      <c r="L185" s="7" t="s">
        <v>41</v>
      </c>
      <c r="M185" s="7" t="s">
        <v>1864</v>
      </c>
      <c r="N185" s="7" t="s">
        <v>1865</v>
      </c>
      <c r="O185" s="7"/>
      <c r="P185" s="7" t="s">
        <v>1866</v>
      </c>
      <c r="Q185" s="7"/>
      <c r="R185" s="7" t="s">
        <v>1867</v>
      </c>
      <c r="S185" s="7" t="s">
        <v>58</v>
      </c>
      <c r="T185" s="8">
        <v>0.0</v>
      </c>
      <c r="U185" s="12" t="s">
        <v>1868</v>
      </c>
      <c r="V185" s="7"/>
      <c r="W185" s="7"/>
      <c r="X185" s="7"/>
      <c r="Y185" s="7"/>
      <c r="Z185" s="7"/>
      <c r="AA185" s="10">
        <f t="shared" si="38"/>
        <v>93800</v>
      </c>
      <c r="AB185" s="7"/>
      <c r="AC185" s="7"/>
      <c r="AD185" s="7"/>
      <c r="AE185" s="10">
        <f t="shared" si="34"/>
        <v>93800</v>
      </c>
      <c r="AF185" s="10">
        <v>93800.00000000001</v>
      </c>
      <c r="AG185" s="10">
        <f t="shared" si="35"/>
        <v>93800</v>
      </c>
      <c r="AH185" s="10">
        <f t="shared" si="36"/>
        <v>93800</v>
      </c>
      <c r="AI185" s="7">
        <v>2000000.0</v>
      </c>
      <c r="AJ185" s="7">
        <v>0.046900000000000004</v>
      </c>
      <c r="AK185" s="7"/>
      <c r="AL185" s="11">
        <v>45729.086805555555</v>
      </c>
    </row>
    <row r="186" ht="12.0" customHeight="1">
      <c r="A186" s="6" t="s">
        <v>594</v>
      </c>
      <c r="B186" s="7" t="s">
        <v>869</v>
      </c>
      <c r="C186" s="7" t="s">
        <v>596</v>
      </c>
      <c r="D186" s="7" t="s">
        <v>1869</v>
      </c>
      <c r="E186" s="7" t="s">
        <v>1870</v>
      </c>
      <c r="F186" s="7"/>
      <c r="G186" s="7" t="s">
        <v>38</v>
      </c>
      <c r="H186" s="7" t="s">
        <v>39</v>
      </c>
      <c r="I186" s="7" t="s">
        <v>68</v>
      </c>
      <c r="J186" s="7">
        <v>151.98895322364623</v>
      </c>
      <c r="K186" s="7">
        <v>-29.741861485236335</v>
      </c>
      <c r="L186" s="7" t="s">
        <v>41</v>
      </c>
      <c r="M186" s="7" t="s">
        <v>1871</v>
      </c>
      <c r="N186" s="7" t="s">
        <v>600</v>
      </c>
      <c r="O186" s="7" t="s">
        <v>600</v>
      </c>
      <c r="P186" s="7"/>
      <c r="Q186" s="7"/>
      <c r="R186" s="7" t="s">
        <v>1872</v>
      </c>
      <c r="S186" s="7" t="s">
        <v>58</v>
      </c>
      <c r="T186" s="8">
        <v>24.28</v>
      </c>
      <c r="U186" s="7" t="s">
        <v>1873</v>
      </c>
      <c r="V186" s="7" t="s">
        <v>603</v>
      </c>
      <c r="W186" s="7"/>
      <c r="X186" s="9">
        <v>1.0</v>
      </c>
      <c r="Y186" s="7" t="s">
        <v>1874</v>
      </c>
      <c r="Z186" s="7"/>
      <c r="AA186" s="7">
        <f t="shared" si="38"/>
        <v>160000</v>
      </c>
      <c r="AB186" s="7">
        <v>160000.0</v>
      </c>
      <c r="AC186" s="7"/>
      <c r="AD186" s="7"/>
      <c r="AE186" s="7">
        <f t="shared" si="34"/>
        <v>160000</v>
      </c>
      <c r="AF186" s="7"/>
      <c r="AG186" s="10">
        <f t="shared" si="35"/>
        <v>160000</v>
      </c>
      <c r="AH186" s="10">
        <f t="shared" si="36"/>
        <v>0</v>
      </c>
      <c r="AI186" s="7"/>
      <c r="AJ186" s="7">
        <v>0.06365</v>
      </c>
      <c r="AK186" s="7"/>
      <c r="AL186" s="11">
        <v>45602.70229166667</v>
      </c>
    </row>
    <row r="187" ht="12.0" customHeight="1">
      <c r="A187" s="6" t="s">
        <v>1875</v>
      </c>
      <c r="B187" s="7" t="s">
        <v>1876</v>
      </c>
      <c r="C187" s="7" t="s">
        <v>1877</v>
      </c>
      <c r="D187" s="7" t="s">
        <v>1878</v>
      </c>
      <c r="E187" s="7" t="s">
        <v>1879</v>
      </c>
      <c r="F187" s="7" t="s">
        <v>1880</v>
      </c>
      <c r="G187" s="7" t="s">
        <v>38</v>
      </c>
      <c r="H187" s="7" t="s">
        <v>39</v>
      </c>
      <c r="I187" s="7" t="s">
        <v>40</v>
      </c>
      <c r="J187" s="7">
        <v>115.74785838759679</v>
      </c>
      <c r="K187" s="7">
        <v>-23.835477416389885</v>
      </c>
      <c r="L187" s="7" t="s">
        <v>41</v>
      </c>
      <c r="M187" s="7" t="s">
        <v>1881</v>
      </c>
      <c r="N187" s="7" t="s">
        <v>1882</v>
      </c>
      <c r="O187" s="7" t="s">
        <v>1882</v>
      </c>
      <c r="P187" s="7"/>
      <c r="Q187" s="7"/>
      <c r="R187" s="7" t="s">
        <v>1883</v>
      </c>
      <c r="S187" s="7" t="s">
        <v>58</v>
      </c>
      <c r="T187" s="8">
        <v>3000.0</v>
      </c>
      <c r="U187" s="7" t="s">
        <v>1884</v>
      </c>
      <c r="V187" s="7" t="s">
        <v>1885</v>
      </c>
      <c r="W187" s="7"/>
      <c r="X187" s="9">
        <v>1.0</v>
      </c>
      <c r="Y187" s="7" t="s">
        <v>1886</v>
      </c>
      <c r="Z187" s="7"/>
      <c r="AA187" s="7">
        <f t="shared" si="38"/>
        <v>268000</v>
      </c>
      <c r="AB187" s="7">
        <f>200000*0.67</f>
        <v>134000</v>
      </c>
      <c r="AC187" s="7"/>
      <c r="AD187" s="7"/>
      <c r="AE187" s="7">
        <f t="shared" si="34"/>
        <v>268000</v>
      </c>
      <c r="AF187" s="7">
        <f>200000*0.67</f>
        <v>134000</v>
      </c>
      <c r="AG187" s="10">
        <f t="shared" si="35"/>
        <v>134000</v>
      </c>
      <c r="AH187" s="10">
        <f t="shared" si="36"/>
        <v>0</v>
      </c>
      <c r="AI187" s="7"/>
      <c r="AJ187" s="7">
        <v>0.00804</v>
      </c>
      <c r="AK187" s="7">
        <v>1.0</v>
      </c>
      <c r="AL187" s="11">
        <v>45740.67982638889</v>
      </c>
    </row>
    <row r="188" ht="12.0" customHeight="1">
      <c r="A188" s="6" t="s">
        <v>1887</v>
      </c>
      <c r="B188" s="7" t="s">
        <v>817</v>
      </c>
      <c r="C188" s="7" t="s">
        <v>1888</v>
      </c>
      <c r="D188" s="7" t="s">
        <v>1889</v>
      </c>
      <c r="E188" s="7" t="s">
        <v>1890</v>
      </c>
      <c r="F188" s="7" t="s">
        <v>1891</v>
      </c>
      <c r="G188" s="7" t="s">
        <v>540</v>
      </c>
      <c r="H188" s="7" t="s">
        <v>39</v>
      </c>
      <c r="I188" s="7" t="s">
        <v>40</v>
      </c>
      <c r="J188" s="7">
        <v>128.3176134562771</v>
      </c>
      <c r="K188" s="7">
        <v>-21.363825670396135</v>
      </c>
      <c r="L188" s="7" t="s">
        <v>41</v>
      </c>
      <c r="M188" s="7" t="s">
        <v>1892</v>
      </c>
      <c r="N188" s="7" t="s">
        <v>1893</v>
      </c>
      <c r="O188" s="7" t="s">
        <v>1893</v>
      </c>
      <c r="P188" s="7"/>
      <c r="Q188" s="7"/>
      <c r="R188" s="7" t="s">
        <v>1894</v>
      </c>
      <c r="S188" s="7" t="s">
        <v>58</v>
      </c>
      <c r="T188" s="8">
        <v>0.0</v>
      </c>
      <c r="U188" s="7" t="s">
        <v>1895</v>
      </c>
      <c r="V188" s="7" t="s">
        <v>1896</v>
      </c>
      <c r="W188" s="7"/>
      <c r="X188" s="9">
        <v>1.0</v>
      </c>
      <c r="Y188" s="7" t="s">
        <v>1897</v>
      </c>
      <c r="Z188" s="7"/>
      <c r="AA188" s="10">
        <f t="shared" si="38"/>
        <v>47528.125</v>
      </c>
      <c r="AB188" s="13">
        <v>40200.0</v>
      </c>
      <c r="AC188" s="7"/>
      <c r="AD188" s="7">
        <v>35000.0</v>
      </c>
      <c r="AE188" s="10">
        <f t="shared" si="34"/>
        <v>47528.125</v>
      </c>
      <c r="AF188" s="10">
        <f>AH188</f>
        <v>7328.125</v>
      </c>
      <c r="AG188" s="10">
        <f t="shared" si="35"/>
        <v>47528.125</v>
      </c>
      <c r="AH188" s="10">
        <f t="shared" si="36"/>
        <v>7328.125</v>
      </c>
      <c r="AI188" s="7">
        <v>1562500.0</v>
      </c>
      <c r="AJ188" s="7">
        <v>0.004690000000000001</v>
      </c>
      <c r="AK188" s="7"/>
      <c r="AL188" s="11">
        <v>45490.684386574074</v>
      </c>
    </row>
    <row r="189" ht="12.0" customHeight="1">
      <c r="A189" s="6" t="s">
        <v>1898</v>
      </c>
      <c r="B189" s="7" t="s">
        <v>1254</v>
      </c>
      <c r="C189" s="7" t="s">
        <v>1899</v>
      </c>
      <c r="D189" s="7" t="s">
        <v>1900</v>
      </c>
      <c r="E189" s="7" t="s">
        <v>1901</v>
      </c>
      <c r="F189" s="7" t="s">
        <v>1902</v>
      </c>
      <c r="G189" s="7" t="s">
        <v>540</v>
      </c>
      <c r="H189" s="7" t="s">
        <v>39</v>
      </c>
      <c r="I189" s="7" t="s">
        <v>1025</v>
      </c>
      <c r="J189" s="7">
        <v>135.0740474861122</v>
      </c>
      <c r="K189" s="7">
        <v>-23.077857083788807</v>
      </c>
      <c r="L189" s="7" t="s">
        <v>41</v>
      </c>
      <c r="M189" s="7" t="s">
        <v>1903</v>
      </c>
      <c r="N189" s="7" t="s">
        <v>1904</v>
      </c>
      <c r="O189" s="7" t="s">
        <v>1904</v>
      </c>
      <c r="P189" s="7"/>
      <c r="Q189" s="7"/>
      <c r="R189" s="7" t="s">
        <v>1905</v>
      </c>
      <c r="S189" s="7" t="s">
        <v>58</v>
      </c>
      <c r="T189" s="8">
        <v>11000.0</v>
      </c>
      <c r="U189" s="7" t="s">
        <v>1906</v>
      </c>
      <c r="V189" s="7" t="s">
        <v>1907</v>
      </c>
      <c r="W189" s="7"/>
      <c r="X189" s="9">
        <v>0.85</v>
      </c>
      <c r="Y189" s="7" t="s">
        <v>1908</v>
      </c>
      <c r="Z189" s="7"/>
      <c r="AA189" s="7"/>
      <c r="AB189" s="7">
        <v>90450.0</v>
      </c>
      <c r="AC189" s="7"/>
      <c r="AD189" s="7"/>
      <c r="AE189" s="7">
        <f t="shared" si="34"/>
        <v>607120</v>
      </c>
      <c r="AF189" s="7">
        <v>516670.0</v>
      </c>
      <c r="AG189" s="10">
        <f t="shared" si="35"/>
        <v>1433793.3</v>
      </c>
      <c r="AH189" s="10">
        <f t="shared" si="36"/>
        <v>1343343.3</v>
      </c>
      <c r="AI189" s="7">
        <v>1.5423E8</v>
      </c>
      <c r="AJ189" s="7">
        <v>0.00871</v>
      </c>
      <c r="AK189" s="7">
        <v>2.0</v>
      </c>
      <c r="AL189" s="11">
        <v>45585.67730324074</v>
      </c>
    </row>
    <row r="190" ht="12.0" customHeight="1">
      <c r="A190" s="6" t="s">
        <v>1135</v>
      </c>
      <c r="B190" s="7" t="s">
        <v>1909</v>
      </c>
      <c r="C190" s="7" t="s">
        <v>1910</v>
      </c>
      <c r="D190" s="7" t="s">
        <v>1911</v>
      </c>
      <c r="E190" s="7" t="s">
        <v>1912</v>
      </c>
      <c r="F190" s="7"/>
      <c r="G190" s="7" t="s">
        <v>540</v>
      </c>
      <c r="H190" s="7" t="s">
        <v>39</v>
      </c>
      <c r="I190" s="7" t="s">
        <v>40</v>
      </c>
      <c r="J190" s="7">
        <v>120.2957307158406</v>
      </c>
      <c r="K190" s="7">
        <v>-28.3362474177965</v>
      </c>
      <c r="L190" s="7" t="s">
        <v>41</v>
      </c>
      <c r="M190" s="7" t="s">
        <v>1913</v>
      </c>
      <c r="N190" s="7" t="s">
        <v>1141</v>
      </c>
      <c r="O190" s="7" t="s">
        <v>1141</v>
      </c>
      <c r="P190" s="7"/>
      <c r="Q190" s="7"/>
      <c r="R190" s="7" t="s">
        <v>1914</v>
      </c>
      <c r="S190" s="7" t="s">
        <v>58</v>
      </c>
      <c r="T190" s="8">
        <v>1200.0</v>
      </c>
      <c r="U190" s="7" t="s">
        <v>1915</v>
      </c>
      <c r="V190" s="7" t="s">
        <v>1144</v>
      </c>
      <c r="W190" s="7"/>
      <c r="X190" s="9">
        <v>0.95</v>
      </c>
      <c r="Y190" s="7" t="s">
        <v>1916</v>
      </c>
      <c r="Z190" s="7"/>
      <c r="AA190" s="10">
        <f t="shared" ref="AA190:AA191" si="39">AB190+AC190+AF190</f>
        <v>171590</v>
      </c>
      <c r="AB190" s="7">
        <v>33500.0</v>
      </c>
      <c r="AC190" s="7">
        <v>120000.0</v>
      </c>
      <c r="AD190" s="7"/>
      <c r="AE190" s="10">
        <f t="shared" si="34"/>
        <v>51590</v>
      </c>
      <c r="AF190" s="10">
        <f t="shared" ref="AF190:AF191" si="40">AH190</f>
        <v>18090</v>
      </c>
      <c r="AG190" s="10">
        <f t="shared" si="35"/>
        <v>51590</v>
      </c>
      <c r="AH190" s="10">
        <f t="shared" si="36"/>
        <v>18090</v>
      </c>
      <c r="AI190" s="7">
        <v>1000000.0</v>
      </c>
      <c r="AJ190" s="7">
        <v>0.018090000000000002</v>
      </c>
      <c r="AK190" s="7">
        <v>1.5</v>
      </c>
      <c r="AL190" s="11">
        <v>45509.67805555556</v>
      </c>
    </row>
    <row r="191" ht="12.0" customHeight="1">
      <c r="A191" s="6" t="s">
        <v>1917</v>
      </c>
      <c r="B191" s="7" t="s">
        <v>1641</v>
      </c>
      <c r="C191" s="7" t="s">
        <v>1918</v>
      </c>
      <c r="D191" s="7" t="s">
        <v>1919</v>
      </c>
      <c r="E191" s="7" t="s">
        <v>1920</v>
      </c>
      <c r="F191" s="7" t="s">
        <v>1921</v>
      </c>
      <c r="G191" s="7" t="s">
        <v>540</v>
      </c>
      <c r="H191" s="7" t="s">
        <v>39</v>
      </c>
      <c r="I191" s="7" t="s">
        <v>598</v>
      </c>
      <c r="J191" s="7">
        <v>134.7485550165555</v>
      </c>
      <c r="K191" s="7">
        <v>-31.09054884274663</v>
      </c>
      <c r="L191" s="7" t="s">
        <v>41</v>
      </c>
      <c r="M191" s="7" t="s">
        <v>1922</v>
      </c>
      <c r="N191" s="7" t="s">
        <v>1923</v>
      </c>
      <c r="O191" s="7" t="s">
        <v>1923</v>
      </c>
      <c r="P191" s="7"/>
      <c r="Q191" s="7"/>
      <c r="R191" s="7" t="s">
        <v>1924</v>
      </c>
      <c r="S191" s="7" t="s">
        <v>932</v>
      </c>
      <c r="T191" s="8">
        <v>75900.0</v>
      </c>
      <c r="U191" s="7" t="s">
        <v>1925</v>
      </c>
      <c r="V191" s="7" t="s">
        <v>1926</v>
      </c>
      <c r="W191" s="7"/>
      <c r="X191" s="9">
        <v>1.0</v>
      </c>
      <c r="Y191" s="7" t="s">
        <v>1927</v>
      </c>
      <c r="Z191" s="7"/>
      <c r="AA191" s="10">
        <f t="shared" si="39"/>
        <v>911803</v>
      </c>
      <c r="AB191" s="7">
        <v>134000.0</v>
      </c>
      <c r="AC191" s="7"/>
      <c r="AD191" s="7">
        <v>2.2E7</v>
      </c>
      <c r="AE191" s="10">
        <f t="shared" si="34"/>
        <v>911803</v>
      </c>
      <c r="AF191" s="10">
        <f t="shared" si="40"/>
        <v>777803</v>
      </c>
      <c r="AG191" s="10">
        <f t="shared" si="35"/>
        <v>911803</v>
      </c>
      <c r="AH191" s="10">
        <f t="shared" si="36"/>
        <v>777803</v>
      </c>
      <c r="AI191" s="7">
        <v>8.93E7</v>
      </c>
      <c r="AJ191" s="7">
        <v>0.00871</v>
      </c>
      <c r="AK191" s="7">
        <v>1.0</v>
      </c>
      <c r="AL191" s="11">
        <v>45644.720300925925</v>
      </c>
    </row>
    <row r="192" ht="12.0" customHeight="1">
      <c r="A192" s="17" t="s">
        <v>1928</v>
      </c>
      <c r="B192" s="18" t="s">
        <v>1929</v>
      </c>
      <c r="C192" s="18" t="s">
        <v>1930</v>
      </c>
      <c r="D192" s="18" t="s">
        <v>1931</v>
      </c>
      <c r="E192" s="18" t="s">
        <v>1932</v>
      </c>
      <c r="F192" s="18"/>
      <c r="G192" s="18" t="s">
        <v>38</v>
      </c>
      <c r="H192" s="18" t="s">
        <v>39</v>
      </c>
      <c r="I192" s="18" t="s">
        <v>40</v>
      </c>
      <c r="J192" s="18">
        <v>116.22486816239517</v>
      </c>
      <c r="K192" s="18">
        <v>-31.513305637715888</v>
      </c>
      <c r="L192" s="18" t="s">
        <v>41</v>
      </c>
      <c r="M192" s="18" t="s">
        <v>1933</v>
      </c>
      <c r="N192" s="18" t="s">
        <v>1934</v>
      </c>
      <c r="O192" s="18" t="s">
        <v>1934</v>
      </c>
      <c r="P192" s="18"/>
      <c r="Q192" s="18"/>
      <c r="R192" s="18" t="s">
        <v>1935</v>
      </c>
      <c r="S192" s="18" t="s">
        <v>45</v>
      </c>
      <c r="T192" s="19">
        <v>180000.0</v>
      </c>
      <c r="U192" s="23" t="s">
        <v>1936</v>
      </c>
      <c r="V192" s="18" t="s">
        <v>1937</v>
      </c>
      <c r="W192" s="18"/>
      <c r="X192" s="20">
        <v>1.0</v>
      </c>
      <c r="Y192" s="18" t="s">
        <v>1938</v>
      </c>
      <c r="Z192" s="18"/>
      <c r="AA192" s="18"/>
      <c r="AB192" s="18">
        <v>50000.0</v>
      </c>
      <c r="AC192" s="18"/>
      <c r="AD192" s="18"/>
      <c r="AE192" s="18">
        <f t="shared" si="34"/>
        <v>1400000</v>
      </c>
      <c r="AF192" s="18">
        <v>1350000.0</v>
      </c>
      <c r="AG192" s="21">
        <f t="shared" si="35"/>
        <v>50000</v>
      </c>
      <c r="AH192" s="21">
        <f t="shared" si="36"/>
        <v>0</v>
      </c>
      <c r="AI192" s="18"/>
      <c r="AJ192" s="18">
        <v>0.8174</v>
      </c>
      <c r="AK192" s="18"/>
      <c r="AL192" s="22">
        <v>45068.865648148145</v>
      </c>
    </row>
    <row r="193" ht="12.0" customHeight="1">
      <c r="A193" s="6" t="s">
        <v>1939</v>
      </c>
      <c r="B193" s="7" t="s">
        <v>1607</v>
      </c>
      <c r="C193" s="7" t="s">
        <v>1940</v>
      </c>
      <c r="D193" s="7" t="s">
        <v>1941</v>
      </c>
      <c r="E193" s="7" t="s">
        <v>1942</v>
      </c>
      <c r="F193" s="7"/>
      <c r="G193" s="7" t="s">
        <v>540</v>
      </c>
      <c r="H193" s="7" t="s">
        <v>39</v>
      </c>
      <c r="I193" s="7" t="s">
        <v>40</v>
      </c>
      <c r="J193" s="7">
        <v>117.491667</v>
      </c>
      <c r="K193" s="7">
        <v>-26.849999999241998</v>
      </c>
      <c r="L193" s="7" t="s">
        <v>41</v>
      </c>
      <c r="M193" s="7" t="s">
        <v>1943</v>
      </c>
      <c r="N193" s="7" t="s">
        <v>154</v>
      </c>
      <c r="O193" s="7" t="s">
        <v>154</v>
      </c>
      <c r="P193" s="7"/>
      <c r="Q193" s="7"/>
      <c r="R193" s="7" t="s">
        <v>1944</v>
      </c>
      <c r="S193" s="7" t="s">
        <v>1945</v>
      </c>
      <c r="T193" s="8">
        <v>6400.0</v>
      </c>
      <c r="U193" s="7" t="s">
        <v>1946</v>
      </c>
      <c r="V193" s="7" t="s">
        <v>157</v>
      </c>
      <c r="W193" s="7"/>
      <c r="X193" s="9">
        <v>1.0</v>
      </c>
      <c r="Y193" s="7" t="s">
        <v>1947</v>
      </c>
      <c r="Z193" s="7"/>
      <c r="AA193" s="7">
        <f t="shared" ref="AA193:AA195" si="41">AB193+AC193+AF193</f>
        <v>3521553</v>
      </c>
      <c r="AB193" s="7">
        <v>2680000.0</v>
      </c>
      <c r="AC193" s="7"/>
      <c r="AD193" s="7"/>
      <c r="AE193" s="7">
        <f t="shared" si="34"/>
        <v>3521553</v>
      </c>
      <c r="AF193" s="7">
        <v>841553.0</v>
      </c>
      <c r="AG193" s="10">
        <f t="shared" si="35"/>
        <v>3131072.271</v>
      </c>
      <c r="AH193" s="10">
        <f t="shared" si="36"/>
        <v>451072.2713</v>
      </c>
      <c r="AI193" s="7">
        <v>1.68310549E8</v>
      </c>
      <c r="AJ193" s="7">
        <v>0.00268</v>
      </c>
      <c r="AK193" s="7"/>
      <c r="AL193" s="11">
        <v>45599.717731481476</v>
      </c>
    </row>
    <row r="194" ht="12.0" customHeight="1">
      <c r="A194" s="6" t="s">
        <v>1062</v>
      </c>
      <c r="B194" s="7" t="s">
        <v>1948</v>
      </c>
      <c r="C194" s="7" t="s">
        <v>1949</v>
      </c>
      <c r="D194" s="7" t="s">
        <v>1950</v>
      </c>
      <c r="E194" s="7" t="s">
        <v>1951</v>
      </c>
      <c r="F194" s="7"/>
      <c r="G194" s="7" t="s">
        <v>38</v>
      </c>
      <c r="H194" s="7" t="s">
        <v>39</v>
      </c>
      <c r="I194" s="7" t="s">
        <v>40</v>
      </c>
      <c r="J194" s="7">
        <v>123.39650859110165</v>
      </c>
      <c r="K194" s="7">
        <v>-27.878043352432954</v>
      </c>
      <c r="L194" s="7" t="s">
        <v>41</v>
      </c>
      <c r="M194" s="7" t="s">
        <v>1952</v>
      </c>
      <c r="N194" s="7" t="s">
        <v>1069</v>
      </c>
      <c r="O194" s="7" t="s">
        <v>1953</v>
      </c>
      <c r="P194" s="7" t="s">
        <v>1070</v>
      </c>
      <c r="Q194" s="7"/>
      <c r="R194" s="7" t="s">
        <v>1954</v>
      </c>
      <c r="S194" s="7" t="s">
        <v>58</v>
      </c>
      <c r="T194" s="8">
        <v>42000.0</v>
      </c>
      <c r="U194" s="15" t="s">
        <v>1955</v>
      </c>
      <c r="V194" s="7" t="s">
        <v>1956</v>
      </c>
      <c r="W194" s="7"/>
      <c r="X194" s="9">
        <v>0.8</v>
      </c>
      <c r="Y194" s="7" t="s">
        <v>1957</v>
      </c>
      <c r="Z194" s="7"/>
      <c r="AA194" s="7">
        <f t="shared" si="41"/>
        <v>7953400</v>
      </c>
      <c r="AB194" s="7">
        <v>13400.0</v>
      </c>
      <c r="AC194" s="7">
        <v>1340000.0</v>
      </c>
      <c r="AD194" s="7"/>
      <c r="AE194" s="7">
        <f t="shared" si="34"/>
        <v>6613400</v>
      </c>
      <c r="AF194" s="7">
        <v>6600000.0</v>
      </c>
      <c r="AG194" s="10">
        <f t="shared" si="35"/>
        <v>13400</v>
      </c>
      <c r="AH194" s="10">
        <f t="shared" si="36"/>
        <v>0</v>
      </c>
      <c r="AI194" s="7"/>
      <c r="AJ194" s="7">
        <v>0.0</v>
      </c>
      <c r="AK194" s="7">
        <v>2.0</v>
      </c>
      <c r="AL194" s="11">
        <v>45715.3125</v>
      </c>
    </row>
    <row r="195" ht="12.0" customHeight="1">
      <c r="A195" s="6" t="s">
        <v>1958</v>
      </c>
      <c r="B195" s="7" t="s">
        <v>288</v>
      </c>
      <c r="C195" s="7" t="s">
        <v>1959</v>
      </c>
      <c r="D195" s="7" t="s">
        <v>1960</v>
      </c>
      <c r="E195" s="7" t="s">
        <v>1961</v>
      </c>
      <c r="F195" s="7"/>
      <c r="G195" s="7" t="s">
        <v>38</v>
      </c>
      <c r="H195" s="7" t="s">
        <v>39</v>
      </c>
      <c r="I195" s="7" t="s">
        <v>40</v>
      </c>
      <c r="J195" s="7">
        <v>119.6675002023837</v>
      </c>
      <c r="K195" s="7">
        <v>-32.260358911341385</v>
      </c>
      <c r="L195" s="7" t="s">
        <v>41</v>
      </c>
      <c r="M195" s="7" t="s">
        <v>1962</v>
      </c>
      <c r="N195" s="7" t="s">
        <v>1963</v>
      </c>
      <c r="O195" s="7"/>
      <c r="P195" s="7"/>
      <c r="Q195" s="7"/>
      <c r="R195" s="7" t="s">
        <v>1964</v>
      </c>
      <c r="S195" s="7" t="s">
        <v>58</v>
      </c>
      <c r="T195" s="8">
        <v>0.0</v>
      </c>
      <c r="U195" s="7" t="s">
        <v>1965</v>
      </c>
      <c r="V195" s="7" t="s">
        <v>1966</v>
      </c>
      <c r="W195" s="7"/>
      <c r="X195" s="7"/>
      <c r="Y195" s="7" t="s">
        <v>1967</v>
      </c>
      <c r="Z195" s="7"/>
      <c r="AA195" s="7">
        <f t="shared" si="41"/>
        <v>265000</v>
      </c>
      <c r="AB195" s="7">
        <v>265000.0</v>
      </c>
      <c r="AC195" s="7"/>
      <c r="AD195" s="7"/>
      <c r="AE195" s="7">
        <f t="shared" si="34"/>
        <v>265000</v>
      </c>
      <c r="AF195" s="7"/>
      <c r="AG195" s="10">
        <f t="shared" si="35"/>
        <v>265000</v>
      </c>
      <c r="AH195" s="10">
        <f t="shared" si="36"/>
        <v>0</v>
      </c>
      <c r="AI195" s="7"/>
      <c r="AJ195" s="7">
        <v>0.17755</v>
      </c>
      <c r="AK195" s="7"/>
      <c r="AL195" s="11">
        <v>45685.07373842593</v>
      </c>
    </row>
    <row r="196" ht="12.0" customHeight="1">
      <c r="A196" s="6" t="s">
        <v>1968</v>
      </c>
      <c r="B196" s="7" t="s">
        <v>1969</v>
      </c>
      <c r="C196" s="7" t="s">
        <v>1970</v>
      </c>
      <c r="D196" s="7" t="s">
        <v>1971</v>
      </c>
      <c r="E196" s="7" t="s">
        <v>1972</v>
      </c>
      <c r="F196" s="7"/>
      <c r="G196" s="7" t="s">
        <v>540</v>
      </c>
      <c r="H196" s="7" t="s">
        <v>39</v>
      </c>
      <c r="I196" s="7" t="s">
        <v>40</v>
      </c>
      <c r="J196" s="7">
        <v>124.80525524201462</v>
      </c>
      <c r="K196" s="7">
        <v>-18.982732788929322</v>
      </c>
      <c r="L196" s="7" t="s">
        <v>41</v>
      </c>
      <c r="M196" s="7" t="s">
        <v>1973</v>
      </c>
      <c r="N196" s="7" t="s">
        <v>1923</v>
      </c>
      <c r="O196" s="7" t="s">
        <v>1974</v>
      </c>
      <c r="P196" s="7"/>
      <c r="Q196" s="7"/>
      <c r="R196" s="7" t="s">
        <v>1975</v>
      </c>
      <c r="S196" s="7" t="s">
        <v>58</v>
      </c>
      <c r="T196" s="8">
        <v>0.0</v>
      </c>
      <c r="U196" s="7" t="s">
        <v>1976</v>
      </c>
      <c r="V196" s="7" t="s">
        <v>1926</v>
      </c>
      <c r="W196" s="7"/>
      <c r="X196" s="9">
        <v>0.5</v>
      </c>
      <c r="Y196" s="7" t="s">
        <v>1977</v>
      </c>
      <c r="Z196" s="7"/>
      <c r="AA196" s="7"/>
      <c r="AB196" s="7"/>
      <c r="AC196" s="7"/>
      <c r="AD196" s="7"/>
      <c r="AE196" s="7">
        <f t="shared" si="34"/>
        <v>0</v>
      </c>
      <c r="AF196" s="7"/>
      <c r="AG196" s="10">
        <f t="shared" si="35"/>
        <v>0</v>
      </c>
      <c r="AH196" s="10">
        <f t="shared" si="36"/>
        <v>0</v>
      </c>
      <c r="AI196" s="7"/>
      <c r="AJ196" s="7">
        <v>0.02412</v>
      </c>
      <c r="AK196" s="7">
        <v>0.6</v>
      </c>
      <c r="AL196" s="11">
        <v>45680.63891203704</v>
      </c>
    </row>
    <row r="197" ht="12.0" customHeight="1">
      <c r="A197" s="6" t="s">
        <v>1978</v>
      </c>
      <c r="B197" s="7" t="s">
        <v>1979</v>
      </c>
      <c r="C197" s="7" t="s">
        <v>1980</v>
      </c>
      <c r="D197" s="7" t="s">
        <v>1981</v>
      </c>
      <c r="E197" s="7" t="s">
        <v>1982</v>
      </c>
      <c r="F197" s="7"/>
      <c r="G197" s="7" t="s">
        <v>540</v>
      </c>
      <c r="H197" s="7" t="s">
        <v>39</v>
      </c>
      <c r="I197" s="7" t="s">
        <v>40</v>
      </c>
      <c r="J197" s="7">
        <v>126.55209788994237</v>
      </c>
      <c r="K197" s="7">
        <v>-18.696315361457593</v>
      </c>
      <c r="L197" s="7" t="s">
        <v>41</v>
      </c>
      <c r="M197" s="7" t="s">
        <v>1983</v>
      </c>
      <c r="N197" s="7" t="s">
        <v>1984</v>
      </c>
      <c r="O197" s="7" t="s">
        <v>1984</v>
      </c>
      <c r="P197" s="7"/>
      <c r="Q197" s="7"/>
      <c r="R197" s="7" t="s">
        <v>1985</v>
      </c>
      <c r="S197" s="7" t="s">
        <v>58</v>
      </c>
      <c r="T197" s="8">
        <v>0.0</v>
      </c>
      <c r="U197" s="7" t="s">
        <v>1986</v>
      </c>
      <c r="V197" s="7" t="s">
        <v>1987</v>
      </c>
      <c r="W197" s="7"/>
      <c r="X197" s="9">
        <v>1.0</v>
      </c>
      <c r="Y197" s="7" t="s">
        <v>1988</v>
      </c>
      <c r="Z197" s="7"/>
      <c r="AA197" s="7"/>
      <c r="AB197" s="7"/>
      <c r="AC197" s="7"/>
      <c r="AD197" s="7"/>
      <c r="AE197" s="7">
        <f t="shared" si="34"/>
        <v>0</v>
      </c>
      <c r="AF197" s="7"/>
      <c r="AG197" s="10">
        <f t="shared" si="35"/>
        <v>0</v>
      </c>
      <c r="AH197" s="10">
        <f t="shared" si="36"/>
        <v>0</v>
      </c>
      <c r="AI197" s="7"/>
      <c r="AJ197" s="7">
        <v>0.00201</v>
      </c>
      <c r="AK197" s="7"/>
      <c r="AL197" s="11">
        <v>45602.70391203703</v>
      </c>
    </row>
    <row r="198" ht="12.0" customHeight="1">
      <c r="A198" s="6" t="s">
        <v>1989</v>
      </c>
      <c r="B198" s="7" t="s">
        <v>1990</v>
      </c>
      <c r="C198" s="7" t="s">
        <v>1991</v>
      </c>
      <c r="D198" s="7" t="s">
        <v>1992</v>
      </c>
      <c r="E198" s="7" t="s">
        <v>1993</v>
      </c>
      <c r="F198" s="7" t="s">
        <v>1994</v>
      </c>
      <c r="G198" s="7" t="s">
        <v>540</v>
      </c>
      <c r="H198" s="7" t="s">
        <v>39</v>
      </c>
      <c r="I198" s="7" t="s">
        <v>40</v>
      </c>
      <c r="J198" s="7">
        <v>128.51908099441874</v>
      </c>
      <c r="K198" s="7">
        <v>-19.133099686889846</v>
      </c>
      <c r="L198" s="7" t="s">
        <v>41</v>
      </c>
      <c r="M198" s="7" t="s">
        <v>1995</v>
      </c>
      <c r="N198" s="7" t="s">
        <v>1996</v>
      </c>
      <c r="O198" s="7" t="s">
        <v>1996</v>
      </c>
      <c r="P198" s="7"/>
      <c r="Q198" s="7"/>
      <c r="R198" s="7" t="s">
        <v>1997</v>
      </c>
      <c r="S198" s="7" t="s">
        <v>58</v>
      </c>
      <c r="T198" s="8">
        <v>0.0</v>
      </c>
      <c r="U198" s="7" t="s">
        <v>1998</v>
      </c>
      <c r="V198" s="7" t="s">
        <v>1999</v>
      </c>
      <c r="W198" s="7"/>
      <c r="X198" s="9">
        <v>1.0</v>
      </c>
      <c r="Y198" s="7" t="s">
        <v>2000</v>
      </c>
      <c r="Z198" s="7"/>
      <c r="AA198" s="7">
        <f>AB198+AC198+AF198</f>
        <v>200000</v>
      </c>
      <c r="AB198" s="7"/>
      <c r="AC198" s="7">
        <v>200000.0</v>
      </c>
      <c r="AD198" s="7"/>
      <c r="AE198" s="7">
        <f t="shared" si="34"/>
        <v>0</v>
      </c>
      <c r="AF198" s="7"/>
      <c r="AG198" s="10">
        <f t="shared" si="35"/>
        <v>0</v>
      </c>
      <c r="AH198" s="10">
        <f t="shared" si="36"/>
        <v>0</v>
      </c>
      <c r="AI198" s="7"/>
      <c r="AJ198" s="7">
        <v>0.01139</v>
      </c>
      <c r="AK198" s="7"/>
      <c r="AL198" s="11">
        <v>45727.74986111111</v>
      </c>
    </row>
    <row r="199" ht="12.0" customHeight="1">
      <c r="A199" s="6" t="s">
        <v>2001</v>
      </c>
      <c r="B199" s="7" t="s">
        <v>1047</v>
      </c>
      <c r="C199" s="7" t="s">
        <v>2002</v>
      </c>
      <c r="D199" s="7" t="s">
        <v>2003</v>
      </c>
      <c r="E199" s="7" t="s">
        <v>1993</v>
      </c>
      <c r="F199" s="7" t="s">
        <v>2004</v>
      </c>
      <c r="G199" s="7" t="s">
        <v>540</v>
      </c>
      <c r="H199" s="7" t="s">
        <v>39</v>
      </c>
      <c r="I199" s="7" t="s">
        <v>598</v>
      </c>
      <c r="J199" s="7">
        <v>139.94084584411283</v>
      </c>
      <c r="K199" s="7">
        <v>-35.33590127297221</v>
      </c>
      <c r="L199" s="7" t="s">
        <v>41</v>
      </c>
      <c r="M199" s="7" t="s">
        <v>2005</v>
      </c>
      <c r="N199" s="7" t="s">
        <v>2006</v>
      </c>
      <c r="O199" s="7" t="s">
        <v>2006</v>
      </c>
      <c r="P199" s="7"/>
      <c r="Q199" s="7"/>
      <c r="R199" s="7" t="s">
        <v>2007</v>
      </c>
      <c r="S199" s="7" t="s">
        <v>58</v>
      </c>
      <c r="T199" s="8">
        <v>75700.0</v>
      </c>
      <c r="U199" s="7" t="s">
        <v>2008</v>
      </c>
      <c r="V199" s="7" t="s">
        <v>2009</v>
      </c>
      <c r="W199" s="7"/>
      <c r="X199" s="9">
        <v>1.0</v>
      </c>
      <c r="Y199" s="7" t="s">
        <v>2010</v>
      </c>
      <c r="Z199" s="7"/>
      <c r="AA199" s="7"/>
      <c r="AB199" s="7"/>
      <c r="AC199" s="7"/>
      <c r="AD199" s="7"/>
      <c r="AE199" s="7">
        <f t="shared" si="34"/>
        <v>0</v>
      </c>
      <c r="AF199" s="7"/>
      <c r="AG199" s="10">
        <f t="shared" si="35"/>
        <v>0</v>
      </c>
      <c r="AH199" s="10">
        <f t="shared" si="36"/>
        <v>0</v>
      </c>
      <c r="AI199" s="7"/>
      <c r="AJ199" s="7">
        <v>0.0</v>
      </c>
      <c r="AK199" s="7"/>
      <c r="AL199" s="11">
        <v>45567.70715277777</v>
      </c>
    </row>
    <row r="200" ht="12.0" customHeight="1">
      <c r="A200" s="6" t="s">
        <v>2011</v>
      </c>
      <c r="B200" s="7" t="s">
        <v>2012</v>
      </c>
      <c r="C200" s="7" t="s">
        <v>2013</v>
      </c>
      <c r="D200" s="7" t="s">
        <v>2014</v>
      </c>
      <c r="E200" s="7" t="s">
        <v>1993</v>
      </c>
      <c r="F200" s="7"/>
      <c r="G200" s="7" t="s">
        <v>540</v>
      </c>
      <c r="H200" s="7" t="s">
        <v>39</v>
      </c>
      <c r="I200" s="7" t="s">
        <v>100</v>
      </c>
      <c r="J200" s="7">
        <v>146.760514655296</v>
      </c>
      <c r="K200" s="7">
        <v>-41.46134079896114</v>
      </c>
      <c r="L200" s="7" t="s">
        <v>41</v>
      </c>
      <c r="M200" s="7" t="s">
        <v>41</v>
      </c>
      <c r="N200" s="7" t="s">
        <v>2015</v>
      </c>
      <c r="O200" s="7" t="s">
        <v>2015</v>
      </c>
      <c r="P200" s="7" t="s">
        <v>2016</v>
      </c>
      <c r="Q200" s="7" t="s">
        <v>2016</v>
      </c>
      <c r="R200" s="7" t="s">
        <v>2017</v>
      </c>
      <c r="S200" s="7" t="s">
        <v>58</v>
      </c>
      <c r="T200" s="8">
        <v>85200.0</v>
      </c>
      <c r="U200" s="7" t="s">
        <v>2018</v>
      </c>
      <c r="V200" s="7" t="s">
        <v>2019</v>
      </c>
      <c r="W200" s="7"/>
      <c r="X200" s="7"/>
      <c r="Y200" s="7"/>
      <c r="Z200" s="7"/>
      <c r="AA200" s="7">
        <f t="shared" ref="AA200:AA201" si="42">AB200+AC200+AF200</f>
        <v>534600</v>
      </c>
      <c r="AB200" s="7">
        <v>120600.0</v>
      </c>
      <c r="AC200" s="14"/>
      <c r="AD200" s="7">
        <v>324000.0</v>
      </c>
      <c r="AE200" s="7">
        <f t="shared" si="34"/>
        <v>534600</v>
      </c>
      <c r="AF200" s="7">
        <v>414000.0</v>
      </c>
      <c r="AG200" s="10">
        <f t="shared" si="35"/>
        <v>120600</v>
      </c>
      <c r="AH200" s="10">
        <f t="shared" si="36"/>
        <v>0</v>
      </c>
      <c r="AI200" s="7">
        <v>4186046.0</v>
      </c>
      <c r="AJ200" s="7">
        <v>0.0</v>
      </c>
      <c r="AK200" s="7"/>
      <c r="AL200" s="11">
        <v>45202.23958333333</v>
      </c>
    </row>
    <row r="201" ht="12.0" customHeight="1">
      <c r="A201" s="6" t="s">
        <v>1989</v>
      </c>
      <c r="B201" s="7" t="s">
        <v>2020</v>
      </c>
      <c r="C201" s="7" t="s">
        <v>2021</v>
      </c>
      <c r="D201" s="7" t="s">
        <v>2022</v>
      </c>
      <c r="E201" s="7" t="s">
        <v>2023</v>
      </c>
      <c r="F201" s="7" t="s">
        <v>2024</v>
      </c>
      <c r="G201" s="7" t="s">
        <v>540</v>
      </c>
      <c r="H201" s="7" t="s">
        <v>39</v>
      </c>
      <c r="I201" s="7" t="s">
        <v>1025</v>
      </c>
      <c r="J201" s="7">
        <v>132.0055967185785</v>
      </c>
      <c r="K201" s="7">
        <v>-21.78112853214145</v>
      </c>
      <c r="L201" s="7" t="s">
        <v>41</v>
      </c>
      <c r="M201" s="7" t="s">
        <v>2025</v>
      </c>
      <c r="N201" s="7" t="s">
        <v>1996</v>
      </c>
      <c r="O201" s="7" t="s">
        <v>1996</v>
      </c>
      <c r="P201" s="7"/>
      <c r="Q201" s="7"/>
      <c r="R201" s="7" t="s">
        <v>2026</v>
      </c>
      <c r="S201" s="7" t="s">
        <v>58</v>
      </c>
      <c r="T201" s="8">
        <v>28400.0</v>
      </c>
      <c r="U201" s="7" t="s">
        <v>2027</v>
      </c>
      <c r="V201" s="7" t="s">
        <v>1999</v>
      </c>
      <c r="W201" s="7"/>
      <c r="X201" s="9">
        <v>0.8</v>
      </c>
      <c r="Y201" s="7" t="s">
        <v>2028</v>
      </c>
      <c r="Z201" s="7"/>
      <c r="AA201" s="7">
        <f t="shared" si="42"/>
        <v>150000</v>
      </c>
      <c r="AB201" s="7"/>
      <c r="AC201" s="7">
        <v>150000.0</v>
      </c>
      <c r="AD201" s="7"/>
      <c r="AE201" s="7">
        <f t="shared" si="34"/>
        <v>0</v>
      </c>
      <c r="AF201" s="7"/>
      <c r="AG201" s="10">
        <f t="shared" si="35"/>
        <v>0</v>
      </c>
      <c r="AH201" s="10">
        <f t="shared" si="36"/>
        <v>0</v>
      </c>
      <c r="AI201" s="7"/>
      <c r="AJ201" s="7">
        <v>0.0</v>
      </c>
      <c r="AK201" s="7">
        <v>1.0</v>
      </c>
      <c r="AL201" s="11">
        <v>45566.79760416667</v>
      </c>
    </row>
    <row r="202" ht="12.0" customHeight="1">
      <c r="A202" s="6" t="s">
        <v>2029</v>
      </c>
      <c r="B202" s="7" t="s">
        <v>1247</v>
      </c>
      <c r="C202" s="7" t="s">
        <v>2030</v>
      </c>
      <c r="D202" s="7" t="s">
        <v>2031</v>
      </c>
      <c r="E202" s="7" t="s">
        <v>2032</v>
      </c>
      <c r="F202" s="7" t="s">
        <v>2033</v>
      </c>
      <c r="G202" s="7" t="s">
        <v>540</v>
      </c>
      <c r="H202" s="7" t="s">
        <v>39</v>
      </c>
      <c r="I202" s="7" t="s">
        <v>1025</v>
      </c>
      <c r="J202" s="7">
        <v>132.8595073864859</v>
      </c>
      <c r="K202" s="7">
        <v>-23.402034919336618</v>
      </c>
      <c r="L202" s="7" t="s">
        <v>41</v>
      </c>
      <c r="M202" s="7" t="s">
        <v>2034</v>
      </c>
      <c r="N202" s="7" t="s">
        <v>2035</v>
      </c>
      <c r="O202" s="7" t="s">
        <v>2035</v>
      </c>
      <c r="P202" s="7"/>
      <c r="Q202" s="7"/>
      <c r="R202" s="7" t="s">
        <v>2036</v>
      </c>
      <c r="S202" s="7" t="s">
        <v>58</v>
      </c>
      <c r="T202" s="8">
        <v>200000.0</v>
      </c>
      <c r="U202" s="7" t="s">
        <v>2037</v>
      </c>
      <c r="V202" s="7" t="s">
        <v>2038</v>
      </c>
      <c r="W202" s="7"/>
      <c r="X202" s="9">
        <v>0.5</v>
      </c>
      <c r="Y202" s="7" t="s">
        <v>2039</v>
      </c>
      <c r="Z202" s="7"/>
      <c r="AA202" s="7"/>
      <c r="AB202" s="7">
        <v>67000.0</v>
      </c>
      <c r="AC202" s="7"/>
      <c r="AD202" s="7"/>
      <c r="AE202" s="7">
        <f t="shared" si="34"/>
        <v>297931</v>
      </c>
      <c r="AF202" s="7">
        <v>230931.0</v>
      </c>
      <c r="AG202" s="10">
        <f t="shared" si="35"/>
        <v>1660119.3</v>
      </c>
      <c r="AH202" s="10">
        <f t="shared" si="36"/>
        <v>1593119.3</v>
      </c>
      <c r="AI202" s="7">
        <v>3.49675E7</v>
      </c>
      <c r="AJ202" s="7">
        <v>0.04556</v>
      </c>
      <c r="AK202" s="7"/>
      <c r="AL202" s="11">
        <v>45516.87074074074</v>
      </c>
    </row>
    <row r="203" ht="12.0" customHeight="1">
      <c r="A203" s="6" t="s">
        <v>2040</v>
      </c>
      <c r="B203" s="7" t="s">
        <v>401</v>
      </c>
      <c r="C203" s="7" t="s">
        <v>2041</v>
      </c>
      <c r="D203" s="7" t="s">
        <v>2042</v>
      </c>
      <c r="E203" s="7" t="s">
        <v>2043</v>
      </c>
      <c r="F203" s="7" t="s">
        <v>2044</v>
      </c>
      <c r="G203" s="7" t="s">
        <v>38</v>
      </c>
      <c r="H203" s="7" t="s">
        <v>39</v>
      </c>
      <c r="I203" s="7" t="s">
        <v>68</v>
      </c>
      <c r="J203" s="7">
        <v>152.71465277902078</v>
      </c>
      <c r="K203" s="7">
        <v>-30.2274791969397</v>
      </c>
      <c r="L203" s="7" t="s">
        <v>41</v>
      </c>
      <c r="M203" s="7" t="s">
        <v>2045</v>
      </c>
      <c r="N203" s="7" t="s">
        <v>2046</v>
      </c>
      <c r="O203" s="7" t="s">
        <v>2046</v>
      </c>
      <c r="P203" s="7"/>
      <c r="Q203" s="7"/>
      <c r="R203" s="7" t="s">
        <v>2047</v>
      </c>
      <c r="S203" s="7" t="s">
        <v>58</v>
      </c>
      <c r="T203" s="8">
        <v>4000.0</v>
      </c>
      <c r="U203" s="12" t="s">
        <v>2048</v>
      </c>
      <c r="V203" s="7" t="s">
        <v>2049</v>
      </c>
      <c r="W203" s="7"/>
      <c r="X203" s="9">
        <v>1.0</v>
      </c>
      <c r="Y203" s="7"/>
      <c r="Z203" s="7"/>
      <c r="AA203" s="7">
        <f t="shared" ref="AA203:AA204" si="43">AB203+AC203+AF203</f>
        <v>301500</v>
      </c>
      <c r="AB203" s="7"/>
      <c r="AC203" s="7"/>
      <c r="AD203" s="7"/>
      <c r="AE203" s="7">
        <f t="shared" si="34"/>
        <v>301500</v>
      </c>
      <c r="AF203" s="7">
        <v>301500.0</v>
      </c>
      <c r="AG203" s="10">
        <f t="shared" si="35"/>
        <v>0</v>
      </c>
      <c r="AH203" s="10">
        <f t="shared" si="36"/>
        <v>0</v>
      </c>
      <c r="AI203" s="7"/>
      <c r="AJ203" s="7">
        <v>0.04422</v>
      </c>
      <c r="AK203" s="7">
        <v>1.0</v>
      </c>
      <c r="AL203" s="11">
        <v>45564.727754629625</v>
      </c>
    </row>
    <row r="204" ht="12.0" customHeight="1">
      <c r="A204" s="6" t="s">
        <v>2050</v>
      </c>
      <c r="B204" s="7" t="s">
        <v>2051</v>
      </c>
      <c r="C204" s="7" t="s">
        <v>2052</v>
      </c>
      <c r="D204" s="7" t="s">
        <v>2053</v>
      </c>
      <c r="E204" s="7" t="s">
        <v>2043</v>
      </c>
      <c r="F204" s="14" t="s">
        <v>2054</v>
      </c>
      <c r="G204" s="7" t="s">
        <v>540</v>
      </c>
      <c r="H204" s="7" t="s">
        <v>39</v>
      </c>
      <c r="I204" s="7" t="s">
        <v>68</v>
      </c>
      <c r="J204" s="7">
        <v>152.0344323654771</v>
      </c>
      <c r="K204" s="7">
        <v>-30.755562063216964</v>
      </c>
      <c r="L204" s="7" t="s">
        <v>41</v>
      </c>
      <c r="M204" s="7" t="s">
        <v>2055</v>
      </c>
      <c r="N204" s="7" t="s">
        <v>2056</v>
      </c>
      <c r="O204" s="7" t="s">
        <v>2056</v>
      </c>
      <c r="P204" s="7"/>
      <c r="Q204" s="7"/>
      <c r="R204" s="7" t="s">
        <v>2057</v>
      </c>
      <c r="S204" s="7" t="s">
        <v>1945</v>
      </c>
      <c r="T204" s="8">
        <v>170.0</v>
      </c>
      <c r="U204" s="7" t="s">
        <v>2058</v>
      </c>
      <c r="V204" s="7" t="s">
        <v>2059</v>
      </c>
      <c r="W204" s="7"/>
      <c r="X204" s="9">
        <v>1.0</v>
      </c>
      <c r="Y204" s="7" t="s">
        <v>2060</v>
      </c>
      <c r="Z204" s="7"/>
      <c r="AA204" s="7">
        <f t="shared" si="43"/>
        <v>2360000</v>
      </c>
      <c r="AB204" s="7">
        <v>50000.0</v>
      </c>
      <c r="AC204" s="7">
        <v>2010000.0</v>
      </c>
      <c r="AD204" s="7">
        <v>350000.0</v>
      </c>
      <c r="AE204" s="7">
        <f t="shared" si="34"/>
        <v>350000</v>
      </c>
      <c r="AF204" s="7">
        <v>300000.0</v>
      </c>
      <c r="AG204" s="10">
        <f t="shared" si="35"/>
        <v>50000</v>
      </c>
      <c r="AH204" s="10">
        <f t="shared" si="36"/>
        <v>0</v>
      </c>
      <c r="AI204" s="7"/>
      <c r="AJ204" s="7">
        <v>0.00201</v>
      </c>
      <c r="AK204" s="7">
        <v>2.0</v>
      </c>
      <c r="AL204" s="11">
        <v>45603.703055555554</v>
      </c>
    </row>
    <row r="205" ht="12.0" customHeight="1">
      <c r="A205" s="6" t="s">
        <v>2040</v>
      </c>
      <c r="B205" s="7" t="s">
        <v>401</v>
      </c>
      <c r="C205" s="7" t="s">
        <v>2041</v>
      </c>
      <c r="D205" s="7" t="s">
        <v>2061</v>
      </c>
      <c r="E205" s="7" t="s">
        <v>2043</v>
      </c>
      <c r="F205" s="7" t="s">
        <v>2062</v>
      </c>
      <c r="G205" s="7" t="s">
        <v>540</v>
      </c>
      <c r="H205" s="7" t="s">
        <v>39</v>
      </c>
      <c r="I205" s="7" t="s">
        <v>68</v>
      </c>
      <c r="J205" s="7">
        <v>151.08303163456037</v>
      </c>
      <c r="K205" s="7">
        <v>-29.441082205738486</v>
      </c>
      <c r="L205" s="7" t="s">
        <v>41</v>
      </c>
      <c r="M205" s="7" t="s">
        <v>2063</v>
      </c>
      <c r="N205" s="7" t="s">
        <v>2046</v>
      </c>
      <c r="O205" s="7" t="s">
        <v>2046</v>
      </c>
      <c r="P205" s="7"/>
      <c r="Q205" s="7"/>
      <c r="R205" s="7" t="s">
        <v>2064</v>
      </c>
      <c r="S205" s="7" t="s">
        <v>58</v>
      </c>
      <c r="T205" s="8">
        <v>102600.0</v>
      </c>
      <c r="U205" s="7" t="s">
        <v>2065</v>
      </c>
      <c r="V205" s="7" t="s">
        <v>2049</v>
      </c>
      <c r="W205" s="7"/>
      <c r="X205" s="9">
        <v>1.0</v>
      </c>
      <c r="Y205" s="7" t="s">
        <v>2066</v>
      </c>
      <c r="Z205" s="7"/>
      <c r="AA205" s="7"/>
      <c r="AB205" s="7"/>
      <c r="AC205" s="7"/>
      <c r="AD205" s="7"/>
      <c r="AE205" s="7">
        <f t="shared" si="34"/>
        <v>0</v>
      </c>
      <c r="AF205" s="7"/>
      <c r="AG205" s="10">
        <f t="shared" si="35"/>
        <v>0</v>
      </c>
      <c r="AH205" s="10">
        <f t="shared" si="36"/>
        <v>0</v>
      </c>
      <c r="AI205" s="7"/>
      <c r="AJ205" s="7">
        <v>0.04422</v>
      </c>
      <c r="AK205" s="7"/>
      <c r="AL205" s="11">
        <v>45691.63837962963</v>
      </c>
    </row>
    <row r="206" ht="12.0" customHeight="1">
      <c r="A206" s="6" t="s">
        <v>2067</v>
      </c>
      <c r="B206" s="7" t="s">
        <v>2068</v>
      </c>
      <c r="C206" s="7" t="s">
        <v>2069</v>
      </c>
      <c r="D206" s="7" t="s">
        <v>2070</v>
      </c>
      <c r="E206" s="7" t="s">
        <v>2043</v>
      </c>
      <c r="F206" s="7" t="s">
        <v>2071</v>
      </c>
      <c r="G206" s="7" t="s">
        <v>540</v>
      </c>
      <c r="H206" s="7" t="s">
        <v>39</v>
      </c>
      <c r="I206" s="7" t="s">
        <v>68</v>
      </c>
      <c r="J206" s="7">
        <v>150.66414133521363</v>
      </c>
      <c r="K206" s="7">
        <v>-30.35795403018783</v>
      </c>
      <c r="L206" s="7" t="s">
        <v>41</v>
      </c>
      <c r="M206" s="7" t="s">
        <v>2072</v>
      </c>
      <c r="N206" s="7" t="s">
        <v>2073</v>
      </c>
      <c r="O206" s="7" t="s">
        <v>2073</v>
      </c>
      <c r="P206" s="7"/>
      <c r="Q206" s="7"/>
      <c r="R206" s="7" t="s">
        <v>2074</v>
      </c>
      <c r="S206" s="7" t="s">
        <v>58</v>
      </c>
      <c r="T206" s="8">
        <v>39100.0</v>
      </c>
      <c r="U206" s="7" t="s">
        <v>2075</v>
      </c>
      <c r="V206" s="7" t="s">
        <v>2076</v>
      </c>
      <c r="W206" s="7"/>
      <c r="X206" s="9">
        <v>1.0</v>
      </c>
      <c r="Y206" s="7" t="s">
        <v>2077</v>
      </c>
      <c r="Z206" s="7"/>
      <c r="AA206" s="7"/>
      <c r="AB206" s="7"/>
      <c r="AC206" s="7"/>
      <c r="AD206" s="7"/>
      <c r="AE206" s="7">
        <f t="shared" si="34"/>
        <v>0</v>
      </c>
      <c r="AF206" s="7"/>
      <c r="AG206" s="10">
        <f t="shared" si="35"/>
        <v>0</v>
      </c>
      <c r="AH206" s="10">
        <f t="shared" si="36"/>
        <v>0</v>
      </c>
      <c r="AI206" s="7"/>
      <c r="AJ206" s="7">
        <v>0.0</v>
      </c>
      <c r="AK206" s="7"/>
      <c r="AL206" s="11">
        <v>45621.68224537037</v>
      </c>
    </row>
    <row r="207" ht="12.0" customHeight="1">
      <c r="A207" s="6" t="s">
        <v>2078</v>
      </c>
      <c r="B207" s="7" t="s">
        <v>2079</v>
      </c>
      <c r="C207" s="7" t="s">
        <v>2080</v>
      </c>
      <c r="D207" s="7" t="s">
        <v>2081</v>
      </c>
      <c r="E207" s="7" t="s">
        <v>2043</v>
      </c>
      <c r="F207" s="7"/>
      <c r="G207" s="7" t="s">
        <v>540</v>
      </c>
      <c r="H207" s="7" t="s">
        <v>39</v>
      </c>
      <c r="I207" s="7" t="s">
        <v>68</v>
      </c>
      <c r="J207" s="7">
        <v>152.06354813777605</v>
      </c>
      <c r="K207" s="7">
        <v>-30.310900822005678</v>
      </c>
      <c r="L207" s="7" t="s">
        <v>41</v>
      </c>
      <c r="M207" s="7" t="s">
        <v>2082</v>
      </c>
      <c r="N207" s="7" t="s">
        <v>2083</v>
      </c>
      <c r="O207" s="7" t="s">
        <v>2083</v>
      </c>
      <c r="P207" s="7"/>
      <c r="Q207" s="7"/>
      <c r="R207" s="7" t="s">
        <v>2084</v>
      </c>
      <c r="S207" s="7" t="s">
        <v>58</v>
      </c>
      <c r="T207" s="8">
        <v>0.0</v>
      </c>
      <c r="U207" s="7" t="s">
        <v>2085</v>
      </c>
      <c r="V207" s="7" t="s">
        <v>2086</v>
      </c>
      <c r="W207" s="7"/>
      <c r="X207" s="9">
        <v>1.0</v>
      </c>
      <c r="Y207" s="7" t="s">
        <v>2087</v>
      </c>
      <c r="Z207" s="7"/>
      <c r="AA207" s="7"/>
      <c r="AB207" s="7"/>
      <c r="AC207" s="7"/>
      <c r="AD207" s="7"/>
      <c r="AE207" s="7">
        <f t="shared" si="34"/>
        <v>0</v>
      </c>
      <c r="AF207" s="7"/>
      <c r="AG207" s="10">
        <f t="shared" si="35"/>
        <v>0</v>
      </c>
      <c r="AH207" s="10">
        <f t="shared" si="36"/>
        <v>0</v>
      </c>
      <c r="AI207" s="7"/>
      <c r="AJ207" s="7">
        <v>0.1206</v>
      </c>
      <c r="AK207" s="7"/>
      <c r="AL207" s="11">
        <v>45529.67438657407</v>
      </c>
    </row>
    <row r="208" ht="12.0" customHeight="1">
      <c r="A208" s="6" t="s">
        <v>2040</v>
      </c>
      <c r="B208" s="7" t="s">
        <v>235</v>
      </c>
      <c r="C208" s="7" t="s">
        <v>2088</v>
      </c>
      <c r="D208" s="7" t="s">
        <v>2089</v>
      </c>
      <c r="E208" s="7" t="s">
        <v>2043</v>
      </c>
      <c r="F208" s="7" t="s">
        <v>2090</v>
      </c>
      <c r="G208" s="7" t="s">
        <v>540</v>
      </c>
      <c r="H208" s="7" t="s">
        <v>39</v>
      </c>
      <c r="I208" s="7" t="s">
        <v>68</v>
      </c>
      <c r="J208" s="7">
        <v>151.13789678797608</v>
      </c>
      <c r="K208" s="7">
        <v>-31.400198382087464</v>
      </c>
      <c r="L208" s="7" t="s">
        <v>41</v>
      </c>
      <c r="M208" s="7" t="s">
        <v>2091</v>
      </c>
      <c r="N208" s="7" t="s">
        <v>2046</v>
      </c>
      <c r="O208" s="7" t="s">
        <v>2046</v>
      </c>
      <c r="P208" s="7"/>
      <c r="Q208" s="7"/>
      <c r="R208" s="7" t="s">
        <v>2092</v>
      </c>
      <c r="S208" s="7" t="s">
        <v>58</v>
      </c>
      <c r="T208" s="8">
        <v>103970.0</v>
      </c>
      <c r="U208" s="7" t="s">
        <v>2093</v>
      </c>
      <c r="V208" s="7" t="s">
        <v>2049</v>
      </c>
      <c r="W208" s="7"/>
      <c r="X208" s="9">
        <v>1.0</v>
      </c>
      <c r="Y208" s="7" t="s">
        <v>2094</v>
      </c>
      <c r="Z208" s="7"/>
      <c r="AA208" s="7">
        <f t="shared" ref="AA208:AA211" si="44">AB208+AC208+AF208</f>
        <v>167500</v>
      </c>
      <c r="AB208" s="7"/>
      <c r="AC208" s="7"/>
      <c r="AD208" s="7">
        <v>335000.0</v>
      </c>
      <c r="AE208" s="7">
        <f t="shared" si="34"/>
        <v>167500</v>
      </c>
      <c r="AF208" s="7">
        <v>167500.0</v>
      </c>
      <c r="AG208" s="10">
        <f t="shared" si="35"/>
        <v>0</v>
      </c>
      <c r="AH208" s="10">
        <f t="shared" si="36"/>
        <v>0</v>
      </c>
      <c r="AI208" s="7"/>
      <c r="AJ208" s="7">
        <v>0.04422</v>
      </c>
      <c r="AK208" s="7">
        <v>2.0</v>
      </c>
      <c r="AL208" s="11">
        <v>45734.7425</v>
      </c>
    </row>
    <row r="209" ht="12.0" customHeight="1">
      <c r="A209" s="6" t="s">
        <v>2040</v>
      </c>
      <c r="B209" s="7" t="s">
        <v>443</v>
      </c>
      <c r="C209" s="7" t="s">
        <v>2041</v>
      </c>
      <c r="D209" s="7" t="s">
        <v>2095</v>
      </c>
      <c r="E209" s="7" t="s">
        <v>2043</v>
      </c>
      <c r="F209" s="7" t="s">
        <v>2096</v>
      </c>
      <c r="G209" s="7" t="s">
        <v>540</v>
      </c>
      <c r="H209" s="7" t="s">
        <v>39</v>
      </c>
      <c r="I209" s="7" t="s">
        <v>68</v>
      </c>
      <c r="J209" s="7">
        <v>151.8206789664235</v>
      </c>
      <c r="K209" s="7">
        <v>-30.428086708365228</v>
      </c>
      <c r="L209" s="7" t="s">
        <v>41</v>
      </c>
      <c r="M209" s="7" t="s">
        <v>2097</v>
      </c>
      <c r="N209" s="7" t="s">
        <v>2046</v>
      </c>
      <c r="O209" s="7" t="s">
        <v>2046</v>
      </c>
      <c r="P209" s="7"/>
      <c r="Q209" s="7"/>
      <c r="R209" s="7" t="s">
        <v>2098</v>
      </c>
      <c r="S209" s="7" t="s">
        <v>58</v>
      </c>
      <c r="T209" s="8">
        <v>28809.0</v>
      </c>
      <c r="U209" s="7" t="s">
        <v>2099</v>
      </c>
      <c r="V209" s="7" t="s">
        <v>2049</v>
      </c>
      <c r="W209" s="7"/>
      <c r="X209" s="9">
        <v>1.0</v>
      </c>
      <c r="Y209" s="7" t="s">
        <v>2100</v>
      </c>
      <c r="Z209" s="7"/>
      <c r="AA209" s="7">
        <f t="shared" si="44"/>
        <v>231700</v>
      </c>
      <c r="AB209" s="7">
        <v>6700.0</v>
      </c>
      <c r="AC209" s="7"/>
      <c r="AD209" s="7">
        <v>235000.0</v>
      </c>
      <c r="AE209" s="7">
        <f t="shared" si="34"/>
        <v>231700</v>
      </c>
      <c r="AF209" s="7">
        <v>225000.0</v>
      </c>
      <c r="AG209" s="10">
        <f t="shared" si="35"/>
        <v>205690</v>
      </c>
      <c r="AH209" s="10">
        <f t="shared" si="36"/>
        <v>198990</v>
      </c>
      <c r="AI209" s="7">
        <v>4500000.0</v>
      </c>
      <c r="AJ209" s="7">
        <v>0.04422</v>
      </c>
      <c r="AK209" s="7"/>
      <c r="AL209" s="11">
        <v>45587.75287037037</v>
      </c>
    </row>
    <row r="210" ht="12.0" customHeight="1">
      <c r="A210" s="6" t="s">
        <v>2040</v>
      </c>
      <c r="B210" s="7" t="s">
        <v>1579</v>
      </c>
      <c r="C210" s="7" t="s">
        <v>2041</v>
      </c>
      <c r="D210" s="7" t="s">
        <v>2101</v>
      </c>
      <c r="E210" s="7" t="s">
        <v>2043</v>
      </c>
      <c r="F210" s="7" t="s">
        <v>2102</v>
      </c>
      <c r="G210" s="7" t="s">
        <v>540</v>
      </c>
      <c r="H210" s="7" t="s">
        <v>39</v>
      </c>
      <c r="I210" s="7" t="s">
        <v>68</v>
      </c>
      <c r="J210" s="7">
        <v>152.70388264582448</v>
      </c>
      <c r="K210" s="7">
        <v>-30.721099174856263</v>
      </c>
      <c r="L210" s="7" t="s">
        <v>41</v>
      </c>
      <c r="M210" s="7" t="s">
        <v>2103</v>
      </c>
      <c r="N210" s="7" t="s">
        <v>2046</v>
      </c>
      <c r="O210" s="7" t="s">
        <v>2046</v>
      </c>
      <c r="P210" s="7"/>
      <c r="Q210" s="7"/>
      <c r="R210" s="7" t="s">
        <v>2104</v>
      </c>
      <c r="S210" s="7" t="s">
        <v>58</v>
      </c>
      <c r="T210" s="8">
        <v>28800.0</v>
      </c>
      <c r="U210" s="7" t="s">
        <v>2105</v>
      </c>
      <c r="V210" s="7" t="s">
        <v>2049</v>
      </c>
      <c r="W210" s="7"/>
      <c r="X210" s="9">
        <v>1.0</v>
      </c>
      <c r="Y210" s="7" t="s">
        <v>2106</v>
      </c>
      <c r="Z210" s="7"/>
      <c r="AA210" s="7">
        <f t="shared" si="44"/>
        <v>850000</v>
      </c>
      <c r="AB210" s="7">
        <v>0.0</v>
      </c>
      <c r="AC210" s="7"/>
      <c r="AD210" s="7"/>
      <c r="AE210" s="7">
        <f t="shared" si="34"/>
        <v>850000</v>
      </c>
      <c r="AF210" s="7">
        <v>850000.0</v>
      </c>
      <c r="AG210" s="10">
        <f t="shared" si="35"/>
        <v>4698375</v>
      </c>
      <c r="AH210" s="10">
        <f t="shared" si="36"/>
        <v>4698375</v>
      </c>
      <c r="AI210" s="7">
        <v>1.0625E8</v>
      </c>
      <c r="AJ210" s="7">
        <v>0.04422</v>
      </c>
      <c r="AK210" s="7"/>
      <c r="AL210" s="11">
        <v>45554.715474537035</v>
      </c>
    </row>
    <row r="211" ht="12.0" customHeight="1">
      <c r="A211" s="6" t="s">
        <v>2078</v>
      </c>
      <c r="B211" s="7" t="s">
        <v>2107</v>
      </c>
      <c r="C211" s="7" t="s">
        <v>2108</v>
      </c>
      <c r="D211" s="7" t="s">
        <v>2109</v>
      </c>
      <c r="E211" s="7" t="s">
        <v>2110</v>
      </c>
      <c r="F211" s="7" t="s">
        <v>2111</v>
      </c>
      <c r="G211" s="7" t="s">
        <v>38</v>
      </c>
      <c r="H211" s="7" t="s">
        <v>39</v>
      </c>
      <c r="I211" s="7" t="s">
        <v>100</v>
      </c>
      <c r="J211" s="7">
        <v>145.12583138889218</v>
      </c>
      <c r="K211" s="7">
        <v>-41.813678212327815</v>
      </c>
      <c r="L211" s="7" t="s">
        <v>41</v>
      </c>
      <c r="M211" s="7" t="s">
        <v>2112</v>
      </c>
      <c r="N211" s="7" t="s">
        <v>2083</v>
      </c>
      <c r="O211" s="7" t="s">
        <v>2083</v>
      </c>
      <c r="P211" s="7"/>
      <c r="Q211" s="7"/>
      <c r="R211" s="7" t="s">
        <v>2113</v>
      </c>
      <c r="S211" s="7" t="s">
        <v>2114</v>
      </c>
      <c r="T211" s="8">
        <v>9584.0</v>
      </c>
      <c r="U211" s="7" t="s">
        <v>2115</v>
      </c>
      <c r="V211" s="7" t="s">
        <v>2086</v>
      </c>
      <c r="W211" s="7"/>
      <c r="X211" s="9">
        <v>1.0</v>
      </c>
      <c r="Y211" s="7" t="s">
        <v>2116</v>
      </c>
      <c r="Z211" s="7"/>
      <c r="AA211" s="10">
        <f t="shared" si="44"/>
        <v>2097100</v>
      </c>
      <c r="AB211" s="7">
        <f>250000*0.67</f>
        <v>167500</v>
      </c>
      <c r="AC211" s="7"/>
      <c r="AD211" s="7"/>
      <c r="AE211" s="10">
        <f t="shared" si="34"/>
        <v>2097100</v>
      </c>
      <c r="AF211" s="10">
        <f>AH211</f>
        <v>1929600</v>
      </c>
      <c r="AG211" s="10">
        <f t="shared" si="35"/>
        <v>2097100</v>
      </c>
      <c r="AH211" s="10">
        <f t="shared" si="36"/>
        <v>1929600</v>
      </c>
      <c r="AI211" s="7">
        <v>1.6E7</v>
      </c>
      <c r="AJ211" s="7">
        <v>0.1206</v>
      </c>
      <c r="AK211" s="7"/>
      <c r="AL211" s="11">
        <v>45587.91341435185</v>
      </c>
    </row>
    <row r="212" ht="12.0" customHeight="1">
      <c r="A212" s="6" t="s">
        <v>2117</v>
      </c>
      <c r="B212" s="7" t="s">
        <v>2118</v>
      </c>
      <c r="C212" s="7" t="s">
        <v>2119</v>
      </c>
      <c r="D212" s="7" t="s">
        <v>2120</v>
      </c>
      <c r="E212" s="7" t="s">
        <v>2121</v>
      </c>
      <c r="F212" s="7" t="s">
        <v>2122</v>
      </c>
      <c r="G212" s="7" t="s">
        <v>540</v>
      </c>
      <c r="H212" s="7" t="s">
        <v>39</v>
      </c>
      <c r="I212" s="7" t="s">
        <v>68</v>
      </c>
      <c r="J212" s="7">
        <v>152.4444394645275</v>
      </c>
      <c r="K212" s="7">
        <v>-28.756549780698673</v>
      </c>
      <c r="L212" s="7" t="s">
        <v>41</v>
      </c>
      <c r="M212" s="7" t="s">
        <v>2123</v>
      </c>
      <c r="N212" s="7" t="s">
        <v>2124</v>
      </c>
      <c r="O212" s="7" t="s">
        <v>2124</v>
      </c>
      <c r="P212" s="7"/>
      <c r="Q212" s="7"/>
      <c r="R212" s="7" t="s">
        <v>2125</v>
      </c>
      <c r="S212" s="7" t="s">
        <v>58</v>
      </c>
      <c r="T212" s="8">
        <v>19400.0</v>
      </c>
      <c r="U212" s="7" t="s">
        <v>2126</v>
      </c>
      <c r="V212" s="7" t="s">
        <v>2127</v>
      </c>
      <c r="W212" s="7"/>
      <c r="X212" s="9">
        <v>1.0</v>
      </c>
      <c r="Y212" s="7" t="s">
        <v>2128</v>
      </c>
      <c r="Z212" s="7"/>
      <c r="AA212" s="7">
        <f>AB212+AF212</f>
        <v>71000</v>
      </c>
      <c r="AB212" s="7">
        <v>16000.0</v>
      </c>
      <c r="AC212" s="7"/>
      <c r="AD212" s="7">
        <v>214400.0</v>
      </c>
      <c r="AE212" s="7">
        <f t="shared" si="34"/>
        <v>71000</v>
      </c>
      <c r="AF212" s="7">
        <v>55000.0</v>
      </c>
      <c r="AG212" s="10">
        <f t="shared" si="35"/>
        <v>16000</v>
      </c>
      <c r="AH212" s="10">
        <f t="shared" si="36"/>
        <v>0</v>
      </c>
      <c r="AI212" s="24"/>
      <c r="AJ212" s="7">
        <v>0.004489000000000001</v>
      </c>
      <c r="AK212" s="7"/>
      <c r="AL212" s="11">
        <v>45741.81892361111</v>
      </c>
    </row>
    <row r="213" ht="12.0" customHeight="1">
      <c r="A213" s="6" t="s">
        <v>2129</v>
      </c>
      <c r="B213" s="7" t="s">
        <v>2130</v>
      </c>
      <c r="C213" s="7" t="s">
        <v>2131</v>
      </c>
      <c r="D213" s="7" t="s">
        <v>2132</v>
      </c>
      <c r="E213" s="7" t="s">
        <v>2121</v>
      </c>
      <c r="F213" s="7" t="s">
        <v>2133</v>
      </c>
      <c r="G213" s="7" t="s">
        <v>540</v>
      </c>
      <c r="H213" s="7" t="s">
        <v>39</v>
      </c>
      <c r="I213" s="7" t="s">
        <v>68</v>
      </c>
      <c r="J213" s="7">
        <v>152.04722419762422</v>
      </c>
      <c r="K213" s="7">
        <v>-30.02266184668115</v>
      </c>
      <c r="L213" s="7" t="s">
        <v>41</v>
      </c>
      <c r="M213" s="7" t="s">
        <v>2134</v>
      </c>
      <c r="N213" s="7" t="s">
        <v>2135</v>
      </c>
      <c r="O213" s="7" t="s">
        <v>2135</v>
      </c>
      <c r="P213" s="7"/>
      <c r="Q213" s="7"/>
      <c r="R213" s="7" t="s">
        <v>2136</v>
      </c>
      <c r="S213" s="7" t="s">
        <v>58</v>
      </c>
      <c r="T213" s="8">
        <v>25000.0</v>
      </c>
      <c r="U213" s="7" t="s">
        <v>2137</v>
      </c>
      <c r="V213" s="7" t="s">
        <v>2138</v>
      </c>
      <c r="W213" s="7"/>
      <c r="X213" s="7"/>
      <c r="Y213" s="7" t="s">
        <v>2139</v>
      </c>
      <c r="Z213" s="7"/>
      <c r="AA213" s="7"/>
      <c r="AB213" s="7"/>
      <c r="AC213" s="7"/>
      <c r="AD213" s="7"/>
      <c r="AE213" s="7">
        <f t="shared" si="34"/>
        <v>0</v>
      </c>
      <c r="AF213" s="7"/>
      <c r="AG213" s="10">
        <f t="shared" si="35"/>
        <v>0</v>
      </c>
      <c r="AH213" s="10">
        <f t="shared" si="36"/>
        <v>0</v>
      </c>
      <c r="AI213" s="7"/>
      <c r="AJ213" s="7">
        <v>0.01005</v>
      </c>
      <c r="AK213" s="7"/>
      <c r="AL213" s="11">
        <v>45734.688680555555</v>
      </c>
    </row>
    <row r="214" ht="12.0" customHeight="1">
      <c r="A214" s="6" t="s">
        <v>2129</v>
      </c>
      <c r="B214" s="7" t="s">
        <v>2140</v>
      </c>
      <c r="C214" s="7" t="s">
        <v>2131</v>
      </c>
      <c r="D214" s="7" t="s">
        <v>2141</v>
      </c>
      <c r="E214" s="7" t="s">
        <v>2121</v>
      </c>
      <c r="F214" s="7" t="s">
        <v>2142</v>
      </c>
      <c r="G214" s="7" t="s">
        <v>540</v>
      </c>
      <c r="H214" s="7" t="s">
        <v>39</v>
      </c>
      <c r="I214" s="7" t="s">
        <v>68</v>
      </c>
      <c r="J214" s="7">
        <v>151.88216291057708</v>
      </c>
      <c r="K214" s="7">
        <v>-30.445798665108388</v>
      </c>
      <c r="L214" s="7" t="s">
        <v>41</v>
      </c>
      <c r="M214" s="7" t="s">
        <v>2143</v>
      </c>
      <c r="N214" s="7" t="s">
        <v>2135</v>
      </c>
      <c r="O214" s="7" t="s">
        <v>2135</v>
      </c>
      <c r="P214" s="7"/>
      <c r="Q214" s="7"/>
      <c r="R214" s="7" t="s">
        <v>2144</v>
      </c>
      <c r="S214" s="7" t="s">
        <v>58</v>
      </c>
      <c r="T214" s="8">
        <v>48800.0</v>
      </c>
      <c r="U214" s="7" t="s">
        <v>2145</v>
      </c>
      <c r="V214" s="7" t="s">
        <v>2138</v>
      </c>
      <c r="W214" s="7"/>
      <c r="X214" s="9">
        <v>1.0</v>
      </c>
      <c r="Y214" s="7" t="s">
        <v>2146</v>
      </c>
      <c r="Z214" s="7"/>
      <c r="AA214" s="7">
        <f>AB214+AC214+AF214</f>
        <v>1239500</v>
      </c>
      <c r="AB214" s="7">
        <v>1239500.0</v>
      </c>
      <c r="AC214" s="7"/>
      <c r="AD214" s="7">
        <v>1700000.0</v>
      </c>
      <c r="AE214" s="7">
        <f t="shared" si="34"/>
        <v>1239500</v>
      </c>
      <c r="AF214" s="7"/>
      <c r="AG214" s="10">
        <f t="shared" si="35"/>
        <v>1836218.75</v>
      </c>
      <c r="AH214" s="10">
        <f t="shared" si="36"/>
        <v>596718.75</v>
      </c>
      <c r="AI214" s="7">
        <v>5.9375E7</v>
      </c>
      <c r="AJ214" s="7">
        <v>0.01005</v>
      </c>
      <c r="AK214" s="7">
        <v>1.5</v>
      </c>
      <c r="AL214" s="11">
        <v>45608.7040162037</v>
      </c>
    </row>
    <row r="215" ht="12.0" customHeight="1">
      <c r="A215" s="6" t="s">
        <v>224</v>
      </c>
      <c r="B215" s="7" t="s">
        <v>2147</v>
      </c>
      <c r="C215" s="7" t="s">
        <v>226</v>
      </c>
      <c r="D215" s="7" t="s">
        <v>2148</v>
      </c>
      <c r="E215" s="7" t="s">
        <v>2149</v>
      </c>
      <c r="F215" s="7" t="s">
        <v>2150</v>
      </c>
      <c r="G215" s="7" t="s">
        <v>540</v>
      </c>
      <c r="H215" s="7" t="s">
        <v>39</v>
      </c>
      <c r="I215" s="7" t="s">
        <v>68</v>
      </c>
      <c r="J215" s="7">
        <v>150.59726967281688</v>
      </c>
      <c r="K215" s="7">
        <v>-29.904155484952618</v>
      </c>
      <c r="L215" s="7" t="s">
        <v>41</v>
      </c>
      <c r="M215" s="7" t="s">
        <v>2151</v>
      </c>
      <c r="N215" s="7" t="s">
        <v>229</v>
      </c>
      <c r="O215" s="7" t="s">
        <v>229</v>
      </c>
      <c r="P215" s="7"/>
      <c r="Q215" s="7"/>
      <c r="R215" s="7" t="s">
        <v>2152</v>
      </c>
      <c r="S215" s="7" t="s">
        <v>58</v>
      </c>
      <c r="T215" s="8">
        <v>48410.0</v>
      </c>
      <c r="U215" s="7" t="s">
        <v>2153</v>
      </c>
      <c r="V215" s="7" t="s">
        <v>232</v>
      </c>
      <c r="W215" s="7"/>
      <c r="X215" s="9">
        <v>1.0</v>
      </c>
      <c r="Y215" s="7" t="s">
        <v>2154</v>
      </c>
      <c r="Z215" s="7"/>
      <c r="AA215" s="10">
        <f>AB215+AC215+AH215</f>
        <v>1760866.669</v>
      </c>
      <c r="AB215" s="7">
        <v>610500.0</v>
      </c>
      <c r="AC215" s="7">
        <v>429000.0</v>
      </c>
      <c r="AD215" s="7"/>
      <c r="AE215" s="7">
        <f t="shared" si="34"/>
        <v>610500</v>
      </c>
      <c r="AF215" s="7"/>
      <c r="AG215" s="10">
        <f t="shared" si="35"/>
        <v>1331866.669</v>
      </c>
      <c r="AH215" s="10">
        <f>AI215*AJ215/2</f>
        <v>721366.6686</v>
      </c>
      <c r="AI215" s="7">
        <v>1.26666667E8</v>
      </c>
      <c r="AJ215" s="7">
        <v>0.01139</v>
      </c>
      <c r="AK215" s="7">
        <v>1.5</v>
      </c>
      <c r="AL215" s="11">
        <v>45699.69112268518</v>
      </c>
    </row>
    <row r="216" ht="12.0" customHeight="1">
      <c r="A216" s="6" t="s">
        <v>2155</v>
      </c>
      <c r="B216" s="7" t="s">
        <v>799</v>
      </c>
      <c r="C216" s="7" t="s">
        <v>2156</v>
      </c>
      <c r="D216" s="7" t="s">
        <v>2157</v>
      </c>
      <c r="E216" s="7" t="s">
        <v>2158</v>
      </c>
      <c r="F216" s="7" t="s">
        <v>2159</v>
      </c>
      <c r="G216" s="7" t="s">
        <v>540</v>
      </c>
      <c r="H216" s="7" t="s">
        <v>39</v>
      </c>
      <c r="I216" s="7" t="s">
        <v>68</v>
      </c>
      <c r="J216" s="7">
        <v>147.51833321598008</v>
      </c>
      <c r="K216" s="7">
        <v>-32.30166676515005</v>
      </c>
      <c r="L216" s="7" t="s">
        <v>41</v>
      </c>
      <c r="M216" s="7" t="s">
        <v>2160</v>
      </c>
      <c r="N216" s="7" t="s">
        <v>2161</v>
      </c>
      <c r="O216" s="7" t="s">
        <v>2161</v>
      </c>
      <c r="P216" s="7"/>
      <c r="Q216" s="7"/>
      <c r="R216" s="7" t="s">
        <v>2162</v>
      </c>
      <c r="S216" s="7" t="s">
        <v>58</v>
      </c>
      <c r="T216" s="8">
        <v>0.0</v>
      </c>
      <c r="U216" s="7" t="s">
        <v>2163</v>
      </c>
      <c r="V216" s="7" t="s">
        <v>2164</v>
      </c>
      <c r="W216" s="7"/>
      <c r="X216" s="9">
        <v>1.0</v>
      </c>
      <c r="Y216" s="7" t="s">
        <v>2165</v>
      </c>
      <c r="Z216" s="7"/>
      <c r="AA216" s="7">
        <f t="shared" ref="AA216:AA218" si="45">AB216+AC216+AF216</f>
        <v>425000</v>
      </c>
      <c r="AB216" s="14"/>
      <c r="AC216" s="13"/>
      <c r="AD216" s="7"/>
      <c r="AE216" s="7">
        <f t="shared" si="34"/>
        <v>425000</v>
      </c>
      <c r="AF216" s="7">
        <v>425000.0</v>
      </c>
      <c r="AG216" s="10">
        <f t="shared" si="35"/>
        <v>0</v>
      </c>
      <c r="AH216" s="10">
        <f t="shared" ref="AH216:AH242" si="46">AI216*AJ216</f>
        <v>0</v>
      </c>
      <c r="AI216" s="7"/>
      <c r="AJ216" s="7">
        <v>0.01206</v>
      </c>
      <c r="AK216" s="7"/>
      <c r="AL216" s="11">
        <v>45595.8662037037</v>
      </c>
    </row>
    <row r="217" ht="12.0" customHeight="1">
      <c r="A217" s="6" t="s">
        <v>2166</v>
      </c>
      <c r="B217" s="7" t="s">
        <v>2167</v>
      </c>
      <c r="C217" s="7" t="s">
        <v>2168</v>
      </c>
      <c r="D217" s="7" t="s">
        <v>2169</v>
      </c>
      <c r="E217" s="7" t="s">
        <v>2170</v>
      </c>
      <c r="F217" s="7"/>
      <c r="G217" s="7" t="s">
        <v>38</v>
      </c>
      <c r="H217" s="7" t="s">
        <v>39</v>
      </c>
      <c r="I217" s="7" t="s">
        <v>68</v>
      </c>
      <c r="J217" s="7">
        <v>146.99293646609112</v>
      </c>
      <c r="K217" s="7">
        <v>-34.50015849444024</v>
      </c>
      <c r="L217" s="7" t="s">
        <v>41</v>
      </c>
      <c r="M217" s="7" t="s">
        <v>2171</v>
      </c>
      <c r="N217" s="7" t="s">
        <v>2172</v>
      </c>
      <c r="O217" s="7" t="s">
        <v>2172</v>
      </c>
      <c r="P217" s="7"/>
      <c r="Q217" s="7"/>
      <c r="R217" s="7" t="s">
        <v>2173</v>
      </c>
      <c r="S217" s="7" t="s">
        <v>2174</v>
      </c>
      <c r="T217" s="8">
        <v>118300.0</v>
      </c>
      <c r="U217" s="7" t="s">
        <v>2175</v>
      </c>
      <c r="V217" s="7" t="s">
        <v>2176</v>
      </c>
      <c r="W217" s="7"/>
      <c r="X217" s="9">
        <v>1.0</v>
      </c>
      <c r="Y217" s="7" t="s">
        <v>2177</v>
      </c>
      <c r="Z217" s="7"/>
      <c r="AA217" s="7">
        <f t="shared" si="45"/>
        <v>1757000</v>
      </c>
      <c r="AB217" s="7">
        <v>1122000.0</v>
      </c>
      <c r="AC217" s="7">
        <v>300000.0</v>
      </c>
      <c r="AD217" s="7"/>
      <c r="AE217" s="7">
        <f t="shared" si="34"/>
        <v>1457000</v>
      </c>
      <c r="AF217" s="7">
        <f>500000*0.67</f>
        <v>335000</v>
      </c>
      <c r="AG217" s="10">
        <f t="shared" si="35"/>
        <v>1490500</v>
      </c>
      <c r="AH217" s="10">
        <f t="shared" si="46"/>
        <v>368500</v>
      </c>
      <c r="AI217" s="7">
        <v>1.0E7</v>
      </c>
      <c r="AJ217" s="7">
        <v>0.03685</v>
      </c>
      <c r="AK217" s="7">
        <v>2.0</v>
      </c>
      <c r="AL217" s="11">
        <v>45629.69008101852</v>
      </c>
    </row>
    <row r="218" ht="12.0" customHeight="1">
      <c r="A218" s="6" t="s">
        <v>2178</v>
      </c>
      <c r="B218" s="7" t="s">
        <v>2179</v>
      </c>
      <c r="C218" s="7" t="s">
        <v>2180</v>
      </c>
      <c r="D218" s="7" t="s">
        <v>2181</v>
      </c>
      <c r="E218" s="7" t="s">
        <v>2170</v>
      </c>
      <c r="F218" s="7"/>
      <c r="G218" s="7" t="s">
        <v>38</v>
      </c>
      <c r="H218" s="7" t="s">
        <v>39</v>
      </c>
      <c r="I218" s="7" t="s">
        <v>100</v>
      </c>
      <c r="J218" s="7">
        <v>145.320593006957</v>
      </c>
      <c r="K218" s="7">
        <v>-41.7039932924301</v>
      </c>
      <c r="L218" s="7" t="s">
        <v>41</v>
      </c>
      <c r="M218" s="7" t="s">
        <v>41</v>
      </c>
      <c r="N218" s="7" t="s">
        <v>2182</v>
      </c>
      <c r="O218" s="7" t="s">
        <v>2182</v>
      </c>
      <c r="P218" s="7"/>
      <c r="Q218" s="7"/>
      <c r="R218" s="7" t="s">
        <v>2183</v>
      </c>
      <c r="S218" s="7" t="s">
        <v>2184</v>
      </c>
      <c r="T218" s="8">
        <v>0.0</v>
      </c>
      <c r="U218" s="7" t="s">
        <v>2185</v>
      </c>
      <c r="V218" s="7" t="s">
        <v>2186</v>
      </c>
      <c r="W218" s="7"/>
      <c r="X218" s="9">
        <v>0.19</v>
      </c>
      <c r="Y218" s="7" t="s">
        <v>2187</v>
      </c>
      <c r="Z218" s="7"/>
      <c r="AA218" s="7">
        <f t="shared" si="45"/>
        <v>5000000</v>
      </c>
      <c r="AB218" s="7">
        <v>2500000.0</v>
      </c>
      <c r="AC218" s="7">
        <v>2500000.0</v>
      </c>
      <c r="AD218" s="7"/>
      <c r="AE218" s="7">
        <f t="shared" si="34"/>
        <v>2500000</v>
      </c>
      <c r="AF218" s="7"/>
      <c r="AG218" s="10">
        <f t="shared" si="35"/>
        <v>2500000</v>
      </c>
      <c r="AH218" s="10">
        <f t="shared" si="46"/>
        <v>0</v>
      </c>
      <c r="AI218" s="7"/>
      <c r="AJ218" s="7">
        <v>0.0</v>
      </c>
      <c r="AK218" s="7"/>
      <c r="AL218" s="11">
        <v>45207.72922453703</v>
      </c>
    </row>
    <row r="219" ht="12.0" customHeight="1">
      <c r="A219" s="6" t="s">
        <v>2188</v>
      </c>
      <c r="B219" s="7" t="s">
        <v>425</v>
      </c>
      <c r="C219" s="7" t="s">
        <v>2189</v>
      </c>
      <c r="D219" s="7" t="s">
        <v>2190</v>
      </c>
      <c r="E219" s="7" t="s">
        <v>2170</v>
      </c>
      <c r="F219" s="7" t="s">
        <v>2191</v>
      </c>
      <c r="G219" s="7" t="s">
        <v>540</v>
      </c>
      <c r="H219" s="7" t="s">
        <v>39</v>
      </c>
      <c r="I219" s="7" t="s">
        <v>100</v>
      </c>
      <c r="J219" s="7">
        <v>145.34099083599736</v>
      </c>
      <c r="K219" s="7">
        <v>-41.88476701758115</v>
      </c>
      <c r="L219" s="7" t="s">
        <v>41</v>
      </c>
      <c r="M219" s="7" t="s">
        <v>2192</v>
      </c>
      <c r="N219" s="7" t="s">
        <v>2193</v>
      </c>
      <c r="O219" s="7" t="s">
        <v>2193</v>
      </c>
      <c r="P219" s="7"/>
      <c r="Q219" s="7"/>
      <c r="R219" s="7" t="s">
        <v>2194</v>
      </c>
      <c r="S219" s="7" t="s">
        <v>58</v>
      </c>
      <c r="T219" s="8">
        <v>0.0</v>
      </c>
      <c r="U219" s="7" t="s">
        <v>2195</v>
      </c>
      <c r="V219" s="7" t="s">
        <v>2196</v>
      </c>
      <c r="W219" s="7"/>
      <c r="X219" s="7"/>
      <c r="Y219" s="7" t="s">
        <v>2197</v>
      </c>
      <c r="Z219" s="7"/>
      <c r="AA219" s="7"/>
      <c r="AB219" s="7"/>
      <c r="AC219" s="7"/>
      <c r="AD219" s="7"/>
      <c r="AE219" s="7">
        <f t="shared" si="34"/>
        <v>0</v>
      </c>
      <c r="AF219" s="7"/>
      <c r="AG219" s="10">
        <f t="shared" si="35"/>
        <v>0</v>
      </c>
      <c r="AH219" s="10">
        <f t="shared" si="46"/>
        <v>0</v>
      </c>
      <c r="AI219" s="7"/>
      <c r="AJ219" s="7">
        <v>0.01072</v>
      </c>
      <c r="AK219" s="7"/>
      <c r="AL219" s="11">
        <v>45628.69289351851</v>
      </c>
    </row>
    <row r="220" ht="12.0" customHeight="1">
      <c r="A220" s="6" t="s">
        <v>2198</v>
      </c>
      <c r="B220" s="7" t="s">
        <v>2199</v>
      </c>
      <c r="C220" s="7" t="s">
        <v>2200</v>
      </c>
      <c r="D220" s="7" t="s">
        <v>2201</v>
      </c>
      <c r="E220" s="7" t="s">
        <v>2170</v>
      </c>
      <c r="F220" s="7" t="s">
        <v>2202</v>
      </c>
      <c r="G220" s="7" t="s">
        <v>540</v>
      </c>
      <c r="H220" s="7" t="s">
        <v>39</v>
      </c>
      <c r="I220" s="7" t="s">
        <v>68</v>
      </c>
      <c r="J220" s="7">
        <v>151.65626816796492</v>
      </c>
      <c r="K220" s="7">
        <v>-29.388532636054386</v>
      </c>
      <c r="L220" s="7" t="s">
        <v>41</v>
      </c>
      <c r="M220" s="7" t="s">
        <v>2203</v>
      </c>
      <c r="N220" s="7" t="s">
        <v>2204</v>
      </c>
      <c r="O220" s="7"/>
      <c r="P220" s="7"/>
      <c r="Q220" s="7"/>
      <c r="R220" s="7" t="s">
        <v>2205</v>
      </c>
      <c r="S220" s="7" t="s">
        <v>58</v>
      </c>
      <c r="T220" s="8">
        <v>0.0</v>
      </c>
      <c r="U220" s="7" t="s">
        <v>2206</v>
      </c>
      <c r="V220" s="7" t="s">
        <v>2207</v>
      </c>
      <c r="W220" s="7"/>
      <c r="X220" s="9">
        <v>1.0</v>
      </c>
      <c r="Y220" s="7" t="s">
        <v>2208</v>
      </c>
      <c r="Z220" s="7"/>
      <c r="AA220" s="7">
        <f>AB220+AC220+AF220</f>
        <v>40000</v>
      </c>
      <c r="AB220" s="7">
        <v>40000.0</v>
      </c>
      <c r="AC220" s="7"/>
      <c r="AD220" s="7"/>
      <c r="AE220" s="7">
        <f t="shared" si="34"/>
        <v>40000</v>
      </c>
      <c r="AF220" s="7"/>
      <c r="AG220" s="10">
        <f t="shared" si="35"/>
        <v>95684.43432</v>
      </c>
      <c r="AH220" s="10">
        <f t="shared" si="46"/>
        <v>55684.43432</v>
      </c>
      <c r="AI220" s="7">
        <v>2444444.0</v>
      </c>
      <c r="AJ220" s="7">
        <v>0.02278</v>
      </c>
      <c r="AK220" s="7"/>
      <c r="AL220" s="11">
        <v>45734.87324074074</v>
      </c>
    </row>
    <row r="221" ht="12.0" customHeight="1">
      <c r="A221" s="6" t="s">
        <v>2209</v>
      </c>
      <c r="B221" s="7" t="s">
        <v>2210</v>
      </c>
      <c r="C221" s="7" t="s">
        <v>2211</v>
      </c>
      <c r="D221" s="7" t="s">
        <v>2212</v>
      </c>
      <c r="E221" s="7" t="s">
        <v>2170</v>
      </c>
      <c r="F221" s="7"/>
      <c r="G221" s="7" t="s">
        <v>540</v>
      </c>
      <c r="H221" s="7" t="s">
        <v>39</v>
      </c>
      <c r="I221" s="7" t="s">
        <v>598</v>
      </c>
      <c r="J221" s="7">
        <v>139.54294831425045</v>
      </c>
      <c r="K221" s="7">
        <v>-29.773508168221</v>
      </c>
      <c r="L221" s="7" t="s">
        <v>41</v>
      </c>
      <c r="M221" s="7" t="s">
        <v>2213</v>
      </c>
      <c r="N221" s="7" t="s">
        <v>2214</v>
      </c>
      <c r="O221" s="7" t="s">
        <v>2214</v>
      </c>
      <c r="P221" s="7"/>
      <c r="Q221" s="7"/>
      <c r="R221" s="7" t="s">
        <v>2215</v>
      </c>
      <c r="S221" s="7" t="s">
        <v>932</v>
      </c>
      <c r="T221" s="8">
        <v>0.0</v>
      </c>
      <c r="U221" s="7" t="s">
        <v>2216</v>
      </c>
      <c r="V221" s="7" t="s">
        <v>2217</v>
      </c>
      <c r="W221" s="7"/>
      <c r="X221" s="7"/>
      <c r="Y221" s="7" t="s">
        <v>2218</v>
      </c>
      <c r="Z221" s="7"/>
      <c r="AA221" s="7"/>
      <c r="AB221" s="7"/>
      <c r="AC221" s="7"/>
      <c r="AD221" s="7"/>
      <c r="AE221" s="7">
        <f t="shared" si="34"/>
        <v>0</v>
      </c>
      <c r="AF221" s="7"/>
      <c r="AG221" s="10">
        <f t="shared" si="35"/>
        <v>0</v>
      </c>
      <c r="AH221" s="10">
        <f t="shared" si="46"/>
        <v>0</v>
      </c>
      <c r="AI221" s="7"/>
      <c r="AJ221" s="7">
        <v>0.023450000000000002</v>
      </c>
      <c r="AK221" s="7"/>
      <c r="AL221" s="11">
        <v>45658.816145833334</v>
      </c>
    </row>
    <row r="222" ht="12.0" customHeight="1">
      <c r="A222" s="6" t="s">
        <v>2219</v>
      </c>
      <c r="B222" s="7" t="s">
        <v>2220</v>
      </c>
      <c r="C222" s="7" t="s">
        <v>2221</v>
      </c>
      <c r="D222" s="7" t="s">
        <v>2222</v>
      </c>
      <c r="E222" s="7" t="s">
        <v>2223</v>
      </c>
      <c r="F222" s="7"/>
      <c r="G222" s="7" t="s">
        <v>540</v>
      </c>
      <c r="H222" s="7" t="s">
        <v>39</v>
      </c>
      <c r="I222" s="7" t="s">
        <v>100</v>
      </c>
      <c r="J222" s="7">
        <v>147.6250574371715</v>
      </c>
      <c r="K222" s="7">
        <v>-41.34919829322481</v>
      </c>
      <c r="L222" s="7" t="s">
        <v>41</v>
      </c>
      <c r="M222" s="7" t="s">
        <v>41</v>
      </c>
      <c r="N222" s="7" t="s">
        <v>2224</v>
      </c>
      <c r="O222" s="7" t="s">
        <v>2224</v>
      </c>
      <c r="P222" s="7" t="s">
        <v>41</v>
      </c>
      <c r="Q222" s="7" t="s">
        <v>41</v>
      </c>
      <c r="R222" s="7" t="s">
        <v>2225</v>
      </c>
      <c r="S222" s="7" t="s">
        <v>58</v>
      </c>
      <c r="T222" s="8">
        <v>0.0</v>
      </c>
      <c r="U222" s="7" t="s">
        <v>2226</v>
      </c>
      <c r="V222" s="7" t="s">
        <v>2227</v>
      </c>
      <c r="W222" s="7"/>
      <c r="X222" s="7"/>
      <c r="Y222" s="7"/>
      <c r="Z222" s="7"/>
      <c r="AA222" s="7"/>
      <c r="AB222" s="7"/>
      <c r="AC222" s="7"/>
      <c r="AD222" s="7"/>
      <c r="AE222" s="7">
        <f t="shared" si="34"/>
        <v>0</v>
      </c>
      <c r="AF222" s="7"/>
      <c r="AG222" s="10">
        <f t="shared" si="35"/>
        <v>0</v>
      </c>
      <c r="AH222" s="10">
        <f t="shared" si="46"/>
        <v>0</v>
      </c>
      <c r="AI222" s="7"/>
      <c r="AJ222" s="7">
        <v>0.0</v>
      </c>
      <c r="AK222" s="7"/>
      <c r="AL222" s="11">
        <v>45118.25</v>
      </c>
    </row>
    <row r="223" ht="12.0" customHeight="1">
      <c r="A223" s="6" t="s">
        <v>2228</v>
      </c>
      <c r="B223" s="7" t="s">
        <v>2229</v>
      </c>
      <c r="C223" s="7" t="s">
        <v>2230</v>
      </c>
      <c r="D223" s="7" t="s">
        <v>2231</v>
      </c>
      <c r="E223" s="7" t="s">
        <v>2232</v>
      </c>
      <c r="F223" s="7"/>
      <c r="G223" s="7" t="s">
        <v>540</v>
      </c>
      <c r="H223" s="7" t="s">
        <v>39</v>
      </c>
      <c r="I223" s="7" t="s">
        <v>40</v>
      </c>
      <c r="J223" s="7">
        <v>119.12221154427773</v>
      </c>
      <c r="K223" s="7">
        <v>-29.605349172295575</v>
      </c>
      <c r="L223" s="7" t="s">
        <v>41</v>
      </c>
      <c r="M223" s="7" t="s">
        <v>2233</v>
      </c>
      <c r="N223" s="7" t="s">
        <v>2234</v>
      </c>
      <c r="O223" s="7" t="s">
        <v>2234</v>
      </c>
      <c r="P223" s="7"/>
      <c r="Q223" s="7"/>
      <c r="R223" s="7" t="s">
        <v>2235</v>
      </c>
      <c r="S223" s="7" t="s">
        <v>58</v>
      </c>
      <c r="T223" s="8">
        <v>51000.0</v>
      </c>
      <c r="U223" s="7" t="s">
        <v>2236</v>
      </c>
      <c r="V223" s="7" t="s">
        <v>2237</v>
      </c>
      <c r="W223" s="7"/>
      <c r="X223" s="9">
        <v>1.0</v>
      </c>
      <c r="Y223" s="7" t="s">
        <v>2238</v>
      </c>
      <c r="Z223" s="7"/>
      <c r="AA223" s="7"/>
      <c r="AB223" s="7"/>
      <c r="AC223" s="7"/>
      <c r="AD223" s="7"/>
      <c r="AE223" s="7">
        <f t="shared" si="34"/>
        <v>0</v>
      </c>
      <c r="AF223" s="7"/>
      <c r="AG223" s="10">
        <f t="shared" si="35"/>
        <v>0</v>
      </c>
      <c r="AH223" s="10">
        <f t="shared" si="46"/>
        <v>0</v>
      </c>
      <c r="AI223" s="7"/>
      <c r="AJ223" s="7">
        <v>0.0804</v>
      </c>
      <c r="AK223" s="7"/>
      <c r="AL223" s="11">
        <v>45746.638344907406</v>
      </c>
    </row>
    <row r="224" ht="12.0" customHeight="1">
      <c r="A224" s="6" t="s">
        <v>2239</v>
      </c>
      <c r="B224" s="7" t="s">
        <v>2240</v>
      </c>
      <c r="C224" s="7" t="s">
        <v>2241</v>
      </c>
      <c r="D224" s="7" t="s">
        <v>2242</v>
      </c>
      <c r="E224" s="7" t="s">
        <v>2243</v>
      </c>
      <c r="F224" s="7"/>
      <c r="G224" s="7" t="s">
        <v>38</v>
      </c>
      <c r="H224" s="7" t="s">
        <v>39</v>
      </c>
      <c r="I224" s="7" t="s">
        <v>1025</v>
      </c>
      <c r="J224" s="7">
        <v>131.0061956676265</v>
      </c>
      <c r="K224" s="7">
        <v>-13.03543856871577</v>
      </c>
      <c r="L224" s="7" t="s">
        <v>41</v>
      </c>
      <c r="M224" s="7" t="s">
        <v>41</v>
      </c>
      <c r="N224" s="7" t="s">
        <v>2244</v>
      </c>
      <c r="O224" s="7"/>
      <c r="P224" s="7"/>
      <c r="Q224" s="7"/>
      <c r="R224" s="7" t="s">
        <v>2245</v>
      </c>
      <c r="S224" s="7" t="s">
        <v>58</v>
      </c>
      <c r="T224" s="8">
        <v>234.0</v>
      </c>
      <c r="U224" s="7" t="s">
        <v>2246</v>
      </c>
      <c r="V224" s="7" t="s">
        <v>2247</v>
      </c>
      <c r="W224" s="7"/>
      <c r="X224" s="9">
        <v>1.0</v>
      </c>
      <c r="Y224" s="7" t="s">
        <v>2248</v>
      </c>
      <c r="Z224" s="7"/>
      <c r="AA224" s="7">
        <f>AB224+AC224+AF224</f>
        <v>2914500</v>
      </c>
      <c r="AB224" s="7">
        <f>4350000*0.67</f>
        <v>2914500</v>
      </c>
      <c r="AC224" s="7"/>
      <c r="AD224" s="7"/>
      <c r="AE224" s="7">
        <f t="shared" si="34"/>
        <v>2914500</v>
      </c>
      <c r="AF224" s="7"/>
      <c r="AG224" s="10">
        <f t="shared" si="35"/>
        <v>2914500</v>
      </c>
      <c r="AH224" s="10">
        <f t="shared" si="46"/>
        <v>0</v>
      </c>
      <c r="AI224" s="7"/>
      <c r="AJ224" s="7">
        <v>0.00536</v>
      </c>
      <c r="AK224" s="7">
        <v>10.0</v>
      </c>
      <c r="AL224" s="11">
        <v>45645.97728009259</v>
      </c>
    </row>
    <row r="225" ht="12.0" customHeight="1">
      <c r="A225" s="6" t="s">
        <v>2249</v>
      </c>
      <c r="B225" s="7" t="s">
        <v>2250</v>
      </c>
      <c r="C225" s="7" t="s">
        <v>2251</v>
      </c>
      <c r="D225" s="7" t="s">
        <v>2252</v>
      </c>
      <c r="E225" s="7" t="s">
        <v>2243</v>
      </c>
      <c r="F225" s="7" t="s">
        <v>2253</v>
      </c>
      <c r="G225" s="7" t="s">
        <v>38</v>
      </c>
      <c r="H225" s="7" t="s">
        <v>39</v>
      </c>
      <c r="I225" s="7" t="s">
        <v>1025</v>
      </c>
      <c r="J225" s="7">
        <v>133.3418437414966</v>
      </c>
      <c r="K225" s="7">
        <v>-12.186812164645213</v>
      </c>
      <c r="L225" s="7" t="s">
        <v>41</v>
      </c>
      <c r="M225" s="7" t="s">
        <v>2254</v>
      </c>
      <c r="N225" s="7" t="s">
        <v>2255</v>
      </c>
      <c r="O225" s="7" t="s">
        <v>2255</v>
      </c>
      <c r="P225" s="7"/>
      <c r="Q225" s="7"/>
      <c r="R225" s="7" t="s">
        <v>2256</v>
      </c>
      <c r="S225" s="7" t="s">
        <v>58</v>
      </c>
      <c r="T225" s="8">
        <v>0.0</v>
      </c>
      <c r="U225" s="7" t="s">
        <v>2257</v>
      </c>
      <c r="V225" s="7" t="s">
        <v>2258</v>
      </c>
      <c r="W225" s="7"/>
      <c r="X225" s="9">
        <v>1.0</v>
      </c>
      <c r="Y225" s="7" t="s">
        <v>2259</v>
      </c>
      <c r="Z225" s="7"/>
      <c r="AA225" s="7"/>
      <c r="AB225" s="7"/>
      <c r="AC225" s="7"/>
      <c r="AD225" s="7"/>
      <c r="AE225" s="7">
        <f t="shared" si="34"/>
        <v>0</v>
      </c>
      <c r="AF225" s="7"/>
      <c r="AG225" s="10">
        <f t="shared" si="35"/>
        <v>0</v>
      </c>
      <c r="AH225" s="10">
        <f t="shared" si="46"/>
        <v>0</v>
      </c>
      <c r="AI225" s="7"/>
      <c r="AJ225" s="7">
        <v>0.06633000000000001</v>
      </c>
      <c r="AK225" s="7"/>
      <c r="AL225" s="11">
        <v>45699.63810185185</v>
      </c>
    </row>
    <row r="226" ht="12.0" customHeight="1">
      <c r="A226" s="6" t="s">
        <v>2260</v>
      </c>
      <c r="B226" s="7" t="s">
        <v>2261</v>
      </c>
      <c r="C226" s="7" t="s">
        <v>2262</v>
      </c>
      <c r="D226" s="7" t="s">
        <v>2263</v>
      </c>
      <c r="E226" s="7" t="s">
        <v>2243</v>
      </c>
      <c r="F226" s="7"/>
      <c r="G226" s="7" t="s">
        <v>38</v>
      </c>
      <c r="H226" s="7" t="s">
        <v>39</v>
      </c>
      <c r="I226" s="7" t="s">
        <v>598</v>
      </c>
      <c r="J226" s="7">
        <v>137.37275357608</v>
      </c>
      <c r="K226" s="7">
        <v>-33.14925949192402</v>
      </c>
      <c r="L226" s="7" t="s">
        <v>41</v>
      </c>
      <c r="M226" s="7" t="s">
        <v>2264</v>
      </c>
      <c r="N226" s="7" t="s">
        <v>2265</v>
      </c>
      <c r="O226" s="7" t="s">
        <v>2265</v>
      </c>
      <c r="P226" s="7"/>
      <c r="Q226" s="7"/>
      <c r="R226" s="7" t="s">
        <v>2266</v>
      </c>
      <c r="S226" s="7" t="s">
        <v>1667</v>
      </c>
      <c r="T226" s="8">
        <v>0.0</v>
      </c>
      <c r="U226" s="7" t="s">
        <v>2267</v>
      </c>
      <c r="V226" s="7" t="s">
        <v>2268</v>
      </c>
      <c r="W226" s="7"/>
      <c r="X226" s="7"/>
      <c r="Y226" s="7" t="s">
        <v>2269</v>
      </c>
      <c r="Z226" s="7"/>
      <c r="AA226" s="7">
        <f>AB226+AC226+AF226</f>
        <v>125000</v>
      </c>
      <c r="AB226" s="7"/>
      <c r="AC226" s="7"/>
      <c r="AD226" s="7"/>
      <c r="AE226" s="7">
        <f t="shared" si="34"/>
        <v>125000</v>
      </c>
      <c r="AF226" s="7">
        <v>125000.0</v>
      </c>
      <c r="AG226" s="10">
        <f t="shared" si="35"/>
        <v>0</v>
      </c>
      <c r="AH226" s="10">
        <f t="shared" si="46"/>
        <v>0</v>
      </c>
      <c r="AI226" s="7"/>
      <c r="AJ226" s="7">
        <v>0.02144</v>
      </c>
      <c r="AK226" s="7"/>
      <c r="AL226" s="11">
        <v>45089.72969907407</v>
      </c>
    </row>
    <row r="227" ht="12.0" customHeight="1">
      <c r="A227" s="6" t="s">
        <v>2270</v>
      </c>
      <c r="B227" s="7" t="s">
        <v>2271</v>
      </c>
      <c r="C227" s="7" t="s">
        <v>2272</v>
      </c>
      <c r="D227" s="7" t="s">
        <v>2273</v>
      </c>
      <c r="E227" s="7" t="s">
        <v>2243</v>
      </c>
      <c r="F227" s="7" t="s">
        <v>2274</v>
      </c>
      <c r="G227" s="7" t="s">
        <v>540</v>
      </c>
      <c r="H227" s="7" t="s">
        <v>39</v>
      </c>
      <c r="I227" s="7" t="s">
        <v>598</v>
      </c>
      <c r="J227" s="7">
        <v>135.5913694402395</v>
      </c>
      <c r="K227" s="7">
        <v>-34.3249345799898</v>
      </c>
      <c r="L227" s="7" t="s">
        <v>41</v>
      </c>
      <c r="M227" s="7" t="s">
        <v>2275</v>
      </c>
      <c r="N227" s="7" t="s">
        <v>2276</v>
      </c>
      <c r="O227" s="7"/>
      <c r="P227" s="7"/>
      <c r="Q227" s="7"/>
      <c r="R227" s="7" t="s">
        <v>2277</v>
      </c>
      <c r="S227" s="7" t="s">
        <v>58</v>
      </c>
      <c r="T227" s="8">
        <v>95200.0</v>
      </c>
      <c r="U227" s="7" t="s">
        <v>2278</v>
      </c>
      <c r="V227" s="7" t="s">
        <v>2279</v>
      </c>
      <c r="W227" s="7"/>
      <c r="X227" s="9">
        <v>1.0</v>
      </c>
      <c r="Y227" s="7" t="s">
        <v>2280</v>
      </c>
      <c r="Z227" s="7"/>
      <c r="AA227" s="7">
        <f>AB227+AF227</f>
        <v>319600</v>
      </c>
      <c r="AB227" s="7">
        <v>19600.0</v>
      </c>
      <c r="AC227" s="7"/>
      <c r="AD227" s="7"/>
      <c r="AE227" s="7">
        <f t="shared" si="34"/>
        <v>319600</v>
      </c>
      <c r="AF227" s="7">
        <v>300000.0</v>
      </c>
      <c r="AG227" s="10">
        <f t="shared" si="35"/>
        <v>19600</v>
      </c>
      <c r="AH227" s="10">
        <f t="shared" si="46"/>
        <v>0</v>
      </c>
      <c r="AI227" s="7"/>
      <c r="AJ227" s="7">
        <v>0.0</v>
      </c>
      <c r="AK227" s="7">
        <v>1.0</v>
      </c>
      <c r="AL227" s="11">
        <v>45677.67670138889</v>
      </c>
    </row>
    <row r="228" ht="12.0" customHeight="1">
      <c r="A228" s="6" t="s">
        <v>2281</v>
      </c>
      <c r="B228" s="7" t="s">
        <v>2282</v>
      </c>
      <c r="C228" s="7" t="s">
        <v>2283</v>
      </c>
      <c r="D228" s="7" t="s">
        <v>2284</v>
      </c>
      <c r="E228" s="7" t="s">
        <v>2243</v>
      </c>
      <c r="F228" s="7"/>
      <c r="G228" s="7" t="s">
        <v>540</v>
      </c>
      <c r="H228" s="7" t="s">
        <v>39</v>
      </c>
      <c r="I228" s="7" t="s">
        <v>1025</v>
      </c>
      <c r="J228" s="7">
        <v>131.47845088901016</v>
      </c>
      <c r="K228" s="7">
        <v>-13.848130008711228</v>
      </c>
      <c r="L228" s="7" t="s">
        <v>41</v>
      </c>
      <c r="M228" s="7" t="s">
        <v>2285</v>
      </c>
      <c r="N228" s="7" t="s">
        <v>2286</v>
      </c>
      <c r="O228" s="7" t="s">
        <v>2286</v>
      </c>
      <c r="P228" s="7"/>
      <c r="Q228" s="7"/>
      <c r="R228" s="7" t="s">
        <v>2287</v>
      </c>
      <c r="S228" s="7" t="s">
        <v>58</v>
      </c>
      <c r="T228" s="8">
        <v>0.0</v>
      </c>
      <c r="U228" s="7" t="s">
        <v>2288</v>
      </c>
      <c r="V228" s="7" t="s">
        <v>2289</v>
      </c>
      <c r="W228" s="7"/>
      <c r="X228" s="9">
        <v>0.8</v>
      </c>
      <c r="Y228" s="7" t="s">
        <v>2290</v>
      </c>
      <c r="Z228" s="7"/>
      <c r="AA228" s="7">
        <f t="shared" ref="AA228:AA229" si="47">AB228</f>
        <v>13200</v>
      </c>
      <c r="AB228" s="7">
        <v>13200.0</v>
      </c>
      <c r="AC228" s="7"/>
      <c r="AD228" s="7"/>
      <c r="AE228" s="7">
        <f t="shared" si="34"/>
        <v>13200</v>
      </c>
      <c r="AF228" s="7"/>
      <c r="AG228" s="10">
        <f t="shared" si="35"/>
        <v>13200</v>
      </c>
      <c r="AH228" s="10">
        <f t="shared" si="46"/>
        <v>0</v>
      </c>
      <c r="AI228" s="7"/>
      <c r="AJ228" s="7">
        <v>0.0</v>
      </c>
      <c r="AK228" s="7">
        <v>1.5</v>
      </c>
      <c r="AL228" s="11">
        <v>45539.70266203704</v>
      </c>
    </row>
    <row r="229" ht="12.0" customHeight="1">
      <c r="A229" s="6" t="s">
        <v>2281</v>
      </c>
      <c r="B229" s="7" t="s">
        <v>1380</v>
      </c>
      <c r="C229" s="7" t="s">
        <v>2283</v>
      </c>
      <c r="D229" s="7" t="s">
        <v>2291</v>
      </c>
      <c r="E229" s="7" t="s">
        <v>2243</v>
      </c>
      <c r="F229" s="7"/>
      <c r="G229" s="7" t="s">
        <v>540</v>
      </c>
      <c r="H229" s="7" t="s">
        <v>39</v>
      </c>
      <c r="I229" s="7" t="s">
        <v>1025</v>
      </c>
      <c r="J229" s="7">
        <v>135.6587261165369</v>
      </c>
      <c r="K229" s="7">
        <v>-21.558481151071664</v>
      </c>
      <c r="L229" s="7" t="s">
        <v>41</v>
      </c>
      <c r="M229" s="7" t="s">
        <v>2292</v>
      </c>
      <c r="N229" s="7" t="s">
        <v>2286</v>
      </c>
      <c r="O229" s="7" t="s">
        <v>2286</v>
      </c>
      <c r="P229" s="7"/>
      <c r="Q229" s="7"/>
      <c r="R229" s="7" t="s">
        <v>2293</v>
      </c>
      <c r="S229" s="7" t="s">
        <v>58</v>
      </c>
      <c r="T229" s="8">
        <v>56600.0</v>
      </c>
      <c r="U229" s="7" t="s">
        <v>2294</v>
      </c>
      <c r="V229" s="7" t="s">
        <v>2289</v>
      </c>
      <c r="W229" s="7"/>
      <c r="X229" s="9">
        <v>0.8</v>
      </c>
      <c r="Y229" s="7" t="s">
        <v>2295</v>
      </c>
      <c r="Z229" s="7"/>
      <c r="AA229" s="7">
        <f t="shared" si="47"/>
        <v>6600</v>
      </c>
      <c r="AB229" s="7">
        <v>6600.0</v>
      </c>
      <c r="AC229" s="7"/>
      <c r="AD229" s="7"/>
      <c r="AE229" s="7">
        <f t="shared" si="34"/>
        <v>6600</v>
      </c>
      <c r="AF229" s="7"/>
      <c r="AG229" s="10">
        <f t="shared" si="35"/>
        <v>6600</v>
      </c>
      <c r="AH229" s="10">
        <f t="shared" si="46"/>
        <v>0</v>
      </c>
      <c r="AI229" s="7"/>
      <c r="AJ229" s="7">
        <v>0.0</v>
      </c>
      <c r="AK229" s="7">
        <v>1.5</v>
      </c>
      <c r="AL229" s="11">
        <v>45615.63942129629</v>
      </c>
    </row>
    <row r="230" ht="12.0" customHeight="1">
      <c r="A230" s="6" t="s">
        <v>2296</v>
      </c>
      <c r="B230" s="7" t="s">
        <v>2297</v>
      </c>
      <c r="C230" s="7" t="s">
        <v>2298</v>
      </c>
      <c r="D230" s="7" t="s">
        <v>2299</v>
      </c>
      <c r="E230" s="7" t="s">
        <v>2243</v>
      </c>
      <c r="F230" s="7" t="s">
        <v>2300</v>
      </c>
      <c r="G230" s="7" t="s">
        <v>540</v>
      </c>
      <c r="H230" s="7" t="s">
        <v>39</v>
      </c>
      <c r="I230" s="7" t="s">
        <v>40</v>
      </c>
      <c r="J230" s="7">
        <v>123.50000021739625</v>
      </c>
      <c r="K230" s="7">
        <v>-31.240579752471294</v>
      </c>
      <c r="L230" s="7" t="s">
        <v>41</v>
      </c>
      <c r="M230" s="7" t="s">
        <v>2301</v>
      </c>
      <c r="N230" s="7" t="s">
        <v>2302</v>
      </c>
      <c r="O230" s="7" t="s">
        <v>2302</v>
      </c>
      <c r="P230" s="7"/>
      <c r="Q230" s="7"/>
      <c r="R230" s="7" t="s">
        <v>2303</v>
      </c>
      <c r="S230" s="7" t="s">
        <v>58</v>
      </c>
      <c r="T230" s="8">
        <v>0.0</v>
      </c>
      <c r="U230" s="7" t="s">
        <v>2304</v>
      </c>
      <c r="V230" s="7" t="s">
        <v>2305</v>
      </c>
      <c r="W230" s="7"/>
      <c r="X230" s="9">
        <v>1.0</v>
      </c>
      <c r="Y230" s="7" t="s">
        <v>2306</v>
      </c>
      <c r="Z230" s="7"/>
      <c r="AA230" s="7">
        <f t="shared" ref="AA230:AA231" si="48">AB230+AC230+AF230</f>
        <v>33500</v>
      </c>
      <c r="AB230" s="7">
        <v>33500.0</v>
      </c>
      <c r="AC230" s="7"/>
      <c r="AD230" s="7"/>
      <c r="AE230" s="7">
        <f t="shared" si="34"/>
        <v>33500</v>
      </c>
      <c r="AF230" s="7"/>
      <c r="AG230" s="10">
        <f t="shared" si="35"/>
        <v>33500</v>
      </c>
      <c r="AH230" s="10">
        <f t="shared" si="46"/>
        <v>0</v>
      </c>
      <c r="AI230" s="7"/>
      <c r="AJ230" s="7">
        <v>0.046900000000000004</v>
      </c>
      <c r="AK230" s="7"/>
      <c r="AL230" s="11">
        <v>45614.647152777776</v>
      </c>
    </row>
    <row r="231" ht="12.0" customHeight="1">
      <c r="A231" s="6" t="s">
        <v>2307</v>
      </c>
      <c r="B231" s="7" t="s">
        <v>2308</v>
      </c>
      <c r="C231" s="7" t="s">
        <v>2309</v>
      </c>
      <c r="D231" s="7" t="s">
        <v>2310</v>
      </c>
      <c r="E231" s="7" t="s">
        <v>2243</v>
      </c>
      <c r="F231" s="7"/>
      <c r="G231" s="7" t="s">
        <v>540</v>
      </c>
      <c r="H231" s="7" t="s">
        <v>39</v>
      </c>
      <c r="I231" s="7" t="s">
        <v>1025</v>
      </c>
      <c r="J231" s="7">
        <v>133.71706189590728</v>
      </c>
      <c r="K231" s="7">
        <v>-12.60917636213991</v>
      </c>
      <c r="L231" s="7" t="s">
        <v>41</v>
      </c>
      <c r="M231" s="7" t="s">
        <v>2311</v>
      </c>
      <c r="N231" s="7" t="s">
        <v>2312</v>
      </c>
      <c r="O231" s="7" t="s">
        <v>2312</v>
      </c>
      <c r="P231" s="7"/>
      <c r="Q231" s="7"/>
      <c r="R231" s="7" t="s">
        <v>2313</v>
      </c>
      <c r="S231" s="7" t="s">
        <v>45</v>
      </c>
      <c r="T231" s="8">
        <v>122900.0</v>
      </c>
      <c r="U231" s="7" t="s">
        <v>2314</v>
      </c>
      <c r="V231" s="7" t="s">
        <v>2315</v>
      </c>
      <c r="W231" s="7"/>
      <c r="X231" s="7"/>
      <c r="Y231" s="7" t="s">
        <v>2316</v>
      </c>
      <c r="Z231" s="7"/>
      <c r="AA231" s="7">
        <f t="shared" si="48"/>
        <v>5460500</v>
      </c>
      <c r="AB231" s="7">
        <v>100500.0</v>
      </c>
      <c r="AC231" s="7">
        <v>5360000.0</v>
      </c>
      <c r="AD231" s="7"/>
      <c r="AE231" s="7">
        <f t="shared" si="34"/>
        <v>100500</v>
      </c>
      <c r="AF231" s="7"/>
      <c r="AG231" s="10">
        <f t="shared" si="35"/>
        <v>100500</v>
      </c>
      <c r="AH231" s="10">
        <f t="shared" si="46"/>
        <v>0</v>
      </c>
      <c r="AI231" s="7"/>
      <c r="AJ231" s="7">
        <v>0.00402</v>
      </c>
      <c r="AK231" s="7"/>
      <c r="AL231" s="11">
        <v>45725.70092592592</v>
      </c>
    </row>
    <row r="232" ht="12.0" customHeight="1">
      <c r="A232" s="6" t="s">
        <v>2317</v>
      </c>
      <c r="B232" s="7" t="s">
        <v>966</v>
      </c>
      <c r="C232" s="7" t="s">
        <v>2318</v>
      </c>
      <c r="D232" s="7" t="s">
        <v>2319</v>
      </c>
      <c r="E232" s="7" t="s">
        <v>2243</v>
      </c>
      <c r="F232" s="7" t="s">
        <v>2320</v>
      </c>
      <c r="G232" s="7" t="s">
        <v>540</v>
      </c>
      <c r="H232" s="7" t="s">
        <v>39</v>
      </c>
      <c r="I232" s="7" t="s">
        <v>40</v>
      </c>
      <c r="J232" s="7">
        <v>123.79540131574213</v>
      </c>
      <c r="K232" s="7">
        <v>-29.885963967292472</v>
      </c>
      <c r="L232" s="7" t="s">
        <v>41</v>
      </c>
      <c r="M232" s="7" t="s">
        <v>2321</v>
      </c>
      <c r="N232" s="7" t="s">
        <v>2322</v>
      </c>
      <c r="O232" s="7" t="s">
        <v>2322</v>
      </c>
      <c r="P232" s="7"/>
      <c r="Q232" s="7"/>
      <c r="R232" s="7" t="s">
        <v>2323</v>
      </c>
      <c r="S232" s="7" t="s">
        <v>58</v>
      </c>
      <c r="T232" s="8">
        <v>0.0</v>
      </c>
      <c r="U232" s="7" t="s">
        <v>2324</v>
      </c>
      <c r="V232" s="7" t="s">
        <v>2325</v>
      </c>
      <c r="W232" s="7"/>
      <c r="X232" s="9">
        <v>1.0</v>
      </c>
      <c r="Y232" s="7" t="s">
        <v>2326</v>
      </c>
      <c r="Z232" s="7"/>
      <c r="AA232" s="7"/>
      <c r="AB232" s="7"/>
      <c r="AC232" s="7"/>
      <c r="AD232" s="7"/>
      <c r="AE232" s="7">
        <f t="shared" si="34"/>
        <v>0</v>
      </c>
      <c r="AF232" s="7"/>
      <c r="AG232" s="10">
        <f t="shared" si="35"/>
        <v>0</v>
      </c>
      <c r="AH232" s="10">
        <f t="shared" si="46"/>
        <v>0</v>
      </c>
      <c r="AI232" s="7"/>
      <c r="AJ232" s="7">
        <v>0.03819</v>
      </c>
      <c r="AK232" s="7"/>
      <c r="AL232" s="11">
        <v>45644.635624999995</v>
      </c>
    </row>
    <row r="233" ht="12.0" customHeight="1">
      <c r="A233" s="6" t="s">
        <v>2281</v>
      </c>
      <c r="B233" s="7" t="s">
        <v>936</v>
      </c>
      <c r="C233" s="7" t="s">
        <v>2327</v>
      </c>
      <c r="D233" s="7" t="s">
        <v>2328</v>
      </c>
      <c r="E233" s="7" t="s">
        <v>2243</v>
      </c>
      <c r="F233" s="7"/>
      <c r="G233" s="7" t="s">
        <v>540</v>
      </c>
      <c r="H233" s="7" t="s">
        <v>39</v>
      </c>
      <c r="I233" s="7" t="s">
        <v>132</v>
      </c>
      <c r="J233" s="7">
        <v>144.48491705682525</v>
      </c>
      <c r="K233" s="7">
        <v>-18.820960786343637</v>
      </c>
      <c r="L233" s="7" t="s">
        <v>41</v>
      </c>
      <c r="M233" s="7" t="s">
        <v>2329</v>
      </c>
      <c r="N233" s="7" t="s">
        <v>2286</v>
      </c>
      <c r="O233" s="7" t="s">
        <v>2286</v>
      </c>
      <c r="P233" s="7"/>
      <c r="Q233" s="7"/>
      <c r="R233" s="7" t="s">
        <v>2330</v>
      </c>
      <c r="S233" s="7" t="s">
        <v>58</v>
      </c>
      <c r="T233" s="8">
        <v>9000.0</v>
      </c>
      <c r="U233" s="7" t="s">
        <v>2331</v>
      </c>
      <c r="V233" s="7" t="s">
        <v>2289</v>
      </c>
      <c r="W233" s="7"/>
      <c r="X233" s="9">
        <v>1.0</v>
      </c>
      <c r="Y233" s="7" t="s">
        <v>2332</v>
      </c>
      <c r="Z233" s="7"/>
      <c r="AA233" s="7">
        <f t="shared" ref="AA233:AA237" si="49">AB233+AC233+AF233</f>
        <v>134000</v>
      </c>
      <c r="AB233" s="7">
        <f>200000*0.67</f>
        <v>134000</v>
      </c>
      <c r="AC233" s="7"/>
      <c r="AD233" s="7"/>
      <c r="AE233" s="7">
        <f t="shared" si="34"/>
        <v>134000</v>
      </c>
      <c r="AF233" s="7"/>
      <c r="AG233" s="10">
        <f t="shared" si="35"/>
        <v>670000</v>
      </c>
      <c r="AH233" s="10">
        <f t="shared" si="46"/>
        <v>536000</v>
      </c>
      <c r="AI233" s="7">
        <v>2.0E7</v>
      </c>
      <c r="AJ233" s="7">
        <v>0.0268</v>
      </c>
      <c r="AK233" s="7"/>
      <c r="AL233" s="11">
        <v>45669.65525462963</v>
      </c>
    </row>
    <row r="234" ht="12.0" customHeight="1">
      <c r="A234" s="6" t="s">
        <v>2333</v>
      </c>
      <c r="B234" s="7" t="s">
        <v>2334</v>
      </c>
      <c r="C234" s="7" t="s">
        <v>2335</v>
      </c>
      <c r="D234" s="7" t="s">
        <v>2336</v>
      </c>
      <c r="E234" s="7" t="s">
        <v>2243</v>
      </c>
      <c r="F234" s="7"/>
      <c r="G234" s="7" t="s">
        <v>540</v>
      </c>
      <c r="H234" s="7" t="s">
        <v>39</v>
      </c>
      <c r="I234" s="7" t="s">
        <v>598</v>
      </c>
      <c r="J234" s="7">
        <v>139.79876268996455</v>
      </c>
      <c r="K234" s="7">
        <v>-33.59304357579737</v>
      </c>
      <c r="L234" s="7" t="s">
        <v>41</v>
      </c>
      <c r="M234" s="7" t="s">
        <v>2337</v>
      </c>
      <c r="N234" s="7" t="s">
        <v>2338</v>
      </c>
      <c r="O234" s="7" t="s">
        <v>2338</v>
      </c>
      <c r="P234" s="7"/>
      <c r="Q234" s="7"/>
      <c r="R234" s="7" t="s">
        <v>2339</v>
      </c>
      <c r="S234" s="7" t="s">
        <v>58</v>
      </c>
      <c r="T234" s="8">
        <v>0.0</v>
      </c>
      <c r="U234" s="7" t="s">
        <v>2340</v>
      </c>
      <c r="V234" s="7" t="s">
        <v>2341</v>
      </c>
      <c r="W234" s="7"/>
      <c r="X234" s="9">
        <v>1.0</v>
      </c>
      <c r="Y234" s="7" t="s">
        <v>2342</v>
      </c>
      <c r="Z234" s="7"/>
      <c r="AA234" s="7">
        <f t="shared" si="49"/>
        <v>200000</v>
      </c>
      <c r="AB234" s="7"/>
      <c r="AC234" s="7">
        <v>200000.0</v>
      </c>
      <c r="AD234" s="7"/>
      <c r="AE234" s="7">
        <f t="shared" si="34"/>
        <v>0</v>
      </c>
      <c r="AF234" s="7"/>
      <c r="AG234" s="10">
        <f t="shared" si="35"/>
        <v>0</v>
      </c>
      <c r="AH234" s="10">
        <f t="shared" si="46"/>
        <v>0</v>
      </c>
      <c r="AI234" s="7"/>
      <c r="AJ234" s="7">
        <v>0.0</v>
      </c>
      <c r="AK234" s="7"/>
      <c r="AL234" s="11">
        <v>45614.69039351852</v>
      </c>
    </row>
    <row r="235" ht="12.0" customHeight="1">
      <c r="A235" s="6" t="s">
        <v>2281</v>
      </c>
      <c r="B235" s="7" t="s">
        <v>869</v>
      </c>
      <c r="C235" s="7" t="s">
        <v>2283</v>
      </c>
      <c r="D235" s="7" t="s">
        <v>2343</v>
      </c>
      <c r="E235" s="7" t="s">
        <v>2243</v>
      </c>
      <c r="F235" s="7" t="s">
        <v>2344</v>
      </c>
      <c r="G235" s="7" t="s">
        <v>540</v>
      </c>
      <c r="H235" s="7" t="s">
        <v>39</v>
      </c>
      <c r="I235" s="7" t="s">
        <v>1025</v>
      </c>
      <c r="J235" s="7">
        <v>137.88972743650822</v>
      </c>
      <c r="K235" s="7">
        <v>-22.313895099011553</v>
      </c>
      <c r="L235" s="7" t="s">
        <v>41</v>
      </c>
      <c r="M235" s="7" t="s">
        <v>2345</v>
      </c>
      <c r="N235" s="7" t="s">
        <v>2286</v>
      </c>
      <c r="O235" s="7" t="s">
        <v>2286</v>
      </c>
      <c r="P235" s="7"/>
      <c r="Q235" s="7"/>
      <c r="R235" s="7" t="s">
        <v>2346</v>
      </c>
      <c r="S235" s="7" t="s">
        <v>58</v>
      </c>
      <c r="T235" s="8">
        <v>97100.0</v>
      </c>
      <c r="U235" s="7" t="s">
        <v>2347</v>
      </c>
      <c r="V235" s="7" t="s">
        <v>2289</v>
      </c>
      <c r="W235" s="7"/>
      <c r="X235" s="9">
        <v>0.8</v>
      </c>
      <c r="Y235" s="7" t="s">
        <v>2348</v>
      </c>
      <c r="Z235" s="7"/>
      <c r="AA235" s="7">
        <f t="shared" si="49"/>
        <v>6700</v>
      </c>
      <c r="AB235" s="7">
        <v>6700.0</v>
      </c>
      <c r="AC235" s="7"/>
      <c r="AD235" s="7"/>
      <c r="AE235" s="7">
        <f t="shared" si="34"/>
        <v>6700</v>
      </c>
      <c r="AF235" s="7"/>
      <c r="AG235" s="10">
        <f t="shared" si="35"/>
        <v>6700</v>
      </c>
      <c r="AH235" s="10">
        <f t="shared" si="46"/>
        <v>0</v>
      </c>
      <c r="AI235" s="7"/>
      <c r="AJ235" s="7">
        <v>0.02747</v>
      </c>
      <c r="AK235" s="7">
        <v>1.5</v>
      </c>
      <c r="AL235" s="11">
        <v>45580.68920138889</v>
      </c>
    </row>
    <row r="236" ht="12.0" customHeight="1">
      <c r="A236" s="6" t="s">
        <v>2349</v>
      </c>
      <c r="B236" s="7" t="s">
        <v>2350</v>
      </c>
      <c r="C236" s="7" t="s">
        <v>2351</v>
      </c>
      <c r="D236" s="7" t="s">
        <v>2352</v>
      </c>
      <c r="E236" s="7" t="s">
        <v>2353</v>
      </c>
      <c r="F236" s="7" t="s">
        <v>2354</v>
      </c>
      <c r="G236" s="7" t="s">
        <v>540</v>
      </c>
      <c r="H236" s="7" t="s">
        <v>39</v>
      </c>
      <c r="I236" s="7" t="s">
        <v>1025</v>
      </c>
      <c r="J236" s="7">
        <v>131.05450210746503</v>
      </c>
      <c r="K236" s="7">
        <v>-22.24707868664476</v>
      </c>
      <c r="L236" s="7" t="s">
        <v>41</v>
      </c>
      <c r="M236" s="7" t="s">
        <v>2355</v>
      </c>
      <c r="N236" s="7" t="s">
        <v>2356</v>
      </c>
      <c r="O236" s="7" t="s">
        <v>2356</v>
      </c>
      <c r="P236" s="7"/>
      <c r="Q236" s="7"/>
      <c r="R236" s="7" t="s">
        <v>2357</v>
      </c>
      <c r="S236" s="7" t="s">
        <v>58</v>
      </c>
      <c r="T236" s="8">
        <v>0.0</v>
      </c>
      <c r="U236" s="7" t="s">
        <v>2358</v>
      </c>
      <c r="V236" s="7" t="s">
        <v>2359</v>
      </c>
      <c r="W236" s="7"/>
      <c r="X236" s="9">
        <v>1.0</v>
      </c>
      <c r="Y236" s="7" t="s">
        <v>2360</v>
      </c>
      <c r="Z236" s="7"/>
      <c r="AA236" s="7">
        <f t="shared" si="49"/>
        <v>3700000</v>
      </c>
      <c r="AB236" s="7">
        <v>3350000.0</v>
      </c>
      <c r="AC236" s="7"/>
      <c r="AD236" s="7"/>
      <c r="AE236" s="7">
        <f t="shared" si="34"/>
        <v>3700000</v>
      </c>
      <c r="AF236" s="7">
        <v>350000.0</v>
      </c>
      <c r="AG236" s="10">
        <f t="shared" si="35"/>
        <v>3568866.664</v>
      </c>
      <c r="AH236" s="10">
        <f t="shared" si="46"/>
        <v>218866.6635</v>
      </c>
      <c r="AI236" s="7">
        <v>2.3333333E7</v>
      </c>
      <c r="AJ236" s="7">
        <v>0.009380000000000001</v>
      </c>
      <c r="AK236" s="7">
        <v>2.0</v>
      </c>
      <c r="AL236" s="11">
        <v>45491.67833333333</v>
      </c>
    </row>
    <row r="237" ht="12.0" customHeight="1">
      <c r="A237" s="6" t="s">
        <v>2349</v>
      </c>
      <c r="B237" s="7" t="s">
        <v>2350</v>
      </c>
      <c r="C237" s="7" t="s">
        <v>2361</v>
      </c>
      <c r="D237" s="7" t="s">
        <v>2362</v>
      </c>
      <c r="E237" s="7" t="s">
        <v>2363</v>
      </c>
      <c r="F237" s="7" t="s">
        <v>2364</v>
      </c>
      <c r="G237" s="7" t="s">
        <v>540</v>
      </c>
      <c r="H237" s="7" t="s">
        <v>39</v>
      </c>
      <c r="I237" s="7" t="s">
        <v>132</v>
      </c>
      <c r="J237" s="7">
        <v>141.2569959427572</v>
      </c>
      <c r="K237" s="7">
        <v>-19.682325136063007</v>
      </c>
      <c r="L237" s="7" t="s">
        <v>41</v>
      </c>
      <c r="M237" s="7" t="s">
        <v>2365</v>
      </c>
      <c r="N237" s="7" t="s">
        <v>2356</v>
      </c>
      <c r="O237" s="7" t="s">
        <v>2356</v>
      </c>
      <c r="P237" s="7"/>
      <c r="Q237" s="7"/>
      <c r="R237" s="7" t="s">
        <v>2366</v>
      </c>
      <c r="S237" s="7" t="s">
        <v>58</v>
      </c>
      <c r="T237" s="8">
        <v>149800.0</v>
      </c>
      <c r="U237" s="7" t="s">
        <v>2367</v>
      </c>
      <c r="V237" s="7" t="s">
        <v>2359</v>
      </c>
      <c r="W237" s="7"/>
      <c r="X237" s="9">
        <v>1.0</v>
      </c>
      <c r="Y237" s="7" t="s">
        <v>2368</v>
      </c>
      <c r="Z237" s="7"/>
      <c r="AA237" s="7">
        <f t="shared" si="49"/>
        <v>3350000</v>
      </c>
      <c r="AB237" s="7"/>
      <c r="AC237" s="7"/>
      <c r="AD237" s="7"/>
      <c r="AE237" s="7">
        <f t="shared" si="34"/>
        <v>3350000</v>
      </c>
      <c r="AF237" s="7">
        <v>3350000.0</v>
      </c>
      <c r="AG237" s="10">
        <f t="shared" si="35"/>
        <v>3350000</v>
      </c>
      <c r="AH237" s="10">
        <f t="shared" si="46"/>
        <v>3350000</v>
      </c>
      <c r="AI237" s="7">
        <v>3.03030303E8</v>
      </c>
      <c r="AJ237" s="7">
        <v>0.011055</v>
      </c>
      <c r="AK237" s="7"/>
      <c r="AL237" s="11">
        <v>45630.63366898148</v>
      </c>
    </row>
    <row r="238" ht="12.0" customHeight="1">
      <c r="A238" s="6" t="s">
        <v>2369</v>
      </c>
      <c r="B238" s="7" t="s">
        <v>2370</v>
      </c>
      <c r="C238" s="7" t="s">
        <v>2371</v>
      </c>
      <c r="D238" s="7" t="s">
        <v>2372</v>
      </c>
      <c r="E238" s="7" t="s">
        <v>2373</v>
      </c>
      <c r="F238" s="7" t="s">
        <v>2374</v>
      </c>
      <c r="G238" s="7" t="s">
        <v>38</v>
      </c>
      <c r="H238" s="7" t="s">
        <v>39</v>
      </c>
      <c r="I238" s="7" t="s">
        <v>40</v>
      </c>
      <c r="J238" s="7">
        <v>118.39786698378</v>
      </c>
      <c r="K238" s="7">
        <v>-28.3520906278879</v>
      </c>
      <c r="L238" s="7" t="s">
        <v>41</v>
      </c>
      <c r="M238" s="7" t="s">
        <v>41</v>
      </c>
      <c r="N238" s="7" t="s">
        <v>2375</v>
      </c>
      <c r="O238" s="7" t="s">
        <v>2375</v>
      </c>
      <c r="P238" s="7"/>
      <c r="Q238" s="7"/>
      <c r="R238" s="7" t="s">
        <v>2376</v>
      </c>
      <c r="S238" s="7" t="s">
        <v>902</v>
      </c>
      <c r="T238" s="8">
        <v>0.0</v>
      </c>
      <c r="U238" s="7" t="s">
        <v>2377</v>
      </c>
      <c r="V238" s="7" t="s">
        <v>2378</v>
      </c>
      <c r="W238" s="7"/>
      <c r="X238" s="9">
        <v>0.51</v>
      </c>
      <c r="Y238" s="7" t="s">
        <v>2379</v>
      </c>
      <c r="Z238" s="7"/>
      <c r="AA238" s="10">
        <f>AB238+AC238+AH238</f>
        <v>1748999.999</v>
      </c>
      <c r="AB238" s="7">
        <v>115000.0</v>
      </c>
      <c r="AC238" s="7">
        <v>1500000.0</v>
      </c>
      <c r="AD238" s="7"/>
      <c r="AE238" s="7">
        <f t="shared" si="34"/>
        <v>115000</v>
      </c>
      <c r="AF238" s="7"/>
      <c r="AG238" s="10">
        <f t="shared" si="35"/>
        <v>248999.9987</v>
      </c>
      <c r="AH238" s="10">
        <f t="shared" si="46"/>
        <v>133999.9987</v>
      </c>
      <c r="AI238" s="7">
        <v>3.3333333E7</v>
      </c>
      <c r="AJ238" s="7">
        <v>0.00402</v>
      </c>
      <c r="AK238" s="7">
        <v>2.0</v>
      </c>
      <c r="AL238" s="11">
        <v>45539.69398148148</v>
      </c>
    </row>
    <row r="239" ht="12.0" customHeight="1">
      <c r="A239" s="6" t="s">
        <v>2380</v>
      </c>
      <c r="B239" s="7" t="s">
        <v>2381</v>
      </c>
      <c r="C239" s="7" t="s">
        <v>2382</v>
      </c>
      <c r="D239" s="7" t="s">
        <v>2383</v>
      </c>
      <c r="E239" s="7" t="s">
        <v>2384</v>
      </c>
      <c r="F239" s="7"/>
      <c r="G239" s="7" t="s">
        <v>540</v>
      </c>
      <c r="H239" s="7" t="s">
        <v>39</v>
      </c>
      <c r="I239" s="7" t="s">
        <v>1025</v>
      </c>
      <c r="J239" s="7">
        <v>135.18402227645421</v>
      </c>
      <c r="K239" s="7">
        <v>-20.91131739531969</v>
      </c>
      <c r="L239" s="7" t="s">
        <v>41</v>
      </c>
      <c r="M239" s="7" t="s">
        <v>2385</v>
      </c>
      <c r="N239" s="7" t="s">
        <v>2386</v>
      </c>
      <c r="O239" s="7" t="s">
        <v>2386</v>
      </c>
      <c r="P239" s="7"/>
      <c r="Q239" s="7"/>
      <c r="R239" s="7" t="s">
        <v>2387</v>
      </c>
      <c r="S239" s="7" t="s">
        <v>58</v>
      </c>
      <c r="T239" s="8">
        <v>0.0</v>
      </c>
      <c r="U239" s="7" t="s">
        <v>2388</v>
      </c>
      <c r="V239" s="7" t="s">
        <v>2389</v>
      </c>
      <c r="W239" s="7"/>
      <c r="X239" s="9">
        <v>0.8</v>
      </c>
      <c r="Y239" s="7" t="s">
        <v>2390</v>
      </c>
      <c r="Z239" s="7"/>
      <c r="AA239" s="10">
        <f t="shared" ref="AA239:AA241" si="50">AB239+AC239+AF239</f>
        <v>5329850</v>
      </c>
      <c r="AB239" s="7"/>
      <c r="AC239" s="7"/>
      <c r="AD239" s="7"/>
      <c r="AE239" s="10">
        <f t="shared" si="34"/>
        <v>5329850</v>
      </c>
      <c r="AF239" s="10">
        <f>AH239</f>
        <v>5329850</v>
      </c>
      <c r="AG239" s="10">
        <f t="shared" si="35"/>
        <v>5329850</v>
      </c>
      <c r="AH239" s="10">
        <f t="shared" si="46"/>
        <v>5329850</v>
      </c>
      <c r="AI239" s="7">
        <v>1.075E8</v>
      </c>
      <c r="AJ239" s="7">
        <v>0.04958</v>
      </c>
      <c r="AK239" s="7"/>
      <c r="AL239" s="11">
        <v>45642.13700231482</v>
      </c>
    </row>
    <row r="240" ht="12.0" customHeight="1">
      <c r="A240" s="6" t="s">
        <v>2380</v>
      </c>
      <c r="B240" s="7" t="s">
        <v>2391</v>
      </c>
      <c r="C240" s="7" t="s">
        <v>2392</v>
      </c>
      <c r="D240" s="7" t="s">
        <v>2393</v>
      </c>
      <c r="E240" s="7" t="s">
        <v>2394</v>
      </c>
      <c r="F240" s="7"/>
      <c r="G240" s="7" t="s">
        <v>38</v>
      </c>
      <c r="H240" s="7" t="s">
        <v>39</v>
      </c>
      <c r="I240" s="7" t="s">
        <v>40</v>
      </c>
      <c r="J240" s="7">
        <v>116.9785161487626</v>
      </c>
      <c r="K240" s="7">
        <v>-29.188072081980287</v>
      </c>
      <c r="L240" s="7" t="s">
        <v>41</v>
      </c>
      <c r="M240" s="7" t="s">
        <v>2395</v>
      </c>
      <c r="N240" s="7" t="s">
        <v>2386</v>
      </c>
      <c r="O240" s="7" t="s">
        <v>2386</v>
      </c>
      <c r="P240" s="7"/>
      <c r="Q240" s="7"/>
      <c r="R240" s="7" t="s">
        <v>2396</v>
      </c>
      <c r="S240" s="7" t="s">
        <v>58</v>
      </c>
      <c r="T240" s="8">
        <v>0.0</v>
      </c>
      <c r="U240" s="7" t="s">
        <v>2397</v>
      </c>
      <c r="V240" s="7" t="s">
        <v>2389</v>
      </c>
      <c r="W240" s="7"/>
      <c r="X240" s="9">
        <v>1.0</v>
      </c>
      <c r="Y240" s="7" t="s">
        <v>2398</v>
      </c>
      <c r="Z240" s="7"/>
      <c r="AA240" s="7">
        <f t="shared" si="50"/>
        <v>2211000</v>
      </c>
      <c r="AB240" s="7">
        <f>3300000*0.67</f>
        <v>2211000</v>
      </c>
      <c r="AC240" s="7"/>
      <c r="AD240" s="7"/>
      <c r="AE240" s="7">
        <f t="shared" si="34"/>
        <v>2211000</v>
      </c>
      <c r="AF240" s="7"/>
      <c r="AG240" s="10">
        <f t="shared" si="35"/>
        <v>2211000</v>
      </c>
      <c r="AH240" s="10">
        <f t="shared" si="46"/>
        <v>0</v>
      </c>
      <c r="AI240" s="7"/>
      <c r="AJ240" s="7">
        <v>0.04958</v>
      </c>
      <c r="AK240" s="7"/>
      <c r="AL240" s="11">
        <v>45642.89417824074</v>
      </c>
    </row>
    <row r="241" ht="12.0" customHeight="1">
      <c r="A241" s="6" t="s">
        <v>2399</v>
      </c>
      <c r="B241" s="7" t="s">
        <v>2350</v>
      </c>
      <c r="C241" s="7" t="s">
        <v>2400</v>
      </c>
      <c r="D241" s="7" t="s">
        <v>2401</v>
      </c>
      <c r="E241" s="7" t="s">
        <v>2402</v>
      </c>
      <c r="F241" s="7" t="s">
        <v>2403</v>
      </c>
      <c r="G241" s="7" t="s">
        <v>38</v>
      </c>
      <c r="H241" s="7" t="s">
        <v>39</v>
      </c>
      <c r="I241" s="7" t="s">
        <v>40</v>
      </c>
      <c r="J241" s="7">
        <v>128.968239047848</v>
      </c>
      <c r="K241" s="7">
        <v>-15.448217692289052</v>
      </c>
      <c r="L241" s="7" t="s">
        <v>41</v>
      </c>
      <c r="M241" s="7" t="s">
        <v>2404</v>
      </c>
      <c r="N241" s="7" t="s">
        <v>2405</v>
      </c>
      <c r="O241" s="7" t="s">
        <v>2405</v>
      </c>
      <c r="P241" s="7"/>
      <c r="Q241" s="7"/>
      <c r="R241" s="7" t="s">
        <v>2406</v>
      </c>
      <c r="S241" s="7" t="s">
        <v>58</v>
      </c>
      <c r="T241" s="8">
        <v>0.0</v>
      </c>
      <c r="U241" s="7" t="s">
        <v>2407</v>
      </c>
      <c r="V241" s="7" t="s">
        <v>2408</v>
      </c>
      <c r="W241" s="7"/>
      <c r="X241" s="9">
        <v>0.25</v>
      </c>
      <c r="Y241" s="7" t="s">
        <v>2409</v>
      </c>
      <c r="Z241" s="7"/>
      <c r="AA241" s="7">
        <f t="shared" si="50"/>
        <v>10324700</v>
      </c>
      <c r="AB241" s="7">
        <v>1.03247E7</v>
      </c>
      <c r="AC241" s="7"/>
      <c r="AD241" s="7"/>
      <c r="AE241" s="7">
        <f t="shared" si="34"/>
        <v>10324700</v>
      </c>
      <c r="AF241" s="7"/>
      <c r="AG241" s="10">
        <f t="shared" si="35"/>
        <v>10324700</v>
      </c>
      <c r="AH241" s="10">
        <f t="shared" si="46"/>
        <v>0</v>
      </c>
      <c r="AI241" s="7"/>
      <c r="AJ241" s="7">
        <v>0.1072</v>
      </c>
      <c r="AK241" s="7">
        <v>4.3</v>
      </c>
      <c r="AL241" s="11">
        <v>45557.73361111111</v>
      </c>
    </row>
    <row r="242" ht="12.0" customHeight="1">
      <c r="A242" s="6" t="s">
        <v>2410</v>
      </c>
      <c r="B242" s="7" t="s">
        <v>869</v>
      </c>
      <c r="C242" s="7" t="s">
        <v>2411</v>
      </c>
      <c r="D242" s="7" t="s">
        <v>2412</v>
      </c>
      <c r="E242" s="7" t="s">
        <v>2413</v>
      </c>
      <c r="F242" s="7"/>
      <c r="G242" s="7" t="s">
        <v>540</v>
      </c>
      <c r="H242" s="7" t="s">
        <v>39</v>
      </c>
      <c r="I242" s="7" t="s">
        <v>40</v>
      </c>
      <c r="J242" s="7">
        <v>121.21686049614503</v>
      </c>
      <c r="K242" s="7">
        <v>-25.30348826674455</v>
      </c>
      <c r="L242" s="7" t="s">
        <v>41</v>
      </c>
      <c r="M242" s="7" t="s">
        <v>2414</v>
      </c>
      <c r="N242" s="7" t="s">
        <v>2415</v>
      </c>
      <c r="O242" s="7" t="s">
        <v>2415</v>
      </c>
      <c r="P242" s="7"/>
      <c r="Q242" s="7"/>
      <c r="R242" s="7" t="s">
        <v>2416</v>
      </c>
      <c r="S242" s="7" t="s">
        <v>58</v>
      </c>
      <c r="T242" s="8">
        <v>0.0</v>
      </c>
      <c r="U242" s="7" t="s">
        <v>2417</v>
      </c>
      <c r="V242" s="7" t="s">
        <v>2418</v>
      </c>
      <c r="W242" s="7"/>
      <c r="X242" s="9">
        <v>1.0</v>
      </c>
      <c r="Y242" s="7" t="s">
        <v>2419</v>
      </c>
      <c r="Z242" s="7"/>
      <c r="AA242" s="7"/>
      <c r="AB242" s="7"/>
      <c r="AC242" s="7"/>
      <c r="AD242" s="7"/>
      <c r="AE242" s="7">
        <f t="shared" si="34"/>
        <v>0</v>
      </c>
      <c r="AF242" s="7"/>
      <c r="AG242" s="10">
        <f t="shared" si="35"/>
        <v>0</v>
      </c>
      <c r="AH242" s="10">
        <f t="shared" si="46"/>
        <v>0</v>
      </c>
      <c r="AI242" s="7"/>
      <c r="AJ242" s="7">
        <v>0.00402</v>
      </c>
      <c r="AK242" s="7"/>
      <c r="AL242" s="11">
        <v>45592.72552083334</v>
      </c>
    </row>
    <row r="243" ht="12.0" customHeight="1">
      <c r="A243" s="6" t="s">
        <v>2420</v>
      </c>
      <c r="B243" s="7" t="s">
        <v>2421</v>
      </c>
      <c r="C243" s="7" t="s">
        <v>2422</v>
      </c>
      <c r="D243" s="7" t="s">
        <v>2423</v>
      </c>
      <c r="E243" s="7" t="s">
        <v>2424</v>
      </c>
      <c r="F243" s="7"/>
      <c r="G243" s="7" t="s">
        <v>540</v>
      </c>
      <c r="H243" s="7" t="s">
        <v>39</v>
      </c>
      <c r="I243" s="7" t="s">
        <v>100</v>
      </c>
      <c r="J243" s="7">
        <v>146.21406933558194</v>
      </c>
      <c r="K243" s="7">
        <v>-41.4615708512945</v>
      </c>
      <c r="L243" s="7" t="s">
        <v>41</v>
      </c>
      <c r="M243" s="7" t="s">
        <v>2425</v>
      </c>
      <c r="N243" s="7" t="s">
        <v>2426</v>
      </c>
      <c r="O243" s="7" t="s">
        <v>2426</v>
      </c>
      <c r="P243" s="7"/>
      <c r="Q243" s="7"/>
      <c r="R243" s="7" t="s">
        <v>2427</v>
      </c>
      <c r="S243" s="7" t="s">
        <v>58</v>
      </c>
      <c r="T243" s="8">
        <v>0.0</v>
      </c>
      <c r="U243" s="7" t="s">
        <v>2428</v>
      </c>
      <c r="V243" s="7" t="s">
        <v>2429</v>
      </c>
      <c r="W243" s="7"/>
      <c r="X243" s="9">
        <v>1.0</v>
      </c>
      <c r="Y243" s="7" t="s">
        <v>2430</v>
      </c>
      <c r="Z243" s="7"/>
      <c r="AA243" s="7">
        <f>AB243+AC243+AF243</f>
        <v>122550</v>
      </c>
      <c r="AB243" s="7">
        <v>12000.0</v>
      </c>
      <c r="AC243" s="7"/>
      <c r="AD243" s="7"/>
      <c r="AE243" s="7">
        <f t="shared" si="34"/>
        <v>122550</v>
      </c>
      <c r="AF243" s="7">
        <f>330000*0.67/2</f>
        <v>110550</v>
      </c>
      <c r="AG243" s="10">
        <f t="shared" si="35"/>
        <v>122550</v>
      </c>
      <c r="AH243" s="10">
        <f>AI243*AJ243/2</f>
        <v>110550</v>
      </c>
      <c r="AI243" s="7">
        <v>3.3E8</v>
      </c>
      <c r="AJ243" s="7">
        <v>6.7E-4</v>
      </c>
      <c r="AK243" s="7"/>
      <c r="AL243" s="11">
        <v>45712.70934027778</v>
      </c>
    </row>
    <row r="244" ht="12.0" customHeight="1">
      <c r="A244" s="25" t="s">
        <v>2431</v>
      </c>
      <c r="B244" s="26" t="s">
        <v>2432</v>
      </c>
      <c r="C244" s="26" t="s">
        <v>2433</v>
      </c>
      <c r="D244" s="26" t="s">
        <v>2434</v>
      </c>
      <c r="E244" s="26"/>
      <c r="F244" s="26"/>
      <c r="G244" s="26" t="s">
        <v>41</v>
      </c>
      <c r="H244" s="26" t="s">
        <v>39</v>
      </c>
      <c r="I244" s="26" t="s">
        <v>40</v>
      </c>
      <c r="J244" s="26">
        <v>120.0148404682334</v>
      </c>
      <c r="K244" s="26">
        <v>-26.766289287288046</v>
      </c>
      <c r="L244" s="26" t="s">
        <v>41</v>
      </c>
      <c r="M244" s="26" t="s">
        <v>2435</v>
      </c>
      <c r="N244" s="26" t="s">
        <v>1893</v>
      </c>
      <c r="O244" s="26"/>
      <c r="P244" s="26"/>
      <c r="Q244" s="26"/>
      <c r="R244" s="26" t="s">
        <v>2436</v>
      </c>
      <c r="S244" s="26" t="s">
        <v>58</v>
      </c>
      <c r="T244" s="27">
        <v>0.0</v>
      </c>
      <c r="U244" s="26" t="s">
        <v>2437</v>
      </c>
      <c r="V244" s="26"/>
      <c r="W244" s="26"/>
      <c r="X244" s="28">
        <v>1.0</v>
      </c>
      <c r="Y244" s="26" t="s">
        <v>2438</v>
      </c>
      <c r="Z244" s="26"/>
      <c r="AA244" s="7"/>
      <c r="AB244" s="26"/>
      <c r="AC244" s="7"/>
      <c r="AD244" s="26"/>
      <c r="AE244" s="7">
        <f t="shared" si="34"/>
        <v>0</v>
      </c>
      <c r="AF244" s="26"/>
      <c r="AG244" s="10">
        <f t="shared" si="35"/>
        <v>0</v>
      </c>
      <c r="AH244" s="10">
        <f>AI244*AJ244</f>
        <v>0</v>
      </c>
      <c r="AI244" s="26"/>
      <c r="AJ244" s="26">
        <v>0.0</v>
      </c>
      <c r="AK244" s="26"/>
      <c r="AL244" s="29">
        <v>45599.74857638888</v>
      </c>
    </row>
    <row r="245" ht="12.0" customHeight="1">
      <c r="A245" s="30"/>
      <c r="B245" s="31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2"/>
      <c r="N245" s="30"/>
      <c r="O245" s="30"/>
      <c r="P245" s="30"/>
      <c r="Q245" s="30"/>
      <c r="R245" s="30"/>
      <c r="S245" s="30"/>
      <c r="T245" s="33"/>
      <c r="U245" s="31"/>
      <c r="V245" s="31"/>
      <c r="W245" s="31"/>
      <c r="X245" s="34"/>
      <c r="Y245" s="34"/>
      <c r="Z245" s="31"/>
      <c r="AA245" s="31"/>
      <c r="AB245" s="31"/>
      <c r="AC245" s="31"/>
      <c r="AD245" s="31"/>
      <c r="AE245" s="31"/>
      <c r="AF245" s="31"/>
      <c r="AG245" s="31"/>
      <c r="AH245" s="35"/>
      <c r="AI245" s="31"/>
      <c r="AJ245" s="31"/>
      <c r="AK245" s="31"/>
      <c r="AL245" s="31"/>
    </row>
    <row r="246" ht="12.0" customHeight="1">
      <c r="A246" s="30"/>
      <c r="B246" s="31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2"/>
      <c r="N246" s="30"/>
      <c r="O246" s="30"/>
      <c r="P246" s="30"/>
      <c r="Q246" s="30"/>
      <c r="R246" s="30"/>
      <c r="S246" s="30"/>
      <c r="T246" s="33"/>
      <c r="U246" s="31"/>
      <c r="V246" s="31"/>
      <c r="W246" s="31"/>
      <c r="X246" s="34"/>
      <c r="Y246" s="34"/>
      <c r="Z246" s="31"/>
      <c r="AA246" s="31"/>
      <c r="AB246" s="31"/>
      <c r="AC246" s="31"/>
      <c r="AD246" s="31"/>
      <c r="AE246" s="31"/>
      <c r="AF246" s="31"/>
      <c r="AG246" s="31"/>
      <c r="AH246" s="35"/>
      <c r="AI246" s="31"/>
      <c r="AJ246" s="31"/>
      <c r="AK246" s="31"/>
      <c r="AL246" s="31"/>
    </row>
    <row r="247" ht="12.0" customHeight="1">
      <c r="A247" s="30"/>
      <c r="B247" s="31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2"/>
      <c r="N247" s="30"/>
      <c r="O247" s="30"/>
      <c r="P247" s="30"/>
      <c r="Q247" s="30"/>
      <c r="R247" s="30"/>
      <c r="S247" s="30"/>
      <c r="T247" s="33"/>
      <c r="U247" s="31"/>
      <c r="V247" s="31"/>
      <c r="W247" s="31"/>
      <c r="X247" s="34"/>
      <c r="Y247" s="34"/>
      <c r="Z247" s="31"/>
      <c r="AA247" s="31"/>
      <c r="AB247" s="31">
        <v>0.67</v>
      </c>
      <c r="AC247" s="31"/>
      <c r="AD247" s="31"/>
      <c r="AE247" s="31"/>
      <c r="AF247" s="31"/>
      <c r="AG247" s="31"/>
      <c r="AH247" s="35"/>
      <c r="AI247" s="31"/>
      <c r="AJ247" s="31"/>
      <c r="AK247" s="31"/>
      <c r="AL247" s="31"/>
    </row>
    <row r="248" ht="12.0" customHeight="1">
      <c r="A248" s="30"/>
      <c r="B248" s="31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2"/>
      <c r="N248" s="30"/>
      <c r="O248" s="30"/>
      <c r="P248" s="30"/>
      <c r="Q248" s="30"/>
      <c r="R248" s="30"/>
      <c r="S248" s="30"/>
      <c r="T248" s="33"/>
      <c r="U248" s="31"/>
      <c r="V248" s="31"/>
      <c r="W248" s="31"/>
      <c r="X248" s="34"/>
      <c r="Y248" s="34"/>
      <c r="Z248" s="31"/>
      <c r="AA248" s="31"/>
      <c r="AB248" s="31"/>
      <c r="AC248" s="31"/>
      <c r="AD248" s="31"/>
      <c r="AE248" s="31"/>
      <c r="AF248" s="31"/>
      <c r="AG248" s="31"/>
      <c r="AH248" s="35"/>
      <c r="AI248" s="31"/>
      <c r="AJ248" s="31"/>
      <c r="AK248" s="31"/>
      <c r="AL248" s="31"/>
    </row>
    <row r="249" ht="12.0" customHeight="1">
      <c r="A249" s="30"/>
      <c r="B249" s="31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2"/>
      <c r="N249" s="30"/>
      <c r="O249" s="30"/>
      <c r="P249" s="30"/>
      <c r="Q249" s="30"/>
      <c r="R249" s="30"/>
      <c r="S249" s="30"/>
      <c r="T249" s="33"/>
      <c r="U249" s="31"/>
      <c r="V249" s="31"/>
      <c r="W249" s="31"/>
      <c r="X249" s="34"/>
      <c r="Y249" s="34"/>
      <c r="Z249" s="31"/>
      <c r="AA249" s="31"/>
      <c r="AB249" s="31"/>
      <c r="AC249" s="31"/>
      <c r="AD249" s="31"/>
      <c r="AE249" s="31"/>
      <c r="AF249" s="31"/>
      <c r="AG249" s="31"/>
      <c r="AH249" s="35"/>
      <c r="AI249" s="31"/>
      <c r="AJ249" s="31"/>
      <c r="AK249" s="31"/>
      <c r="AL249" s="31"/>
    </row>
    <row r="250" ht="12.0" customHeight="1">
      <c r="A250" s="30"/>
      <c r="B250" s="31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2"/>
      <c r="N250" s="30"/>
      <c r="O250" s="30"/>
      <c r="P250" s="30"/>
      <c r="Q250" s="30"/>
      <c r="R250" s="30"/>
      <c r="S250" s="30"/>
      <c r="T250" s="33"/>
      <c r="U250" s="31"/>
      <c r="V250" s="31"/>
      <c r="W250" s="31"/>
      <c r="X250" s="34"/>
      <c r="Y250" s="34"/>
      <c r="Z250" s="31"/>
      <c r="AA250" s="31"/>
      <c r="AB250" s="31"/>
      <c r="AC250" s="31"/>
      <c r="AD250" s="31"/>
      <c r="AE250" s="31"/>
      <c r="AF250" s="31"/>
      <c r="AG250" s="31"/>
      <c r="AH250" s="35"/>
      <c r="AI250" s="31"/>
      <c r="AJ250" s="31"/>
      <c r="AK250" s="31"/>
      <c r="AL250" s="31"/>
    </row>
    <row r="251" ht="12.0" customHeight="1">
      <c r="A251" s="30"/>
      <c r="B251" s="31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2"/>
      <c r="N251" s="30"/>
      <c r="O251" s="30"/>
      <c r="P251" s="30"/>
      <c r="Q251" s="30"/>
      <c r="R251" s="30"/>
      <c r="S251" s="30"/>
      <c r="T251" s="33"/>
      <c r="U251" s="31"/>
      <c r="V251" s="31"/>
      <c r="W251" s="31"/>
      <c r="X251" s="34"/>
      <c r="Y251" s="34"/>
      <c r="Z251" s="31"/>
      <c r="AA251" s="31"/>
      <c r="AB251" s="31"/>
      <c r="AC251" s="31"/>
      <c r="AD251" s="31"/>
      <c r="AE251" s="31"/>
      <c r="AF251" s="31"/>
      <c r="AG251" s="31"/>
      <c r="AH251" s="35"/>
      <c r="AI251" s="31"/>
      <c r="AJ251" s="31"/>
      <c r="AK251" s="31"/>
      <c r="AL251" s="31"/>
    </row>
    <row r="252" ht="12.0" customHeight="1">
      <c r="A252" s="30"/>
      <c r="B252" s="31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2"/>
      <c r="N252" s="30"/>
      <c r="O252" s="30"/>
      <c r="P252" s="30"/>
      <c r="Q252" s="30"/>
      <c r="R252" s="30"/>
      <c r="S252" s="30"/>
      <c r="T252" s="33"/>
      <c r="U252" s="31"/>
      <c r="V252" s="31"/>
      <c r="W252" s="31"/>
      <c r="X252" s="34"/>
      <c r="Y252" s="34"/>
      <c r="Z252" s="31"/>
      <c r="AA252" s="31"/>
      <c r="AB252" s="31"/>
      <c r="AC252" s="31"/>
      <c r="AD252" s="31"/>
      <c r="AE252" s="31"/>
      <c r="AF252" s="31"/>
      <c r="AG252" s="31"/>
      <c r="AH252" s="35"/>
      <c r="AI252" s="31"/>
      <c r="AJ252" s="31"/>
      <c r="AK252" s="31"/>
      <c r="AL252" s="31"/>
    </row>
    <row r="253" ht="12.0" customHeight="1">
      <c r="A253" s="30"/>
      <c r="B253" s="31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2"/>
      <c r="N253" s="30"/>
      <c r="O253" s="30"/>
      <c r="P253" s="30"/>
      <c r="Q253" s="30"/>
      <c r="R253" s="30"/>
      <c r="S253" s="30"/>
      <c r="T253" s="33"/>
      <c r="U253" s="31"/>
      <c r="V253" s="31"/>
      <c r="W253" s="31"/>
      <c r="X253" s="34"/>
      <c r="Y253" s="34"/>
      <c r="Z253" s="31"/>
      <c r="AA253" s="31"/>
      <c r="AB253" s="31"/>
      <c r="AC253" s="30"/>
      <c r="AD253" s="31"/>
      <c r="AE253" s="31"/>
      <c r="AF253" s="31"/>
      <c r="AG253" s="31"/>
      <c r="AH253" s="35"/>
      <c r="AI253" s="31"/>
      <c r="AJ253" s="31"/>
      <c r="AK253" s="31"/>
      <c r="AL253" s="31"/>
    </row>
    <row r="254" ht="12.0" customHeight="1">
      <c r="A254" s="30"/>
      <c r="B254" s="31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2"/>
      <c r="N254" s="30"/>
      <c r="O254" s="30"/>
      <c r="P254" s="30"/>
      <c r="Q254" s="30"/>
      <c r="R254" s="30"/>
      <c r="S254" s="30"/>
      <c r="T254" s="33"/>
      <c r="U254" s="31"/>
      <c r="V254" s="31"/>
      <c r="W254" s="31"/>
      <c r="X254" s="34"/>
      <c r="Y254" s="34"/>
      <c r="Z254" s="31"/>
      <c r="AA254" s="31"/>
      <c r="AB254" s="31"/>
      <c r="AC254" s="31"/>
      <c r="AD254" s="31"/>
      <c r="AE254" s="31"/>
      <c r="AF254" s="31"/>
      <c r="AG254" s="31"/>
      <c r="AH254" s="35"/>
      <c r="AI254" s="31"/>
      <c r="AJ254" s="31"/>
      <c r="AK254" s="31"/>
      <c r="AL254" s="31"/>
    </row>
    <row r="255" ht="12.0" customHeight="1">
      <c r="A255" s="30"/>
      <c r="B255" s="31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2"/>
      <c r="N255" s="30"/>
      <c r="O255" s="30"/>
      <c r="P255" s="30"/>
      <c r="Q255" s="30"/>
      <c r="R255" s="30"/>
      <c r="S255" s="30"/>
      <c r="T255" s="33"/>
      <c r="U255" s="31"/>
      <c r="V255" s="31"/>
      <c r="W255" s="31"/>
      <c r="X255" s="34"/>
      <c r="Y255" s="34"/>
      <c r="Z255" s="31"/>
      <c r="AA255" s="31"/>
      <c r="AB255" s="31"/>
      <c r="AC255" s="31"/>
      <c r="AD255" s="31"/>
      <c r="AE255" s="31"/>
      <c r="AF255" s="31"/>
      <c r="AG255" s="31"/>
      <c r="AH255" s="35"/>
      <c r="AI255" s="31"/>
      <c r="AJ255" s="31"/>
      <c r="AK255" s="31"/>
      <c r="AL255" s="31"/>
    </row>
    <row r="256" ht="12.0" customHeight="1">
      <c r="A256" s="30"/>
      <c r="B256" s="31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2"/>
      <c r="N256" s="30"/>
      <c r="O256" s="30"/>
      <c r="P256" s="30"/>
      <c r="Q256" s="30"/>
      <c r="R256" s="30"/>
      <c r="S256" s="30"/>
      <c r="T256" s="33"/>
      <c r="U256" s="31"/>
      <c r="V256" s="31"/>
      <c r="W256" s="31"/>
      <c r="X256" s="34"/>
      <c r="Y256" s="34"/>
      <c r="Z256" s="31"/>
      <c r="AA256" s="31"/>
      <c r="AB256" s="31"/>
      <c r="AC256" s="31"/>
      <c r="AD256" s="31"/>
      <c r="AE256" s="31"/>
      <c r="AF256" s="31"/>
      <c r="AG256" s="31"/>
      <c r="AH256" s="35"/>
      <c r="AI256" s="31"/>
      <c r="AJ256" s="31"/>
      <c r="AK256" s="31"/>
      <c r="AL256" s="31"/>
    </row>
    <row r="257" ht="12.0" customHeight="1">
      <c r="A257" s="30"/>
      <c r="B257" s="31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2"/>
      <c r="N257" s="30"/>
      <c r="O257" s="30"/>
      <c r="P257" s="30"/>
      <c r="Q257" s="30"/>
      <c r="R257" s="30"/>
      <c r="S257" s="30"/>
      <c r="T257" s="33"/>
      <c r="U257" s="31"/>
      <c r="V257" s="31"/>
      <c r="W257" s="31"/>
      <c r="X257" s="34"/>
      <c r="Y257" s="34"/>
      <c r="Z257" s="31"/>
      <c r="AA257" s="31"/>
      <c r="AB257" s="31"/>
      <c r="AC257" s="31"/>
      <c r="AD257" s="31"/>
      <c r="AE257" s="31"/>
      <c r="AF257" s="31"/>
      <c r="AG257" s="31"/>
      <c r="AH257" s="35"/>
      <c r="AI257" s="31"/>
      <c r="AJ257" s="31"/>
      <c r="AK257" s="31"/>
      <c r="AL257" s="31"/>
    </row>
    <row r="258" ht="12.0" customHeight="1">
      <c r="A258" s="30"/>
      <c r="B258" s="31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2"/>
      <c r="N258" s="30"/>
      <c r="O258" s="30"/>
      <c r="P258" s="30"/>
      <c r="Q258" s="30"/>
      <c r="R258" s="30"/>
      <c r="S258" s="30"/>
      <c r="T258" s="33"/>
      <c r="U258" s="31"/>
      <c r="V258" s="31"/>
      <c r="W258" s="31"/>
      <c r="X258" s="34"/>
      <c r="Y258" s="34"/>
      <c r="Z258" s="31"/>
      <c r="AA258" s="31"/>
      <c r="AB258" s="31"/>
      <c r="AC258" s="31"/>
      <c r="AD258" s="31"/>
      <c r="AE258" s="31"/>
      <c r="AF258" s="31"/>
      <c r="AG258" s="31"/>
      <c r="AH258" s="35"/>
      <c r="AI258" s="31"/>
      <c r="AJ258" s="31"/>
      <c r="AK258" s="31"/>
      <c r="AL258" s="31"/>
    </row>
    <row r="259" ht="12.0" customHeight="1">
      <c r="A259" s="30"/>
      <c r="B259" s="31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2"/>
      <c r="N259" s="30"/>
      <c r="O259" s="30"/>
      <c r="P259" s="30"/>
      <c r="Q259" s="30"/>
      <c r="R259" s="30"/>
      <c r="S259" s="30"/>
      <c r="T259" s="33"/>
      <c r="U259" s="31"/>
      <c r="V259" s="31"/>
      <c r="W259" s="31"/>
      <c r="X259" s="34"/>
      <c r="Y259" s="34"/>
      <c r="Z259" s="31"/>
      <c r="AA259" s="31"/>
      <c r="AB259" s="31"/>
      <c r="AC259" s="31"/>
      <c r="AD259" s="31"/>
      <c r="AE259" s="31"/>
      <c r="AF259" s="31"/>
      <c r="AG259" s="31"/>
      <c r="AH259" s="35"/>
      <c r="AI259" s="31"/>
      <c r="AJ259" s="31"/>
      <c r="AK259" s="31"/>
      <c r="AL259" s="31"/>
    </row>
    <row r="260" ht="12.0" customHeight="1">
      <c r="A260" s="30"/>
      <c r="B260" s="31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2"/>
      <c r="N260" s="30"/>
      <c r="O260" s="30"/>
      <c r="P260" s="30"/>
      <c r="Q260" s="30"/>
      <c r="R260" s="30"/>
      <c r="S260" s="30"/>
      <c r="T260" s="33"/>
      <c r="U260" s="31"/>
      <c r="V260" s="31"/>
      <c r="W260" s="31"/>
      <c r="X260" s="34"/>
      <c r="Y260" s="34"/>
      <c r="Z260" s="31"/>
      <c r="AA260" s="31"/>
      <c r="AB260" s="31"/>
      <c r="AC260" s="31"/>
      <c r="AD260" s="31"/>
      <c r="AE260" s="31"/>
      <c r="AF260" s="31"/>
      <c r="AG260" s="31"/>
      <c r="AH260" s="35"/>
      <c r="AI260" s="31"/>
      <c r="AJ260" s="31"/>
      <c r="AK260" s="31"/>
      <c r="AL260" s="31"/>
    </row>
    <row r="261" ht="12.0" customHeight="1">
      <c r="A261" s="30"/>
      <c r="B261" s="31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2"/>
      <c r="N261" s="30"/>
      <c r="O261" s="30"/>
      <c r="P261" s="30"/>
      <c r="Q261" s="30"/>
      <c r="R261" s="30"/>
      <c r="S261" s="30"/>
      <c r="T261" s="33"/>
      <c r="U261" s="31"/>
      <c r="V261" s="31"/>
      <c r="W261" s="31"/>
      <c r="X261" s="34"/>
      <c r="Y261" s="34"/>
      <c r="Z261" s="31"/>
      <c r="AA261" s="31"/>
      <c r="AB261" s="31"/>
      <c r="AC261" s="31"/>
      <c r="AD261" s="31"/>
      <c r="AE261" s="31"/>
      <c r="AF261" s="31"/>
      <c r="AG261" s="31"/>
      <c r="AH261" s="35"/>
      <c r="AI261" s="31"/>
      <c r="AJ261" s="31"/>
      <c r="AK261" s="31"/>
      <c r="AL261" s="31"/>
    </row>
    <row r="262" ht="12.0" customHeight="1">
      <c r="A262" s="30"/>
      <c r="B262" s="31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2"/>
      <c r="N262" s="30"/>
      <c r="O262" s="30"/>
      <c r="P262" s="30"/>
      <c r="Q262" s="30"/>
      <c r="R262" s="30"/>
      <c r="S262" s="30"/>
      <c r="T262" s="33"/>
      <c r="U262" s="31"/>
      <c r="V262" s="31"/>
      <c r="W262" s="31"/>
      <c r="X262" s="34"/>
      <c r="Y262" s="34"/>
      <c r="Z262" s="31"/>
      <c r="AA262" s="31"/>
      <c r="AB262" s="31"/>
      <c r="AC262" s="31"/>
      <c r="AD262" s="31"/>
      <c r="AE262" s="31"/>
      <c r="AF262" s="31"/>
      <c r="AG262" s="31"/>
      <c r="AH262" s="35"/>
      <c r="AI262" s="31"/>
      <c r="AJ262" s="31"/>
      <c r="AK262" s="31"/>
      <c r="AL262" s="31"/>
    </row>
    <row r="263" ht="12.0" customHeight="1">
      <c r="A263" s="30"/>
      <c r="B263" s="31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2"/>
      <c r="N263" s="30"/>
      <c r="O263" s="30"/>
      <c r="P263" s="30"/>
      <c r="Q263" s="30"/>
      <c r="R263" s="30"/>
      <c r="S263" s="30"/>
      <c r="T263" s="33"/>
      <c r="U263" s="31"/>
      <c r="V263" s="31"/>
      <c r="W263" s="31"/>
      <c r="X263" s="34"/>
      <c r="Y263" s="34"/>
      <c r="Z263" s="31"/>
      <c r="AA263" s="31"/>
      <c r="AB263" s="31"/>
      <c r="AC263" s="31"/>
      <c r="AD263" s="31"/>
      <c r="AE263" s="31"/>
      <c r="AF263" s="31"/>
      <c r="AG263" s="31"/>
      <c r="AH263" s="35"/>
      <c r="AI263" s="31"/>
      <c r="AJ263" s="31"/>
      <c r="AK263" s="31"/>
      <c r="AL263" s="31"/>
    </row>
    <row r="264" ht="12.0" customHeight="1">
      <c r="A264" s="30"/>
      <c r="B264" s="31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2"/>
      <c r="N264" s="30"/>
      <c r="O264" s="30"/>
      <c r="P264" s="30"/>
      <c r="Q264" s="30"/>
      <c r="R264" s="30"/>
      <c r="S264" s="30"/>
      <c r="T264" s="33"/>
      <c r="U264" s="31"/>
      <c r="V264" s="31"/>
      <c r="W264" s="31"/>
      <c r="X264" s="34"/>
      <c r="Y264" s="34"/>
      <c r="Z264" s="31"/>
      <c r="AA264" s="31"/>
      <c r="AB264" s="31"/>
      <c r="AC264" s="31"/>
      <c r="AD264" s="31"/>
      <c r="AE264" s="31"/>
      <c r="AF264" s="31"/>
      <c r="AG264" s="31"/>
      <c r="AH264" s="35"/>
      <c r="AI264" s="31"/>
      <c r="AJ264" s="31"/>
      <c r="AK264" s="31"/>
      <c r="AL264" s="31"/>
    </row>
    <row r="265" ht="12.0" customHeight="1">
      <c r="A265" s="30"/>
      <c r="B265" s="31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2"/>
      <c r="N265" s="30"/>
      <c r="O265" s="30"/>
      <c r="P265" s="30"/>
      <c r="Q265" s="30"/>
      <c r="R265" s="30"/>
      <c r="S265" s="30"/>
      <c r="T265" s="33"/>
      <c r="U265" s="31"/>
      <c r="V265" s="31"/>
      <c r="W265" s="31"/>
      <c r="X265" s="34"/>
      <c r="Y265" s="34"/>
      <c r="Z265" s="31"/>
      <c r="AA265" s="31"/>
      <c r="AB265" s="31"/>
      <c r="AC265" s="31"/>
      <c r="AD265" s="31"/>
      <c r="AE265" s="31"/>
      <c r="AF265" s="31"/>
      <c r="AG265" s="31"/>
      <c r="AH265" s="35"/>
      <c r="AI265" s="31"/>
      <c r="AJ265" s="31"/>
      <c r="AK265" s="31"/>
      <c r="AL265" s="31"/>
    </row>
    <row r="266" ht="12.0" customHeight="1">
      <c r="A266" s="30"/>
      <c r="B266" s="31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2"/>
      <c r="N266" s="30"/>
      <c r="O266" s="30"/>
      <c r="P266" s="30"/>
      <c r="Q266" s="30"/>
      <c r="R266" s="30"/>
      <c r="S266" s="30"/>
      <c r="T266" s="33"/>
      <c r="U266" s="31"/>
      <c r="V266" s="31"/>
      <c r="W266" s="31"/>
      <c r="X266" s="34"/>
      <c r="Y266" s="34"/>
      <c r="Z266" s="31"/>
      <c r="AA266" s="31"/>
      <c r="AB266" s="31"/>
      <c r="AC266" s="31"/>
      <c r="AD266" s="31"/>
      <c r="AE266" s="31"/>
      <c r="AF266" s="31"/>
      <c r="AG266" s="31"/>
      <c r="AH266" s="35"/>
      <c r="AI266" s="31"/>
      <c r="AJ266" s="31"/>
      <c r="AK266" s="31"/>
      <c r="AL266" s="31"/>
    </row>
    <row r="267" ht="12.0" customHeight="1">
      <c r="A267" s="30"/>
      <c r="B267" s="31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2"/>
      <c r="N267" s="30"/>
      <c r="O267" s="30"/>
      <c r="P267" s="30"/>
      <c r="Q267" s="30"/>
      <c r="R267" s="30"/>
      <c r="S267" s="30"/>
      <c r="T267" s="33"/>
      <c r="U267" s="31"/>
      <c r="V267" s="31"/>
      <c r="W267" s="31"/>
      <c r="X267" s="34"/>
      <c r="Y267" s="34"/>
      <c r="Z267" s="31"/>
      <c r="AA267" s="31"/>
      <c r="AB267" s="31"/>
      <c r="AC267" s="31"/>
      <c r="AD267" s="31"/>
      <c r="AE267" s="31"/>
      <c r="AF267" s="31"/>
      <c r="AG267" s="31"/>
      <c r="AH267" s="35"/>
      <c r="AI267" s="31"/>
      <c r="AJ267" s="31"/>
      <c r="AK267" s="31"/>
      <c r="AL267" s="31"/>
    </row>
    <row r="268" ht="12.0" customHeight="1">
      <c r="A268" s="30"/>
      <c r="B268" s="31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2"/>
      <c r="N268" s="30"/>
      <c r="O268" s="30"/>
      <c r="P268" s="30"/>
      <c r="Q268" s="30"/>
      <c r="R268" s="30"/>
      <c r="S268" s="30"/>
      <c r="T268" s="33"/>
      <c r="U268" s="31"/>
      <c r="V268" s="31"/>
      <c r="W268" s="31"/>
      <c r="X268" s="34"/>
      <c r="Y268" s="34"/>
      <c r="Z268" s="31"/>
      <c r="AA268" s="31"/>
      <c r="AB268" s="31"/>
      <c r="AC268" s="31"/>
      <c r="AD268" s="31"/>
      <c r="AE268" s="31"/>
      <c r="AF268" s="31"/>
      <c r="AG268" s="31"/>
      <c r="AH268" s="35"/>
      <c r="AI268" s="31"/>
      <c r="AJ268" s="31"/>
      <c r="AK268" s="31"/>
      <c r="AL268" s="31"/>
    </row>
    <row r="269" ht="12.0" customHeight="1">
      <c r="A269" s="30"/>
      <c r="B269" s="31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2"/>
      <c r="N269" s="30"/>
      <c r="O269" s="30"/>
      <c r="P269" s="30"/>
      <c r="Q269" s="30"/>
      <c r="R269" s="30"/>
      <c r="S269" s="30"/>
      <c r="T269" s="33"/>
      <c r="U269" s="31"/>
      <c r="V269" s="31"/>
      <c r="W269" s="31"/>
      <c r="X269" s="34"/>
      <c r="Y269" s="34"/>
      <c r="Z269" s="31"/>
      <c r="AA269" s="31"/>
      <c r="AB269" s="31"/>
      <c r="AC269" s="31"/>
      <c r="AD269" s="31"/>
      <c r="AE269" s="31"/>
      <c r="AF269" s="31"/>
      <c r="AG269" s="31"/>
      <c r="AH269" s="35"/>
      <c r="AI269" s="31"/>
      <c r="AJ269" s="31"/>
      <c r="AK269" s="31"/>
      <c r="AL269" s="31"/>
    </row>
    <row r="270" ht="12.0" customHeight="1">
      <c r="A270" s="30"/>
      <c r="B270" s="31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2"/>
      <c r="N270" s="30"/>
      <c r="O270" s="30"/>
      <c r="P270" s="30"/>
      <c r="Q270" s="30"/>
      <c r="R270" s="30"/>
      <c r="S270" s="30"/>
      <c r="T270" s="33"/>
      <c r="U270" s="31"/>
      <c r="V270" s="31"/>
      <c r="W270" s="31"/>
      <c r="X270" s="34"/>
      <c r="Y270" s="34"/>
      <c r="Z270" s="31"/>
      <c r="AA270" s="31"/>
      <c r="AB270" s="31"/>
      <c r="AC270" s="31"/>
      <c r="AD270" s="31"/>
      <c r="AE270" s="31"/>
      <c r="AF270" s="31"/>
      <c r="AG270" s="31"/>
      <c r="AH270" s="35"/>
      <c r="AI270" s="31"/>
      <c r="AJ270" s="31"/>
      <c r="AK270" s="31"/>
      <c r="AL270" s="31"/>
    </row>
    <row r="271" ht="12.0" customHeight="1">
      <c r="A271" s="30"/>
      <c r="B271" s="31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2"/>
      <c r="N271" s="30"/>
      <c r="O271" s="30"/>
      <c r="P271" s="30"/>
      <c r="Q271" s="30"/>
      <c r="R271" s="30"/>
      <c r="S271" s="30"/>
      <c r="T271" s="33"/>
      <c r="U271" s="31"/>
      <c r="V271" s="31"/>
      <c r="W271" s="31"/>
      <c r="X271" s="34"/>
      <c r="Y271" s="34"/>
      <c r="Z271" s="31"/>
      <c r="AA271" s="31"/>
      <c r="AB271" s="31"/>
      <c r="AC271" s="31"/>
      <c r="AD271" s="31"/>
      <c r="AE271" s="31"/>
      <c r="AF271" s="31"/>
      <c r="AG271" s="31"/>
      <c r="AH271" s="35"/>
      <c r="AI271" s="31"/>
      <c r="AJ271" s="31"/>
      <c r="AK271" s="31"/>
      <c r="AL271" s="31"/>
    </row>
    <row r="272" ht="12.0" customHeight="1">
      <c r="A272" s="30"/>
      <c r="B272" s="31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2"/>
      <c r="N272" s="30"/>
      <c r="O272" s="30"/>
      <c r="P272" s="30"/>
      <c r="Q272" s="30"/>
      <c r="R272" s="30"/>
      <c r="S272" s="30"/>
      <c r="T272" s="33"/>
      <c r="U272" s="31"/>
      <c r="V272" s="31"/>
      <c r="W272" s="31"/>
      <c r="X272" s="34"/>
      <c r="Y272" s="34"/>
      <c r="Z272" s="31"/>
      <c r="AA272" s="31"/>
      <c r="AB272" s="31"/>
      <c r="AC272" s="31"/>
      <c r="AD272" s="31"/>
      <c r="AE272" s="31"/>
      <c r="AF272" s="31"/>
      <c r="AG272" s="31"/>
      <c r="AH272" s="35"/>
      <c r="AI272" s="31"/>
      <c r="AJ272" s="31"/>
      <c r="AK272" s="31"/>
      <c r="AL272" s="31"/>
    </row>
    <row r="273" ht="12.0" customHeight="1">
      <c r="A273" s="30"/>
      <c r="B273" s="31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2"/>
      <c r="N273" s="30"/>
      <c r="O273" s="30"/>
      <c r="P273" s="30"/>
      <c r="Q273" s="30"/>
      <c r="R273" s="30"/>
      <c r="S273" s="30"/>
      <c r="T273" s="33"/>
      <c r="U273" s="31"/>
      <c r="V273" s="31"/>
      <c r="W273" s="31"/>
      <c r="X273" s="34"/>
      <c r="Y273" s="34"/>
      <c r="Z273" s="31"/>
      <c r="AA273" s="31"/>
      <c r="AB273" s="31"/>
      <c r="AC273" s="31"/>
      <c r="AD273" s="31"/>
      <c r="AE273" s="31"/>
      <c r="AF273" s="31"/>
      <c r="AG273" s="31"/>
      <c r="AH273" s="35"/>
      <c r="AI273" s="31"/>
      <c r="AJ273" s="31"/>
      <c r="AK273" s="31"/>
      <c r="AL273" s="31"/>
    </row>
    <row r="274" ht="12.0" customHeight="1">
      <c r="A274" s="30"/>
      <c r="B274" s="31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2"/>
      <c r="N274" s="30"/>
      <c r="O274" s="30"/>
      <c r="P274" s="30"/>
      <c r="Q274" s="30"/>
      <c r="R274" s="30"/>
      <c r="S274" s="30"/>
      <c r="T274" s="33"/>
      <c r="U274" s="31"/>
      <c r="V274" s="31"/>
      <c r="W274" s="31"/>
      <c r="X274" s="34"/>
      <c r="Y274" s="34"/>
      <c r="Z274" s="31"/>
      <c r="AA274" s="31"/>
      <c r="AB274" s="31"/>
      <c r="AC274" s="31"/>
      <c r="AD274" s="31"/>
      <c r="AE274" s="31"/>
      <c r="AF274" s="31"/>
      <c r="AG274" s="31"/>
      <c r="AH274" s="35"/>
      <c r="AI274" s="31"/>
      <c r="AJ274" s="31"/>
      <c r="AK274" s="31"/>
      <c r="AL274" s="31"/>
    </row>
    <row r="275" ht="12.0" customHeight="1">
      <c r="A275" s="30"/>
      <c r="B275" s="31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2"/>
      <c r="N275" s="30"/>
      <c r="O275" s="30"/>
      <c r="P275" s="30"/>
      <c r="Q275" s="30"/>
      <c r="R275" s="30"/>
      <c r="S275" s="30"/>
      <c r="T275" s="33"/>
      <c r="U275" s="31"/>
      <c r="V275" s="31"/>
      <c r="W275" s="31"/>
      <c r="X275" s="34"/>
      <c r="Y275" s="34"/>
      <c r="Z275" s="31"/>
      <c r="AA275" s="31"/>
      <c r="AB275" s="31"/>
      <c r="AC275" s="31"/>
      <c r="AD275" s="31"/>
      <c r="AE275" s="31"/>
      <c r="AF275" s="31"/>
      <c r="AG275" s="31"/>
      <c r="AH275" s="35"/>
      <c r="AI275" s="31"/>
      <c r="AJ275" s="31"/>
      <c r="AK275" s="31"/>
      <c r="AL275" s="31"/>
    </row>
    <row r="276" ht="12.0" customHeight="1">
      <c r="A276" s="30"/>
      <c r="B276" s="31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2"/>
      <c r="N276" s="30"/>
      <c r="O276" s="30"/>
      <c r="P276" s="30"/>
      <c r="Q276" s="30"/>
      <c r="R276" s="30"/>
      <c r="S276" s="30"/>
      <c r="T276" s="33"/>
      <c r="U276" s="31"/>
      <c r="V276" s="31"/>
      <c r="W276" s="31"/>
      <c r="X276" s="34"/>
      <c r="Y276" s="34"/>
      <c r="Z276" s="31"/>
      <c r="AA276" s="31"/>
      <c r="AB276" s="31"/>
      <c r="AC276" s="31"/>
      <c r="AD276" s="31"/>
      <c r="AE276" s="31"/>
      <c r="AF276" s="31"/>
      <c r="AG276" s="31"/>
      <c r="AH276" s="35"/>
      <c r="AI276" s="31"/>
      <c r="AJ276" s="31"/>
      <c r="AK276" s="31"/>
      <c r="AL276" s="31"/>
    </row>
    <row r="277" ht="12.0" customHeight="1">
      <c r="A277" s="30"/>
      <c r="B277" s="31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2"/>
      <c r="N277" s="30"/>
      <c r="O277" s="30"/>
      <c r="P277" s="30"/>
      <c r="Q277" s="30"/>
      <c r="R277" s="30"/>
      <c r="S277" s="30"/>
      <c r="T277" s="33"/>
      <c r="U277" s="31"/>
      <c r="V277" s="31"/>
      <c r="W277" s="31"/>
      <c r="X277" s="34"/>
      <c r="Y277" s="34"/>
      <c r="Z277" s="31"/>
      <c r="AA277" s="31"/>
      <c r="AB277" s="31"/>
      <c r="AC277" s="31"/>
      <c r="AD277" s="31"/>
      <c r="AE277" s="31"/>
      <c r="AF277" s="31"/>
      <c r="AG277" s="31"/>
      <c r="AH277" s="35"/>
      <c r="AI277" s="31"/>
      <c r="AJ277" s="31"/>
      <c r="AK277" s="31"/>
      <c r="AL277" s="31"/>
    </row>
    <row r="278" ht="12.0" customHeight="1">
      <c r="A278" s="30"/>
      <c r="B278" s="31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2"/>
      <c r="N278" s="30"/>
      <c r="O278" s="30"/>
      <c r="P278" s="30"/>
      <c r="Q278" s="30"/>
      <c r="R278" s="30"/>
      <c r="S278" s="30"/>
      <c r="T278" s="33"/>
      <c r="U278" s="31"/>
      <c r="V278" s="31"/>
      <c r="W278" s="31"/>
      <c r="X278" s="34"/>
      <c r="Y278" s="34"/>
      <c r="Z278" s="31"/>
      <c r="AA278" s="31"/>
      <c r="AB278" s="31"/>
      <c r="AC278" s="31"/>
      <c r="AD278" s="31"/>
      <c r="AE278" s="31"/>
      <c r="AF278" s="31"/>
      <c r="AG278" s="31"/>
      <c r="AH278" s="35"/>
      <c r="AI278" s="31"/>
      <c r="AJ278" s="31"/>
      <c r="AK278" s="31"/>
      <c r="AL278" s="31"/>
    </row>
    <row r="279" ht="12.0" customHeight="1">
      <c r="A279" s="30"/>
      <c r="B279" s="31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2"/>
      <c r="N279" s="30"/>
      <c r="O279" s="30"/>
      <c r="P279" s="30"/>
      <c r="Q279" s="30"/>
      <c r="R279" s="30"/>
      <c r="S279" s="30"/>
      <c r="T279" s="33"/>
      <c r="U279" s="31"/>
      <c r="V279" s="31"/>
      <c r="W279" s="31"/>
      <c r="X279" s="34"/>
      <c r="Y279" s="34"/>
      <c r="Z279" s="31"/>
      <c r="AA279" s="31"/>
      <c r="AB279" s="31"/>
      <c r="AC279" s="31"/>
      <c r="AD279" s="31"/>
      <c r="AE279" s="31"/>
      <c r="AF279" s="31"/>
      <c r="AG279" s="31"/>
      <c r="AH279" s="35"/>
      <c r="AI279" s="31"/>
      <c r="AJ279" s="31"/>
      <c r="AK279" s="31"/>
      <c r="AL279" s="31"/>
    </row>
    <row r="280" ht="12.0" customHeight="1">
      <c r="A280" s="30"/>
      <c r="B280" s="31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2"/>
      <c r="N280" s="30"/>
      <c r="O280" s="30"/>
      <c r="P280" s="30"/>
      <c r="Q280" s="30"/>
      <c r="R280" s="30"/>
      <c r="S280" s="30"/>
      <c r="T280" s="33"/>
      <c r="U280" s="31"/>
      <c r="V280" s="31"/>
      <c r="W280" s="31"/>
      <c r="X280" s="34"/>
      <c r="Y280" s="34"/>
      <c r="Z280" s="31"/>
      <c r="AA280" s="31"/>
      <c r="AB280" s="31"/>
      <c r="AC280" s="31"/>
      <c r="AD280" s="31"/>
      <c r="AE280" s="31"/>
      <c r="AF280" s="31"/>
      <c r="AG280" s="31"/>
      <c r="AH280" s="35"/>
      <c r="AI280" s="31"/>
      <c r="AJ280" s="31"/>
      <c r="AK280" s="31"/>
      <c r="AL280" s="31"/>
    </row>
    <row r="281" ht="12.0" customHeight="1">
      <c r="A281" s="30"/>
      <c r="B281" s="31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2"/>
      <c r="N281" s="30"/>
      <c r="O281" s="30"/>
      <c r="P281" s="30"/>
      <c r="Q281" s="30"/>
      <c r="R281" s="30"/>
      <c r="S281" s="30"/>
      <c r="T281" s="33"/>
      <c r="U281" s="31"/>
      <c r="V281" s="31"/>
      <c r="W281" s="31"/>
      <c r="X281" s="34"/>
      <c r="Y281" s="34"/>
      <c r="Z281" s="31"/>
      <c r="AA281" s="31"/>
      <c r="AB281" s="31"/>
      <c r="AC281" s="31"/>
      <c r="AD281" s="31"/>
      <c r="AE281" s="31"/>
      <c r="AF281" s="31"/>
      <c r="AG281" s="31"/>
      <c r="AH281" s="35"/>
      <c r="AI281" s="31"/>
      <c r="AJ281" s="31"/>
      <c r="AK281" s="31"/>
      <c r="AL281" s="31"/>
    </row>
    <row r="282" ht="12.0" customHeight="1">
      <c r="A282" s="30"/>
      <c r="B282" s="31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2"/>
      <c r="N282" s="30"/>
      <c r="O282" s="30"/>
      <c r="P282" s="30"/>
      <c r="Q282" s="30"/>
      <c r="R282" s="30"/>
      <c r="S282" s="30"/>
      <c r="T282" s="33"/>
      <c r="U282" s="31"/>
      <c r="V282" s="31"/>
      <c r="W282" s="31"/>
      <c r="X282" s="34"/>
      <c r="Y282" s="34"/>
      <c r="Z282" s="31"/>
      <c r="AA282" s="31"/>
      <c r="AB282" s="31"/>
      <c r="AC282" s="31"/>
      <c r="AD282" s="31"/>
      <c r="AE282" s="31"/>
      <c r="AF282" s="31"/>
      <c r="AG282" s="31"/>
      <c r="AH282" s="35"/>
      <c r="AI282" s="31"/>
      <c r="AJ282" s="31"/>
      <c r="AK282" s="31"/>
      <c r="AL282" s="31"/>
    </row>
    <row r="283" ht="12.0" customHeight="1">
      <c r="A283" s="30"/>
      <c r="B283" s="31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2"/>
      <c r="N283" s="30"/>
      <c r="O283" s="30"/>
      <c r="P283" s="30"/>
      <c r="Q283" s="30"/>
      <c r="R283" s="30"/>
      <c r="S283" s="30"/>
      <c r="T283" s="33"/>
      <c r="U283" s="31"/>
      <c r="V283" s="31"/>
      <c r="W283" s="31"/>
      <c r="X283" s="34"/>
      <c r="Y283" s="34"/>
      <c r="Z283" s="31"/>
      <c r="AA283" s="31"/>
      <c r="AB283" s="31"/>
      <c r="AC283" s="31"/>
      <c r="AD283" s="31"/>
      <c r="AE283" s="31"/>
      <c r="AF283" s="31"/>
      <c r="AG283" s="31"/>
      <c r="AH283" s="35"/>
      <c r="AI283" s="31"/>
      <c r="AJ283" s="31"/>
      <c r="AK283" s="31"/>
      <c r="AL283" s="31"/>
    </row>
    <row r="284" ht="12.0" customHeight="1">
      <c r="A284" s="30"/>
      <c r="B284" s="31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2"/>
      <c r="N284" s="30"/>
      <c r="O284" s="30"/>
      <c r="P284" s="30"/>
      <c r="Q284" s="30"/>
      <c r="R284" s="30"/>
      <c r="S284" s="30"/>
      <c r="T284" s="33"/>
      <c r="U284" s="31"/>
      <c r="V284" s="31"/>
      <c r="W284" s="31"/>
      <c r="X284" s="34"/>
      <c r="Y284" s="34"/>
      <c r="Z284" s="31"/>
      <c r="AA284" s="31"/>
      <c r="AB284" s="31"/>
      <c r="AC284" s="31"/>
      <c r="AD284" s="31"/>
      <c r="AE284" s="31"/>
      <c r="AF284" s="31"/>
      <c r="AG284" s="31"/>
      <c r="AH284" s="35"/>
      <c r="AI284" s="31"/>
      <c r="AJ284" s="31"/>
      <c r="AK284" s="31"/>
      <c r="AL284" s="31"/>
    </row>
    <row r="285" ht="12.0" customHeight="1">
      <c r="A285" s="30"/>
      <c r="B285" s="31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2"/>
      <c r="N285" s="30"/>
      <c r="O285" s="30"/>
      <c r="P285" s="30"/>
      <c r="Q285" s="30"/>
      <c r="R285" s="30"/>
      <c r="S285" s="30"/>
      <c r="T285" s="33"/>
      <c r="U285" s="31"/>
      <c r="V285" s="31"/>
      <c r="W285" s="31"/>
      <c r="X285" s="34"/>
      <c r="Y285" s="34"/>
      <c r="Z285" s="31"/>
      <c r="AA285" s="31"/>
      <c r="AB285" s="31"/>
      <c r="AC285" s="31"/>
      <c r="AD285" s="31"/>
      <c r="AE285" s="31"/>
      <c r="AF285" s="31"/>
      <c r="AG285" s="31"/>
      <c r="AH285" s="35"/>
      <c r="AI285" s="31"/>
      <c r="AJ285" s="31"/>
      <c r="AK285" s="31"/>
      <c r="AL285" s="31"/>
    </row>
    <row r="286" ht="12.0" customHeight="1">
      <c r="A286" s="30"/>
      <c r="B286" s="31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2"/>
      <c r="N286" s="30"/>
      <c r="O286" s="30"/>
      <c r="P286" s="30"/>
      <c r="Q286" s="30"/>
      <c r="R286" s="30"/>
      <c r="S286" s="30"/>
      <c r="T286" s="33"/>
      <c r="U286" s="31"/>
      <c r="V286" s="31"/>
      <c r="W286" s="31"/>
      <c r="X286" s="34"/>
      <c r="Y286" s="34"/>
      <c r="Z286" s="31"/>
      <c r="AA286" s="31"/>
      <c r="AB286" s="31"/>
      <c r="AC286" s="31"/>
      <c r="AD286" s="31"/>
      <c r="AE286" s="31"/>
      <c r="AF286" s="31"/>
      <c r="AG286" s="31"/>
      <c r="AH286" s="35"/>
      <c r="AI286" s="31"/>
      <c r="AJ286" s="31"/>
      <c r="AK286" s="31"/>
      <c r="AL286" s="31"/>
    </row>
    <row r="287" ht="12.0" customHeight="1">
      <c r="A287" s="30"/>
      <c r="B287" s="31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2"/>
      <c r="N287" s="30"/>
      <c r="O287" s="30"/>
      <c r="P287" s="30"/>
      <c r="Q287" s="30"/>
      <c r="R287" s="30"/>
      <c r="S287" s="30"/>
      <c r="T287" s="33"/>
      <c r="U287" s="31"/>
      <c r="V287" s="31"/>
      <c r="W287" s="31"/>
      <c r="X287" s="34"/>
      <c r="Y287" s="34"/>
      <c r="Z287" s="31"/>
      <c r="AA287" s="31"/>
      <c r="AB287" s="31"/>
      <c r="AC287" s="31"/>
      <c r="AD287" s="31"/>
      <c r="AE287" s="31"/>
      <c r="AF287" s="31"/>
      <c r="AG287" s="31"/>
      <c r="AH287" s="35"/>
      <c r="AI287" s="31"/>
      <c r="AJ287" s="31"/>
      <c r="AK287" s="31"/>
      <c r="AL287" s="31"/>
    </row>
    <row r="288" ht="12.0" customHeight="1">
      <c r="A288" s="30"/>
      <c r="B288" s="31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2"/>
      <c r="N288" s="30"/>
      <c r="O288" s="30"/>
      <c r="P288" s="30"/>
      <c r="Q288" s="30"/>
      <c r="R288" s="30"/>
      <c r="S288" s="30"/>
      <c r="T288" s="33"/>
      <c r="U288" s="31"/>
      <c r="V288" s="31"/>
      <c r="W288" s="31"/>
      <c r="X288" s="34"/>
      <c r="Y288" s="34"/>
      <c r="Z288" s="31"/>
      <c r="AA288" s="31"/>
      <c r="AB288" s="31"/>
      <c r="AC288" s="31"/>
      <c r="AD288" s="31"/>
      <c r="AE288" s="31"/>
      <c r="AF288" s="31"/>
      <c r="AG288" s="31"/>
      <c r="AH288" s="35"/>
      <c r="AI288" s="31"/>
      <c r="AJ288" s="31"/>
      <c r="AK288" s="31"/>
      <c r="AL288" s="31"/>
    </row>
    <row r="289" ht="12.0" customHeight="1">
      <c r="A289" s="30"/>
      <c r="B289" s="31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2"/>
      <c r="N289" s="30"/>
      <c r="O289" s="30"/>
      <c r="P289" s="30"/>
      <c r="Q289" s="30"/>
      <c r="R289" s="30"/>
      <c r="S289" s="30"/>
      <c r="T289" s="33"/>
      <c r="U289" s="31"/>
      <c r="V289" s="31"/>
      <c r="W289" s="31"/>
      <c r="X289" s="34"/>
      <c r="Y289" s="34"/>
      <c r="Z289" s="31"/>
      <c r="AA289" s="31"/>
      <c r="AB289" s="31"/>
      <c r="AC289" s="31"/>
      <c r="AD289" s="31"/>
      <c r="AE289" s="31"/>
      <c r="AF289" s="31"/>
      <c r="AG289" s="31"/>
      <c r="AH289" s="35"/>
      <c r="AI289" s="31"/>
      <c r="AJ289" s="31"/>
      <c r="AK289" s="31"/>
      <c r="AL289" s="31"/>
    </row>
    <row r="290" ht="12.0" customHeight="1">
      <c r="A290" s="30"/>
      <c r="B290" s="31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2"/>
      <c r="N290" s="30"/>
      <c r="O290" s="30"/>
      <c r="P290" s="30"/>
      <c r="Q290" s="30"/>
      <c r="R290" s="30"/>
      <c r="S290" s="30"/>
      <c r="T290" s="33"/>
      <c r="U290" s="31"/>
      <c r="V290" s="31"/>
      <c r="W290" s="31"/>
      <c r="X290" s="34"/>
      <c r="Y290" s="34"/>
      <c r="Z290" s="31"/>
      <c r="AA290" s="31"/>
      <c r="AB290" s="31"/>
      <c r="AC290" s="31"/>
      <c r="AD290" s="31"/>
      <c r="AE290" s="31"/>
      <c r="AF290" s="31"/>
      <c r="AG290" s="31"/>
      <c r="AH290" s="35"/>
      <c r="AI290" s="31"/>
      <c r="AJ290" s="31"/>
      <c r="AK290" s="31"/>
      <c r="AL290" s="31"/>
    </row>
    <row r="291" ht="12.0" customHeight="1">
      <c r="A291" s="30"/>
      <c r="B291" s="31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2"/>
      <c r="N291" s="30"/>
      <c r="O291" s="30"/>
      <c r="P291" s="30"/>
      <c r="Q291" s="30"/>
      <c r="R291" s="30"/>
      <c r="S291" s="30"/>
      <c r="T291" s="33"/>
      <c r="U291" s="31"/>
      <c r="V291" s="31"/>
      <c r="W291" s="31"/>
      <c r="X291" s="34"/>
      <c r="Y291" s="34"/>
      <c r="Z291" s="31"/>
      <c r="AA291" s="31"/>
      <c r="AB291" s="31"/>
      <c r="AC291" s="31"/>
      <c r="AD291" s="31"/>
      <c r="AE291" s="31"/>
      <c r="AF291" s="31"/>
      <c r="AG291" s="31"/>
      <c r="AH291" s="35"/>
      <c r="AI291" s="31"/>
      <c r="AJ291" s="31"/>
      <c r="AK291" s="31"/>
      <c r="AL291" s="31"/>
    </row>
    <row r="292" ht="12.0" customHeight="1">
      <c r="A292" s="30"/>
      <c r="B292" s="31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2"/>
      <c r="N292" s="30"/>
      <c r="O292" s="30"/>
      <c r="P292" s="30"/>
      <c r="Q292" s="30"/>
      <c r="R292" s="30"/>
      <c r="S292" s="30"/>
      <c r="T292" s="33"/>
      <c r="U292" s="31"/>
      <c r="V292" s="31"/>
      <c r="W292" s="31"/>
      <c r="X292" s="34"/>
      <c r="Y292" s="34"/>
      <c r="Z292" s="31"/>
      <c r="AA292" s="31"/>
      <c r="AB292" s="31"/>
      <c r="AC292" s="31"/>
      <c r="AD292" s="31"/>
      <c r="AE292" s="31"/>
      <c r="AF292" s="31"/>
      <c r="AG292" s="31"/>
      <c r="AH292" s="35"/>
      <c r="AI292" s="31"/>
      <c r="AJ292" s="31"/>
      <c r="AK292" s="31"/>
      <c r="AL292" s="31"/>
    </row>
    <row r="293" ht="12.0" customHeight="1">
      <c r="A293" s="30"/>
      <c r="B293" s="31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2"/>
      <c r="N293" s="30"/>
      <c r="O293" s="30"/>
      <c r="P293" s="30"/>
      <c r="Q293" s="30"/>
      <c r="R293" s="30"/>
      <c r="S293" s="30"/>
      <c r="T293" s="33"/>
      <c r="U293" s="31"/>
      <c r="V293" s="31"/>
      <c r="W293" s="31"/>
      <c r="X293" s="34"/>
      <c r="Y293" s="34"/>
      <c r="Z293" s="31"/>
      <c r="AA293" s="31"/>
      <c r="AB293" s="31"/>
      <c r="AC293" s="31"/>
      <c r="AD293" s="31"/>
      <c r="AE293" s="31"/>
      <c r="AF293" s="31"/>
      <c r="AG293" s="31"/>
      <c r="AH293" s="35"/>
      <c r="AI293" s="31"/>
      <c r="AJ293" s="31"/>
      <c r="AK293" s="31"/>
      <c r="AL293" s="31"/>
    </row>
    <row r="294" ht="12.0" customHeight="1">
      <c r="A294" s="30"/>
      <c r="B294" s="31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2"/>
      <c r="N294" s="30"/>
      <c r="O294" s="30"/>
      <c r="P294" s="30"/>
      <c r="Q294" s="30"/>
      <c r="R294" s="30"/>
      <c r="S294" s="30"/>
      <c r="T294" s="33"/>
      <c r="U294" s="31"/>
      <c r="V294" s="31"/>
      <c r="W294" s="31"/>
      <c r="X294" s="34"/>
      <c r="Y294" s="34"/>
      <c r="Z294" s="31"/>
      <c r="AA294" s="31"/>
      <c r="AB294" s="31"/>
      <c r="AC294" s="31"/>
      <c r="AD294" s="31"/>
      <c r="AE294" s="31"/>
      <c r="AF294" s="31"/>
      <c r="AG294" s="31"/>
      <c r="AH294" s="35"/>
      <c r="AI294" s="31"/>
      <c r="AJ294" s="31"/>
      <c r="AK294" s="31"/>
      <c r="AL294" s="31"/>
    </row>
    <row r="295" ht="12.0" customHeight="1">
      <c r="A295" s="30"/>
      <c r="B295" s="31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2"/>
      <c r="N295" s="30"/>
      <c r="O295" s="30"/>
      <c r="P295" s="30"/>
      <c r="Q295" s="30"/>
      <c r="R295" s="30"/>
      <c r="S295" s="30"/>
      <c r="T295" s="33"/>
      <c r="U295" s="31"/>
      <c r="V295" s="31"/>
      <c r="W295" s="31"/>
      <c r="X295" s="34"/>
      <c r="Y295" s="34"/>
      <c r="Z295" s="31"/>
      <c r="AA295" s="31"/>
      <c r="AB295" s="31"/>
      <c r="AC295" s="31"/>
      <c r="AD295" s="31"/>
      <c r="AE295" s="31"/>
      <c r="AF295" s="31"/>
      <c r="AG295" s="31"/>
      <c r="AH295" s="35"/>
      <c r="AI295" s="31"/>
      <c r="AJ295" s="31"/>
      <c r="AK295" s="31"/>
      <c r="AL295" s="31"/>
    </row>
    <row r="296" ht="12.0" customHeight="1">
      <c r="A296" s="30"/>
      <c r="B296" s="31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2"/>
      <c r="N296" s="30"/>
      <c r="O296" s="30"/>
      <c r="P296" s="30"/>
      <c r="Q296" s="30"/>
      <c r="R296" s="30"/>
      <c r="S296" s="30"/>
      <c r="T296" s="33"/>
      <c r="U296" s="31"/>
      <c r="V296" s="31"/>
      <c r="W296" s="31"/>
      <c r="X296" s="34"/>
      <c r="Y296" s="34"/>
      <c r="Z296" s="31"/>
      <c r="AA296" s="31"/>
      <c r="AB296" s="31"/>
      <c r="AC296" s="31"/>
      <c r="AD296" s="31"/>
      <c r="AE296" s="31"/>
      <c r="AF296" s="31"/>
      <c r="AG296" s="31"/>
      <c r="AH296" s="35"/>
      <c r="AI296" s="31"/>
      <c r="AJ296" s="31"/>
      <c r="AK296" s="31"/>
      <c r="AL296" s="31"/>
    </row>
    <row r="297" ht="12.0" customHeight="1">
      <c r="A297" s="30"/>
      <c r="B297" s="31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2"/>
      <c r="N297" s="30"/>
      <c r="O297" s="30"/>
      <c r="P297" s="30"/>
      <c r="Q297" s="30"/>
      <c r="R297" s="30"/>
      <c r="S297" s="30"/>
      <c r="T297" s="33"/>
      <c r="U297" s="31"/>
      <c r="V297" s="31"/>
      <c r="W297" s="31"/>
      <c r="X297" s="34"/>
      <c r="Y297" s="34"/>
      <c r="Z297" s="31"/>
      <c r="AA297" s="31"/>
      <c r="AB297" s="31"/>
      <c r="AC297" s="31"/>
      <c r="AD297" s="31"/>
      <c r="AE297" s="31"/>
      <c r="AF297" s="31"/>
      <c r="AG297" s="31"/>
      <c r="AH297" s="35"/>
      <c r="AI297" s="31"/>
      <c r="AJ297" s="31"/>
      <c r="AK297" s="31"/>
      <c r="AL297" s="31"/>
    </row>
    <row r="298" ht="12.0" customHeight="1">
      <c r="A298" s="30"/>
      <c r="B298" s="31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2"/>
      <c r="N298" s="30"/>
      <c r="O298" s="30"/>
      <c r="P298" s="30"/>
      <c r="Q298" s="30"/>
      <c r="R298" s="30"/>
      <c r="S298" s="30"/>
      <c r="T298" s="33"/>
      <c r="U298" s="31"/>
      <c r="V298" s="31"/>
      <c r="W298" s="31"/>
      <c r="X298" s="34"/>
      <c r="Y298" s="34"/>
      <c r="Z298" s="31"/>
      <c r="AA298" s="31"/>
      <c r="AB298" s="31"/>
      <c r="AC298" s="31"/>
      <c r="AD298" s="31"/>
      <c r="AE298" s="31"/>
      <c r="AF298" s="31"/>
      <c r="AG298" s="31"/>
      <c r="AH298" s="35"/>
      <c r="AI298" s="31"/>
      <c r="AJ298" s="31"/>
      <c r="AK298" s="31"/>
      <c r="AL298" s="31"/>
    </row>
    <row r="299" ht="12.0" customHeight="1">
      <c r="A299" s="30"/>
      <c r="B299" s="31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2"/>
      <c r="N299" s="30"/>
      <c r="O299" s="30"/>
      <c r="P299" s="30"/>
      <c r="Q299" s="30"/>
      <c r="R299" s="30"/>
      <c r="S299" s="30"/>
      <c r="T299" s="33"/>
      <c r="U299" s="31"/>
      <c r="V299" s="31"/>
      <c r="W299" s="31"/>
      <c r="X299" s="34"/>
      <c r="Y299" s="34"/>
      <c r="Z299" s="31"/>
      <c r="AA299" s="31"/>
      <c r="AB299" s="31"/>
      <c r="AC299" s="31"/>
      <c r="AD299" s="31"/>
      <c r="AE299" s="31"/>
      <c r="AF299" s="31"/>
      <c r="AG299" s="31"/>
      <c r="AH299" s="35"/>
      <c r="AI299" s="31"/>
      <c r="AJ299" s="31"/>
      <c r="AK299" s="31"/>
      <c r="AL299" s="31"/>
    </row>
    <row r="300" ht="12.0" customHeight="1">
      <c r="A300" s="30"/>
      <c r="B300" s="31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2"/>
      <c r="N300" s="30"/>
      <c r="O300" s="30"/>
      <c r="P300" s="30"/>
      <c r="Q300" s="30"/>
      <c r="R300" s="30"/>
      <c r="S300" s="30"/>
      <c r="T300" s="33"/>
      <c r="U300" s="31"/>
      <c r="V300" s="31"/>
      <c r="W300" s="31"/>
      <c r="X300" s="34"/>
      <c r="Y300" s="34"/>
      <c r="Z300" s="31"/>
      <c r="AA300" s="31"/>
      <c r="AB300" s="31"/>
      <c r="AC300" s="31"/>
      <c r="AD300" s="31"/>
      <c r="AE300" s="31"/>
      <c r="AF300" s="31"/>
      <c r="AG300" s="31"/>
      <c r="AH300" s="35"/>
      <c r="AI300" s="31"/>
      <c r="AJ300" s="31"/>
      <c r="AK300" s="31"/>
      <c r="AL300" s="31"/>
    </row>
    <row r="301" ht="12.0" customHeight="1">
      <c r="A301" s="30"/>
      <c r="B301" s="31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2"/>
      <c r="N301" s="30"/>
      <c r="O301" s="30"/>
      <c r="P301" s="30"/>
      <c r="Q301" s="30"/>
      <c r="R301" s="30"/>
      <c r="S301" s="30"/>
      <c r="T301" s="33"/>
      <c r="U301" s="31"/>
      <c r="V301" s="31"/>
      <c r="W301" s="31"/>
      <c r="X301" s="34"/>
      <c r="Y301" s="34"/>
      <c r="Z301" s="31"/>
      <c r="AA301" s="31"/>
      <c r="AB301" s="31"/>
      <c r="AC301" s="31"/>
      <c r="AD301" s="31"/>
      <c r="AE301" s="31"/>
      <c r="AF301" s="31"/>
      <c r="AG301" s="31"/>
      <c r="AH301" s="35"/>
      <c r="AI301" s="31"/>
      <c r="AJ301" s="31"/>
      <c r="AK301" s="31"/>
      <c r="AL301" s="31"/>
    </row>
    <row r="302" ht="12.0" customHeight="1">
      <c r="A302" s="30"/>
      <c r="B302" s="31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2"/>
      <c r="N302" s="30"/>
      <c r="O302" s="30"/>
      <c r="P302" s="30"/>
      <c r="Q302" s="30"/>
      <c r="R302" s="30"/>
      <c r="S302" s="30"/>
      <c r="T302" s="33"/>
      <c r="U302" s="31"/>
      <c r="V302" s="31"/>
      <c r="W302" s="31"/>
      <c r="X302" s="34"/>
      <c r="Y302" s="34"/>
      <c r="Z302" s="31"/>
      <c r="AA302" s="31"/>
      <c r="AB302" s="31"/>
      <c r="AC302" s="31"/>
      <c r="AD302" s="31"/>
      <c r="AE302" s="31"/>
      <c r="AF302" s="31"/>
      <c r="AG302" s="31"/>
      <c r="AH302" s="35"/>
      <c r="AI302" s="31"/>
      <c r="AJ302" s="31"/>
      <c r="AK302" s="31"/>
      <c r="AL302" s="31"/>
    </row>
    <row r="303" ht="12.0" customHeight="1">
      <c r="A303" s="30"/>
      <c r="B303" s="31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2"/>
      <c r="N303" s="30"/>
      <c r="O303" s="30"/>
      <c r="P303" s="30"/>
      <c r="Q303" s="30"/>
      <c r="R303" s="30"/>
      <c r="S303" s="30"/>
      <c r="T303" s="33"/>
      <c r="U303" s="31"/>
      <c r="V303" s="31"/>
      <c r="W303" s="31"/>
      <c r="X303" s="34"/>
      <c r="Y303" s="34"/>
      <c r="Z303" s="31"/>
      <c r="AA303" s="31"/>
      <c r="AB303" s="31"/>
      <c r="AC303" s="31"/>
      <c r="AD303" s="31"/>
      <c r="AE303" s="31"/>
      <c r="AF303" s="31"/>
      <c r="AG303" s="31"/>
      <c r="AH303" s="35"/>
      <c r="AI303" s="31"/>
      <c r="AJ303" s="31"/>
      <c r="AK303" s="31"/>
      <c r="AL303" s="31"/>
    </row>
    <row r="304" ht="12.0" customHeight="1">
      <c r="A304" s="30"/>
      <c r="B304" s="31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2"/>
      <c r="N304" s="30"/>
      <c r="O304" s="30"/>
      <c r="P304" s="30"/>
      <c r="Q304" s="30"/>
      <c r="R304" s="30"/>
      <c r="S304" s="30"/>
      <c r="T304" s="33"/>
      <c r="U304" s="31"/>
      <c r="V304" s="31"/>
      <c r="W304" s="31"/>
      <c r="X304" s="34"/>
      <c r="Y304" s="34"/>
      <c r="Z304" s="31"/>
      <c r="AA304" s="31"/>
      <c r="AB304" s="31"/>
      <c r="AC304" s="31"/>
      <c r="AD304" s="31"/>
      <c r="AE304" s="31"/>
      <c r="AF304" s="31"/>
      <c r="AG304" s="31"/>
      <c r="AH304" s="35"/>
      <c r="AI304" s="31"/>
      <c r="AJ304" s="31"/>
      <c r="AK304" s="31"/>
      <c r="AL304" s="31"/>
    </row>
    <row r="305" ht="12.0" customHeight="1">
      <c r="A305" s="30"/>
      <c r="B305" s="31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2"/>
      <c r="N305" s="30"/>
      <c r="O305" s="30"/>
      <c r="P305" s="30"/>
      <c r="Q305" s="30"/>
      <c r="R305" s="30"/>
      <c r="S305" s="30"/>
      <c r="T305" s="33"/>
      <c r="U305" s="31"/>
      <c r="V305" s="31"/>
      <c r="W305" s="31"/>
      <c r="X305" s="34"/>
      <c r="Y305" s="34"/>
      <c r="Z305" s="31"/>
      <c r="AA305" s="31"/>
      <c r="AB305" s="31"/>
      <c r="AC305" s="31"/>
      <c r="AD305" s="31"/>
      <c r="AE305" s="31"/>
      <c r="AF305" s="31"/>
      <c r="AG305" s="31"/>
      <c r="AH305" s="35"/>
      <c r="AI305" s="31"/>
      <c r="AJ305" s="31"/>
      <c r="AK305" s="31"/>
      <c r="AL305" s="31"/>
    </row>
    <row r="306" ht="12.0" customHeight="1">
      <c r="A306" s="30"/>
      <c r="B306" s="31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2"/>
      <c r="N306" s="30"/>
      <c r="O306" s="30"/>
      <c r="P306" s="30"/>
      <c r="Q306" s="30"/>
      <c r="R306" s="30"/>
      <c r="S306" s="30"/>
      <c r="T306" s="33"/>
      <c r="U306" s="31"/>
      <c r="V306" s="31"/>
      <c r="W306" s="31"/>
      <c r="X306" s="34"/>
      <c r="Y306" s="34"/>
      <c r="Z306" s="31"/>
      <c r="AA306" s="31"/>
      <c r="AB306" s="31"/>
      <c r="AC306" s="31"/>
      <c r="AD306" s="31"/>
      <c r="AE306" s="31"/>
      <c r="AF306" s="31"/>
      <c r="AG306" s="31"/>
      <c r="AH306" s="35"/>
      <c r="AI306" s="31"/>
      <c r="AJ306" s="31"/>
      <c r="AK306" s="31"/>
      <c r="AL306" s="31"/>
    </row>
    <row r="307" ht="12.0" customHeight="1">
      <c r="A307" s="30"/>
      <c r="B307" s="31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2"/>
      <c r="N307" s="30"/>
      <c r="O307" s="30"/>
      <c r="P307" s="30"/>
      <c r="Q307" s="30"/>
      <c r="R307" s="30"/>
      <c r="S307" s="30"/>
      <c r="T307" s="33"/>
      <c r="U307" s="31"/>
      <c r="V307" s="31"/>
      <c r="W307" s="31"/>
      <c r="X307" s="34"/>
      <c r="Y307" s="34"/>
      <c r="Z307" s="31"/>
      <c r="AA307" s="31"/>
      <c r="AB307" s="31"/>
      <c r="AC307" s="31"/>
      <c r="AD307" s="31"/>
      <c r="AE307" s="31"/>
      <c r="AF307" s="31"/>
      <c r="AG307" s="31"/>
      <c r="AH307" s="35"/>
      <c r="AI307" s="31"/>
      <c r="AJ307" s="31"/>
      <c r="AK307" s="31"/>
      <c r="AL307" s="31"/>
    </row>
    <row r="308" ht="12.0" customHeight="1">
      <c r="A308" s="30"/>
      <c r="B308" s="31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2"/>
      <c r="N308" s="30"/>
      <c r="O308" s="30"/>
      <c r="P308" s="30"/>
      <c r="Q308" s="30"/>
      <c r="R308" s="30"/>
      <c r="S308" s="30"/>
      <c r="T308" s="33"/>
      <c r="U308" s="31"/>
      <c r="V308" s="31"/>
      <c r="W308" s="31"/>
      <c r="X308" s="34"/>
      <c r="Y308" s="34"/>
      <c r="Z308" s="31"/>
      <c r="AA308" s="31"/>
      <c r="AB308" s="31"/>
      <c r="AC308" s="31"/>
      <c r="AD308" s="31"/>
      <c r="AE308" s="31"/>
      <c r="AF308" s="31"/>
      <c r="AG308" s="31"/>
      <c r="AH308" s="35"/>
      <c r="AI308" s="31"/>
      <c r="AJ308" s="31"/>
      <c r="AK308" s="31"/>
      <c r="AL308" s="31"/>
    </row>
    <row r="309" ht="12.0" customHeight="1">
      <c r="A309" s="30"/>
      <c r="B309" s="31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2"/>
      <c r="N309" s="30"/>
      <c r="O309" s="30"/>
      <c r="P309" s="30"/>
      <c r="Q309" s="30"/>
      <c r="R309" s="30"/>
      <c r="S309" s="30"/>
      <c r="T309" s="33"/>
      <c r="U309" s="31"/>
      <c r="V309" s="31"/>
      <c r="W309" s="31"/>
      <c r="X309" s="34"/>
      <c r="Y309" s="34"/>
      <c r="Z309" s="31"/>
      <c r="AA309" s="31"/>
      <c r="AB309" s="31"/>
      <c r="AC309" s="31"/>
      <c r="AD309" s="31"/>
      <c r="AE309" s="31"/>
      <c r="AF309" s="31"/>
      <c r="AG309" s="31"/>
      <c r="AH309" s="35"/>
      <c r="AI309" s="31"/>
      <c r="AJ309" s="31"/>
      <c r="AK309" s="31"/>
      <c r="AL309" s="31"/>
    </row>
    <row r="310" ht="12.0" customHeight="1">
      <c r="A310" s="30"/>
      <c r="B310" s="31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2"/>
      <c r="N310" s="30"/>
      <c r="O310" s="30"/>
      <c r="P310" s="30"/>
      <c r="Q310" s="30"/>
      <c r="R310" s="30"/>
      <c r="S310" s="30"/>
      <c r="T310" s="33"/>
      <c r="U310" s="31"/>
      <c r="V310" s="31"/>
      <c r="W310" s="31"/>
      <c r="X310" s="34"/>
      <c r="Y310" s="34"/>
      <c r="Z310" s="31"/>
      <c r="AA310" s="31"/>
      <c r="AB310" s="31"/>
      <c r="AC310" s="31"/>
      <c r="AD310" s="31"/>
      <c r="AE310" s="31"/>
      <c r="AF310" s="31"/>
      <c r="AG310" s="31"/>
      <c r="AH310" s="35"/>
      <c r="AI310" s="31"/>
      <c r="AJ310" s="31"/>
      <c r="AK310" s="31"/>
      <c r="AL310" s="31"/>
    </row>
    <row r="311" ht="12.0" customHeight="1">
      <c r="A311" s="30"/>
      <c r="B311" s="31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2"/>
      <c r="N311" s="30"/>
      <c r="O311" s="30"/>
      <c r="P311" s="30"/>
      <c r="Q311" s="30"/>
      <c r="R311" s="30"/>
      <c r="S311" s="30"/>
      <c r="T311" s="33"/>
      <c r="U311" s="31"/>
      <c r="V311" s="31"/>
      <c r="W311" s="31"/>
      <c r="X311" s="34"/>
      <c r="Y311" s="34"/>
      <c r="Z311" s="31"/>
      <c r="AA311" s="31"/>
      <c r="AB311" s="31"/>
      <c r="AC311" s="31"/>
      <c r="AD311" s="31"/>
      <c r="AE311" s="31"/>
      <c r="AF311" s="31"/>
      <c r="AG311" s="31"/>
      <c r="AH311" s="35"/>
      <c r="AI311" s="31"/>
      <c r="AJ311" s="31"/>
      <c r="AK311" s="31"/>
      <c r="AL311" s="31"/>
    </row>
    <row r="312" ht="12.0" customHeight="1">
      <c r="A312" s="30"/>
      <c r="B312" s="31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2"/>
      <c r="N312" s="30"/>
      <c r="O312" s="30"/>
      <c r="P312" s="30"/>
      <c r="Q312" s="30"/>
      <c r="R312" s="30"/>
      <c r="S312" s="30"/>
      <c r="T312" s="33"/>
      <c r="U312" s="31"/>
      <c r="V312" s="31"/>
      <c r="W312" s="31"/>
      <c r="X312" s="34"/>
      <c r="Y312" s="34"/>
      <c r="Z312" s="31"/>
      <c r="AA312" s="31"/>
      <c r="AB312" s="31"/>
      <c r="AC312" s="31"/>
      <c r="AD312" s="31"/>
      <c r="AE312" s="31"/>
      <c r="AF312" s="31"/>
      <c r="AG312" s="31"/>
      <c r="AH312" s="35"/>
      <c r="AI312" s="31"/>
      <c r="AJ312" s="31"/>
      <c r="AK312" s="31"/>
      <c r="AL312" s="31"/>
    </row>
    <row r="313" ht="12.0" customHeight="1">
      <c r="A313" s="30"/>
      <c r="B313" s="31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2"/>
      <c r="N313" s="30"/>
      <c r="O313" s="30"/>
      <c r="P313" s="30"/>
      <c r="Q313" s="30"/>
      <c r="R313" s="30"/>
      <c r="S313" s="30"/>
      <c r="T313" s="33"/>
      <c r="U313" s="31"/>
      <c r="V313" s="31"/>
      <c r="W313" s="31"/>
      <c r="X313" s="34"/>
      <c r="Y313" s="34"/>
      <c r="Z313" s="31"/>
      <c r="AA313" s="31"/>
      <c r="AB313" s="31"/>
      <c r="AC313" s="31"/>
      <c r="AD313" s="31"/>
      <c r="AE313" s="31"/>
      <c r="AF313" s="31"/>
      <c r="AG313" s="31"/>
      <c r="AH313" s="35"/>
      <c r="AI313" s="31"/>
      <c r="AJ313" s="31"/>
      <c r="AK313" s="31"/>
      <c r="AL313" s="31"/>
    </row>
    <row r="314" ht="12.0" customHeight="1">
      <c r="A314" s="30"/>
      <c r="B314" s="31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2"/>
      <c r="N314" s="30"/>
      <c r="O314" s="30"/>
      <c r="P314" s="30"/>
      <c r="Q314" s="30"/>
      <c r="R314" s="30"/>
      <c r="S314" s="30"/>
      <c r="T314" s="33"/>
      <c r="U314" s="31"/>
      <c r="V314" s="31"/>
      <c r="W314" s="31"/>
      <c r="X314" s="34"/>
      <c r="Y314" s="34"/>
      <c r="Z314" s="31"/>
      <c r="AA314" s="31"/>
      <c r="AB314" s="31"/>
      <c r="AC314" s="31"/>
      <c r="AD314" s="31"/>
      <c r="AE314" s="31"/>
      <c r="AF314" s="31"/>
      <c r="AG314" s="31"/>
      <c r="AH314" s="35"/>
      <c r="AI314" s="31"/>
      <c r="AJ314" s="31"/>
      <c r="AK314" s="31"/>
      <c r="AL314" s="31"/>
    </row>
    <row r="315" ht="12.0" customHeight="1">
      <c r="A315" s="30"/>
      <c r="B315" s="31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2"/>
      <c r="N315" s="30"/>
      <c r="O315" s="30"/>
      <c r="P315" s="30"/>
      <c r="Q315" s="30"/>
      <c r="R315" s="30"/>
      <c r="S315" s="30"/>
      <c r="T315" s="33"/>
      <c r="U315" s="31"/>
      <c r="V315" s="31"/>
      <c r="W315" s="31"/>
      <c r="X315" s="34"/>
      <c r="Y315" s="34"/>
      <c r="Z315" s="31"/>
      <c r="AA315" s="31"/>
      <c r="AB315" s="31"/>
      <c r="AC315" s="31"/>
      <c r="AD315" s="31"/>
      <c r="AE315" s="31"/>
      <c r="AF315" s="31"/>
      <c r="AG315" s="31"/>
      <c r="AH315" s="35"/>
      <c r="AI315" s="31"/>
      <c r="AJ315" s="31"/>
      <c r="AK315" s="31"/>
      <c r="AL315" s="31"/>
    </row>
    <row r="316" ht="12.0" customHeight="1">
      <c r="A316" s="30"/>
      <c r="B316" s="31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2"/>
      <c r="N316" s="30"/>
      <c r="O316" s="30"/>
      <c r="P316" s="30"/>
      <c r="Q316" s="30"/>
      <c r="R316" s="30"/>
      <c r="S316" s="30"/>
      <c r="T316" s="33"/>
      <c r="U316" s="31"/>
      <c r="V316" s="31"/>
      <c r="W316" s="31"/>
      <c r="X316" s="34"/>
      <c r="Y316" s="34"/>
      <c r="Z316" s="31"/>
      <c r="AA316" s="31"/>
      <c r="AB316" s="31"/>
      <c r="AC316" s="31"/>
      <c r="AD316" s="31"/>
      <c r="AE316" s="31"/>
      <c r="AF316" s="31"/>
      <c r="AG316" s="31"/>
      <c r="AH316" s="35"/>
      <c r="AI316" s="31"/>
      <c r="AJ316" s="31"/>
      <c r="AK316" s="31"/>
      <c r="AL316" s="31"/>
    </row>
    <row r="317" ht="12.0" customHeight="1">
      <c r="A317" s="30"/>
      <c r="B317" s="31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2"/>
      <c r="N317" s="30"/>
      <c r="O317" s="30"/>
      <c r="P317" s="30"/>
      <c r="Q317" s="30"/>
      <c r="R317" s="30"/>
      <c r="S317" s="30"/>
      <c r="T317" s="33"/>
      <c r="U317" s="31"/>
      <c r="V317" s="31"/>
      <c r="W317" s="31"/>
      <c r="X317" s="34"/>
      <c r="Y317" s="34"/>
      <c r="Z317" s="31"/>
      <c r="AA317" s="31"/>
      <c r="AB317" s="31"/>
      <c r="AC317" s="31"/>
      <c r="AD317" s="31"/>
      <c r="AE317" s="31"/>
      <c r="AF317" s="31"/>
      <c r="AG317" s="31"/>
      <c r="AH317" s="35"/>
      <c r="AI317" s="31"/>
      <c r="AJ317" s="31"/>
      <c r="AK317" s="31"/>
      <c r="AL317" s="31"/>
    </row>
    <row r="318" ht="12.0" customHeight="1">
      <c r="A318" s="30"/>
      <c r="B318" s="31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2"/>
      <c r="N318" s="30"/>
      <c r="O318" s="30"/>
      <c r="P318" s="30"/>
      <c r="Q318" s="30"/>
      <c r="R318" s="30"/>
      <c r="S318" s="30"/>
      <c r="T318" s="33"/>
      <c r="U318" s="31"/>
      <c r="V318" s="31"/>
      <c r="W318" s="31"/>
      <c r="X318" s="34"/>
      <c r="Y318" s="34"/>
      <c r="Z318" s="31"/>
      <c r="AA318" s="31"/>
      <c r="AB318" s="31"/>
      <c r="AC318" s="31"/>
      <c r="AD318" s="31"/>
      <c r="AE318" s="31"/>
      <c r="AF318" s="31"/>
      <c r="AG318" s="31"/>
      <c r="AH318" s="35"/>
      <c r="AI318" s="31"/>
      <c r="AJ318" s="31"/>
      <c r="AK318" s="31"/>
      <c r="AL318" s="31"/>
    </row>
    <row r="319" ht="12.0" customHeight="1">
      <c r="A319" s="30"/>
      <c r="B319" s="31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2"/>
      <c r="N319" s="30"/>
      <c r="O319" s="30"/>
      <c r="P319" s="30"/>
      <c r="Q319" s="30"/>
      <c r="R319" s="30"/>
      <c r="S319" s="30"/>
      <c r="T319" s="33"/>
      <c r="U319" s="31"/>
      <c r="V319" s="31"/>
      <c r="W319" s="31"/>
      <c r="X319" s="34"/>
      <c r="Y319" s="34"/>
      <c r="Z319" s="31"/>
      <c r="AA319" s="31"/>
      <c r="AB319" s="31"/>
      <c r="AC319" s="31"/>
      <c r="AD319" s="31"/>
      <c r="AE319" s="31"/>
      <c r="AF319" s="31"/>
      <c r="AG319" s="31"/>
      <c r="AH319" s="35"/>
      <c r="AI319" s="31"/>
      <c r="AJ319" s="31"/>
      <c r="AK319" s="31"/>
      <c r="AL319" s="31"/>
    </row>
    <row r="320" ht="12.0" customHeight="1">
      <c r="A320" s="30"/>
      <c r="B320" s="31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2"/>
      <c r="N320" s="30"/>
      <c r="O320" s="30"/>
      <c r="P320" s="30"/>
      <c r="Q320" s="30"/>
      <c r="R320" s="30"/>
      <c r="S320" s="30"/>
      <c r="T320" s="33"/>
      <c r="U320" s="31"/>
      <c r="V320" s="31"/>
      <c r="W320" s="31"/>
      <c r="X320" s="34"/>
      <c r="Y320" s="34"/>
      <c r="Z320" s="31"/>
      <c r="AA320" s="31"/>
      <c r="AB320" s="31"/>
      <c r="AC320" s="31"/>
      <c r="AD320" s="31"/>
      <c r="AE320" s="31"/>
      <c r="AF320" s="31"/>
      <c r="AG320" s="31"/>
      <c r="AH320" s="35"/>
      <c r="AI320" s="31"/>
      <c r="AJ320" s="31"/>
      <c r="AK320" s="31"/>
      <c r="AL320" s="31"/>
    </row>
    <row r="321" ht="12.0" customHeight="1">
      <c r="A321" s="30"/>
      <c r="B321" s="31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2"/>
      <c r="N321" s="30"/>
      <c r="O321" s="30"/>
      <c r="P321" s="30"/>
      <c r="Q321" s="30"/>
      <c r="R321" s="30"/>
      <c r="S321" s="30"/>
      <c r="T321" s="33"/>
      <c r="U321" s="31"/>
      <c r="V321" s="31"/>
      <c r="W321" s="31"/>
      <c r="X321" s="34"/>
      <c r="Y321" s="34"/>
      <c r="Z321" s="31"/>
      <c r="AA321" s="31"/>
      <c r="AB321" s="31"/>
      <c r="AC321" s="31"/>
      <c r="AD321" s="31"/>
      <c r="AE321" s="31"/>
      <c r="AF321" s="31"/>
      <c r="AG321" s="31"/>
      <c r="AH321" s="35"/>
      <c r="AI321" s="31"/>
      <c r="AJ321" s="31"/>
      <c r="AK321" s="31"/>
      <c r="AL321" s="31"/>
    </row>
    <row r="322" ht="12.0" customHeight="1">
      <c r="A322" s="30"/>
      <c r="B322" s="31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2"/>
      <c r="N322" s="30"/>
      <c r="O322" s="30"/>
      <c r="P322" s="30"/>
      <c r="Q322" s="30"/>
      <c r="R322" s="30"/>
      <c r="S322" s="30"/>
      <c r="T322" s="33"/>
      <c r="U322" s="31"/>
      <c r="V322" s="31"/>
      <c r="W322" s="31"/>
      <c r="X322" s="34"/>
      <c r="Y322" s="34"/>
      <c r="Z322" s="31"/>
      <c r="AA322" s="31"/>
      <c r="AB322" s="31"/>
      <c r="AC322" s="31"/>
      <c r="AD322" s="31"/>
      <c r="AE322" s="31"/>
      <c r="AF322" s="31"/>
      <c r="AG322" s="31"/>
      <c r="AH322" s="35"/>
      <c r="AI322" s="31"/>
      <c r="AJ322" s="31"/>
      <c r="AK322" s="31"/>
      <c r="AL322" s="31"/>
    </row>
    <row r="323" ht="12.0" customHeight="1">
      <c r="A323" s="30"/>
      <c r="B323" s="31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2"/>
      <c r="N323" s="30"/>
      <c r="O323" s="30"/>
      <c r="P323" s="30"/>
      <c r="Q323" s="30"/>
      <c r="R323" s="30"/>
      <c r="S323" s="30"/>
      <c r="T323" s="33"/>
      <c r="U323" s="31"/>
      <c r="V323" s="31"/>
      <c r="W323" s="31"/>
      <c r="X323" s="34"/>
      <c r="Y323" s="34"/>
      <c r="Z323" s="31"/>
      <c r="AA323" s="31"/>
      <c r="AB323" s="31"/>
      <c r="AC323" s="31"/>
      <c r="AD323" s="31"/>
      <c r="AE323" s="31"/>
      <c r="AF323" s="31"/>
      <c r="AG323" s="31"/>
      <c r="AH323" s="35"/>
      <c r="AI323" s="31"/>
      <c r="AJ323" s="31"/>
      <c r="AK323" s="31"/>
      <c r="AL323" s="31"/>
    </row>
    <row r="324" ht="12.0" customHeight="1">
      <c r="A324" s="30"/>
      <c r="B324" s="31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2"/>
      <c r="N324" s="30"/>
      <c r="O324" s="30"/>
      <c r="P324" s="30"/>
      <c r="Q324" s="30"/>
      <c r="R324" s="30"/>
      <c r="S324" s="30"/>
      <c r="T324" s="33"/>
      <c r="U324" s="31"/>
      <c r="V324" s="31"/>
      <c r="W324" s="31"/>
      <c r="X324" s="34"/>
      <c r="Y324" s="34"/>
      <c r="Z324" s="31"/>
      <c r="AA324" s="31"/>
      <c r="AB324" s="31"/>
      <c r="AC324" s="31"/>
      <c r="AD324" s="31"/>
      <c r="AE324" s="31"/>
      <c r="AF324" s="31"/>
      <c r="AG324" s="31"/>
      <c r="AH324" s="35"/>
      <c r="AI324" s="31"/>
      <c r="AJ324" s="31"/>
      <c r="AK324" s="31"/>
      <c r="AL324" s="31"/>
    </row>
    <row r="325" ht="12.0" customHeight="1">
      <c r="A325" s="30"/>
      <c r="B325" s="31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2"/>
      <c r="N325" s="30"/>
      <c r="O325" s="30"/>
      <c r="P325" s="30"/>
      <c r="Q325" s="30"/>
      <c r="R325" s="30"/>
      <c r="S325" s="30"/>
      <c r="T325" s="33"/>
      <c r="U325" s="31"/>
      <c r="V325" s="31"/>
      <c r="W325" s="31"/>
      <c r="X325" s="34"/>
      <c r="Y325" s="34"/>
      <c r="Z325" s="31"/>
      <c r="AA325" s="31"/>
      <c r="AB325" s="31"/>
      <c r="AC325" s="31"/>
      <c r="AD325" s="31"/>
      <c r="AE325" s="31"/>
      <c r="AF325" s="31"/>
      <c r="AG325" s="31"/>
      <c r="AH325" s="35"/>
      <c r="AI325" s="31"/>
      <c r="AJ325" s="31"/>
      <c r="AK325" s="31"/>
      <c r="AL325" s="31"/>
    </row>
    <row r="326" ht="12.0" customHeight="1">
      <c r="A326" s="30"/>
      <c r="B326" s="31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2"/>
      <c r="N326" s="30"/>
      <c r="O326" s="30"/>
      <c r="P326" s="30"/>
      <c r="Q326" s="30"/>
      <c r="R326" s="30"/>
      <c r="S326" s="30"/>
      <c r="T326" s="33"/>
      <c r="U326" s="31"/>
      <c r="V326" s="31"/>
      <c r="W326" s="31"/>
      <c r="X326" s="34"/>
      <c r="Y326" s="34"/>
      <c r="Z326" s="31"/>
      <c r="AA326" s="31"/>
      <c r="AB326" s="31"/>
      <c r="AC326" s="31"/>
      <c r="AD326" s="31"/>
      <c r="AE326" s="31"/>
      <c r="AF326" s="31"/>
      <c r="AG326" s="31"/>
      <c r="AH326" s="35"/>
      <c r="AI326" s="31"/>
      <c r="AJ326" s="31"/>
      <c r="AK326" s="31"/>
      <c r="AL326" s="31"/>
    </row>
    <row r="327" ht="12.0" customHeight="1">
      <c r="A327" s="30"/>
      <c r="B327" s="31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2"/>
      <c r="N327" s="30"/>
      <c r="O327" s="30"/>
      <c r="P327" s="30"/>
      <c r="Q327" s="30"/>
      <c r="R327" s="30"/>
      <c r="S327" s="30"/>
      <c r="T327" s="33"/>
      <c r="U327" s="31"/>
      <c r="V327" s="31"/>
      <c r="W327" s="31"/>
      <c r="X327" s="34"/>
      <c r="Y327" s="34"/>
      <c r="Z327" s="31"/>
      <c r="AA327" s="31"/>
      <c r="AB327" s="31"/>
      <c r="AC327" s="31"/>
      <c r="AD327" s="31"/>
      <c r="AE327" s="31"/>
      <c r="AF327" s="31"/>
      <c r="AG327" s="31"/>
      <c r="AH327" s="35"/>
      <c r="AI327" s="31"/>
      <c r="AJ327" s="31"/>
      <c r="AK327" s="31"/>
      <c r="AL327" s="31"/>
    </row>
    <row r="328" ht="12.0" customHeight="1">
      <c r="A328" s="30"/>
      <c r="B328" s="31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2"/>
      <c r="N328" s="30"/>
      <c r="O328" s="30"/>
      <c r="P328" s="30"/>
      <c r="Q328" s="30"/>
      <c r="R328" s="30"/>
      <c r="S328" s="30"/>
      <c r="T328" s="33"/>
      <c r="U328" s="31"/>
      <c r="V328" s="31"/>
      <c r="W328" s="31"/>
      <c r="X328" s="34"/>
      <c r="Y328" s="34"/>
      <c r="Z328" s="31"/>
      <c r="AA328" s="31"/>
      <c r="AB328" s="31"/>
      <c r="AC328" s="31"/>
      <c r="AD328" s="31"/>
      <c r="AE328" s="31"/>
      <c r="AF328" s="31"/>
      <c r="AG328" s="31"/>
      <c r="AH328" s="35"/>
      <c r="AI328" s="31"/>
      <c r="AJ328" s="31"/>
      <c r="AK328" s="31"/>
      <c r="AL328" s="31"/>
    </row>
    <row r="329" ht="12.0" customHeight="1">
      <c r="A329" s="30"/>
      <c r="B329" s="31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2"/>
      <c r="N329" s="30"/>
      <c r="O329" s="30"/>
      <c r="P329" s="30"/>
      <c r="Q329" s="30"/>
      <c r="R329" s="30"/>
      <c r="S329" s="30"/>
      <c r="T329" s="33"/>
      <c r="U329" s="31"/>
      <c r="V329" s="31"/>
      <c r="W329" s="31"/>
      <c r="X329" s="34"/>
      <c r="Y329" s="34"/>
      <c r="Z329" s="31"/>
      <c r="AA329" s="31"/>
      <c r="AB329" s="31"/>
      <c r="AC329" s="31"/>
      <c r="AD329" s="31"/>
      <c r="AE329" s="31"/>
      <c r="AF329" s="31"/>
      <c r="AG329" s="31"/>
      <c r="AH329" s="35"/>
      <c r="AI329" s="31"/>
      <c r="AJ329" s="31"/>
      <c r="AK329" s="31"/>
      <c r="AL329" s="31"/>
    </row>
    <row r="330" ht="12.0" customHeight="1">
      <c r="A330" s="30"/>
      <c r="B330" s="31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2"/>
      <c r="N330" s="30"/>
      <c r="O330" s="30"/>
      <c r="P330" s="30"/>
      <c r="Q330" s="30"/>
      <c r="R330" s="30"/>
      <c r="S330" s="30"/>
      <c r="T330" s="33"/>
      <c r="U330" s="31"/>
      <c r="V330" s="31"/>
      <c r="W330" s="31"/>
      <c r="X330" s="34"/>
      <c r="Y330" s="34"/>
      <c r="Z330" s="31"/>
      <c r="AA330" s="31"/>
      <c r="AB330" s="31"/>
      <c r="AC330" s="31"/>
      <c r="AD330" s="31"/>
      <c r="AE330" s="31"/>
      <c r="AF330" s="31"/>
      <c r="AG330" s="31"/>
      <c r="AH330" s="35"/>
      <c r="AI330" s="31"/>
      <c r="AJ330" s="31"/>
      <c r="AK330" s="31"/>
      <c r="AL330" s="31"/>
    </row>
    <row r="331" ht="12.0" customHeight="1">
      <c r="A331" s="30"/>
      <c r="B331" s="31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2"/>
      <c r="N331" s="30"/>
      <c r="O331" s="30"/>
      <c r="P331" s="30"/>
      <c r="Q331" s="30"/>
      <c r="R331" s="30"/>
      <c r="S331" s="30"/>
      <c r="T331" s="33"/>
      <c r="U331" s="31"/>
      <c r="V331" s="31"/>
      <c r="W331" s="31"/>
      <c r="X331" s="34"/>
      <c r="Y331" s="34"/>
      <c r="Z331" s="31"/>
      <c r="AA331" s="31"/>
      <c r="AB331" s="31"/>
      <c r="AC331" s="31"/>
      <c r="AD331" s="31"/>
      <c r="AE331" s="31"/>
      <c r="AF331" s="31"/>
      <c r="AG331" s="31"/>
      <c r="AH331" s="35"/>
      <c r="AI331" s="31"/>
      <c r="AJ331" s="31"/>
      <c r="AK331" s="31"/>
      <c r="AL331" s="31"/>
    </row>
    <row r="332" ht="12.0" customHeight="1">
      <c r="A332" s="30"/>
      <c r="B332" s="31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2"/>
      <c r="N332" s="30"/>
      <c r="O332" s="30"/>
      <c r="P332" s="30"/>
      <c r="Q332" s="30"/>
      <c r="R332" s="30"/>
      <c r="S332" s="30"/>
      <c r="T332" s="33"/>
      <c r="U332" s="31"/>
      <c r="V332" s="31"/>
      <c r="W332" s="31"/>
      <c r="X332" s="34"/>
      <c r="Y332" s="34"/>
      <c r="Z332" s="31"/>
      <c r="AA332" s="31"/>
      <c r="AB332" s="31"/>
      <c r="AC332" s="31"/>
      <c r="AD332" s="31"/>
      <c r="AE332" s="31"/>
      <c r="AF332" s="31"/>
      <c r="AG332" s="31"/>
      <c r="AH332" s="35"/>
      <c r="AI332" s="31"/>
      <c r="AJ332" s="31"/>
      <c r="AK332" s="31"/>
      <c r="AL332" s="31"/>
    </row>
    <row r="333" ht="12.0" customHeight="1">
      <c r="A333" s="30"/>
      <c r="B333" s="31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2"/>
      <c r="N333" s="30"/>
      <c r="O333" s="30"/>
      <c r="P333" s="30"/>
      <c r="Q333" s="30"/>
      <c r="R333" s="30"/>
      <c r="S333" s="30"/>
      <c r="T333" s="33"/>
      <c r="U333" s="31"/>
      <c r="V333" s="31"/>
      <c r="W333" s="31"/>
      <c r="X333" s="34"/>
      <c r="Y333" s="34"/>
      <c r="Z333" s="31"/>
      <c r="AA333" s="31"/>
      <c r="AB333" s="31"/>
      <c r="AC333" s="31"/>
      <c r="AD333" s="31"/>
      <c r="AE333" s="31"/>
      <c r="AF333" s="31"/>
      <c r="AG333" s="31"/>
      <c r="AH333" s="35"/>
      <c r="AI333" s="31"/>
      <c r="AJ333" s="31"/>
      <c r="AK333" s="31"/>
      <c r="AL333" s="31"/>
    </row>
    <row r="334" ht="12.0" customHeight="1">
      <c r="A334" s="30"/>
      <c r="B334" s="31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2"/>
      <c r="N334" s="30"/>
      <c r="O334" s="30"/>
      <c r="P334" s="30"/>
      <c r="Q334" s="30"/>
      <c r="R334" s="30"/>
      <c r="S334" s="30"/>
      <c r="T334" s="33"/>
      <c r="U334" s="31"/>
      <c r="V334" s="31"/>
      <c r="W334" s="31"/>
      <c r="X334" s="34"/>
      <c r="Y334" s="34"/>
      <c r="Z334" s="31"/>
      <c r="AA334" s="31"/>
      <c r="AB334" s="31"/>
      <c r="AC334" s="31"/>
      <c r="AD334" s="31"/>
      <c r="AE334" s="31"/>
      <c r="AF334" s="31"/>
      <c r="AG334" s="31"/>
      <c r="AH334" s="35"/>
      <c r="AI334" s="31"/>
      <c r="AJ334" s="31"/>
      <c r="AK334" s="31"/>
      <c r="AL334" s="31"/>
    </row>
    <row r="335" ht="12.0" customHeight="1">
      <c r="A335" s="30"/>
      <c r="B335" s="31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2"/>
      <c r="N335" s="30"/>
      <c r="O335" s="30"/>
      <c r="P335" s="30"/>
      <c r="Q335" s="30"/>
      <c r="R335" s="30"/>
      <c r="S335" s="30"/>
      <c r="T335" s="33"/>
      <c r="U335" s="31"/>
      <c r="V335" s="31"/>
      <c r="W335" s="31"/>
      <c r="X335" s="34"/>
      <c r="Y335" s="34"/>
      <c r="Z335" s="31"/>
      <c r="AA335" s="31"/>
      <c r="AB335" s="31"/>
      <c r="AC335" s="31"/>
      <c r="AD335" s="31"/>
      <c r="AE335" s="31"/>
      <c r="AF335" s="31"/>
      <c r="AG335" s="31"/>
      <c r="AH335" s="35"/>
      <c r="AI335" s="31"/>
      <c r="AJ335" s="31"/>
      <c r="AK335" s="31"/>
      <c r="AL335" s="31"/>
    </row>
    <row r="336" ht="12.0" customHeight="1">
      <c r="A336" s="30"/>
      <c r="B336" s="31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2"/>
      <c r="N336" s="30"/>
      <c r="O336" s="30"/>
      <c r="P336" s="30"/>
      <c r="Q336" s="30"/>
      <c r="R336" s="30"/>
      <c r="S336" s="30"/>
      <c r="T336" s="33"/>
      <c r="U336" s="31"/>
      <c r="V336" s="31"/>
      <c r="W336" s="31"/>
      <c r="X336" s="34"/>
      <c r="Y336" s="34"/>
      <c r="Z336" s="31"/>
      <c r="AA336" s="31"/>
      <c r="AB336" s="31"/>
      <c r="AC336" s="31"/>
      <c r="AD336" s="31"/>
      <c r="AE336" s="31"/>
      <c r="AF336" s="31"/>
      <c r="AG336" s="31"/>
      <c r="AH336" s="35"/>
      <c r="AI336" s="31"/>
      <c r="AJ336" s="31"/>
      <c r="AK336" s="31"/>
      <c r="AL336" s="31"/>
    </row>
    <row r="337" ht="12.0" customHeight="1">
      <c r="A337" s="30"/>
      <c r="B337" s="31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2"/>
      <c r="N337" s="30"/>
      <c r="O337" s="30"/>
      <c r="P337" s="30"/>
      <c r="Q337" s="30"/>
      <c r="R337" s="30"/>
      <c r="S337" s="30"/>
      <c r="T337" s="33"/>
      <c r="U337" s="31"/>
      <c r="V337" s="31"/>
      <c r="W337" s="31"/>
      <c r="X337" s="34"/>
      <c r="Y337" s="34"/>
      <c r="Z337" s="31"/>
      <c r="AA337" s="31"/>
      <c r="AB337" s="31"/>
      <c r="AC337" s="31"/>
      <c r="AD337" s="31"/>
      <c r="AE337" s="31"/>
      <c r="AF337" s="31"/>
      <c r="AG337" s="31"/>
      <c r="AH337" s="35"/>
      <c r="AI337" s="31"/>
      <c r="AJ337" s="31"/>
      <c r="AK337" s="31"/>
      <c r="AL337" s="31"/>
    </row>
    <row r="338" ht="12.0" customHeight="1">
      <c r="A338" s="30"/>
      <c r="B338" s="31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2"/>
      <c r="N338" s="30"/>
      <c r="O338" s="30"/>
      <c r="P338" s="30"/>
      <c r="Q338" s="30"/>
      <c r="R338" s="30"/>
      <c r="S338" s="30"/>
      <c r="T338" s="33"/>
      <c r="U338" s="31"/>
      <c r="V338" s="31"/>
      <c r="W338" s="31"/>
      <c r="X338" s="34"/>
      <c r="Y338" s="34"/>
      <c r="Z338" s="31"/>
      <c r="AA338" s="31"/>
      <c r="AB338" s="31"/>
      <c r="AC338" s="31"/>
      <c r="AD338" s="31"/>
      <c r="AE338" s="31"/>
      <c r="AF338" s="31"/>
      <c r="AG338" s="31"/>
      <c r="AH338" s="35"/>
      <c r="AI338" s="31"/>
      <c r="AJ338" s="31"/>
      <c r="AK338" s="31"/>
      <c r="AL338" s="31"/>
    </row>
    <row r="339" ht="12.0" customHeight="1">
      <c r="A339" s="30"/>
      <c r="B339" s="31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2"/>
      <c r="N339" s="30"/>
      <c r="O339" s="30"/>
      <c r="P339" s="30"/>
      <c r="Q339" s="30"/>
      <c r="R339" s="30"/>
      <c r="S339" s="30"/>
      <c r="T339" s="33"/>
      <c r="U339" s="31"/>
      <c r="V339" s="31"/>
      <c r="W339" s="31"/>
      <c r="X339" s="34"/>
      <c r="Y339" s="34"/>
      <c r="Z339" s="31"/>
      <c r="AA339" s="31"/>
      <c r="AB339" s="31"/>
      <c r="AC339" s="31"/>
      <c r="AD339" s="31"/>
      <c r="AE339" s="31"/>
      <c r="AF339" s="31"/>
      <c r="AG339" s="31"/>
      <c r="AH339" s="35"/>
      <c r="AI339" s="31"/>
      <c r="AJ339" s="31"/>
      <c r="AK339" s="31"/>
      <c r="AL339" s="31"/>
    </row>
    <row r="340" ht="12.0" customHeight="1">
      <c r="A340" s="30"/>
      <c r="B340" s="31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2"/>
      <c r="N340" s="30"/>
      <c r="O340" s="30"/>
      <c r="P340" s="30"/>
      <c r="Q340" s="30"/>
      <c r="R340" s="30"/>
      <c r="S340" s="30"/>
      <c r="T340" s="33"/>
      <c r="U340" s="31"/>
      <c r="V340" s="31"/>
      <c r="W340" s="31"/>
      <c r="X340" s="34"/>
      <c r="Y340" s="34"/>
      <c r="Z340" s="31"/>
      <c r="AA340" s="31"/>
      <c r="AB340" s="31"/>
      <c r="AC340" s="31"/>
      <c r="AD340" s="31"/>
      <c r="AE340" s="31"/>
      <c r="AF340" s="31"/>
      <c r="AG340" s="31"/>
      <c r="AH340" s="35"/>
      <c r="AI340" s="31"/>
      <c r="AJ340" s="31"/>
      <c r="AK340" s="31"/>
      <c r="AL340" s="31"/>
    </row>
    <row r="341" ht="12.0" customHeight="1">
      <c r="A341" s="30"/>
      <c r="B341" s="31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2"/>
      <c r="N341" s="30"/>
      <c r="O341" s="30"/>
      <c r="P341" s="30"/>
      <c r="Q341" s="30"/>
      <c r="R341" s="30"/>
      <c r="S341" s="30"/>
      <c r="T341" s="33"/>
      <c r="U341" s="31"/>
      <c r="V341" s="31"/>
      <c r="W341" s="31"/>
      <c r="X341" s="34"/>
      <c r="Y341" s="34"/>
      <c r="Z341" s="31"/>
      <c r="AA341" s="31"/>
      <c r="AB341" s="31"/>
      <c r="AC341" s="31"/>
      <c r="AD341" s="31"/>
      <c r="AE341" s="31"/>
      <c r="AF341" s="31"/>
      <c r="AG341" s="31"/>
      <c r="AH341" s="35"/>
      <c r="AI341" s="31"/>
      <c r="AJ341" s="31"/>
      <c r="AK341" s="31"/>
      <c r="AL341" s="31"/>
    </row>
    <row r="342" ht="12.0" customHeight="1">
      <c r="A342" s="30"/>
      <c r="B342" s="31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2"/>
      <c r="N342" s="30"/>
      <c r="O342" s="30"/>
      <c r="P342" s="30"/>
      <c r="Q342" s="30"/>
      <c r="R342" s="30"/>
      <c r="S342" s="30"/>
      <c r="T342" s="33"/>
      <c r="U342" s="31"/>
      <c r="V342" s="31"/>
      <c r="W342" s="31"/>
      <c r="X342" s="34"/>
      <c r="Y342" s="34"/>
      <c r="Z342" s="31"/>
      <c r="AA342" s="31"/>
      <c r="AB342" s="31"/>
      <c r="AC342" s="31"/>
      <c r="AD342" s="31"/>
      <c r="AE342" s="31"/>
      <c r="AF342" s="31"/>
      <c r="AG342" s="31"/>
      <c r="AH342" s="35"/>
      <c r="AI342" s="31"/>
      <c r="AJ342" s="31"/>
      <c r="AK342" s="31"/>
      <c r="AL342" s="31"/>
    </row>
    <row r="343" ht="12.0" customHeight="1">
      <c r="A343" s="30"/>
      <c r="B343" s="31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2"/>
      <c r="N343" s="30"/>
      <c r="O343" s="30"/>
      <c r="P343" s="30"/>
      <c r="Q343" s="30"/>
      <c r="R343" s="30"/>
      <c r="S343" s="30"/>
      <c r="T343" s="33"/>
      <c r="U343" s="31"/>
      <c r="V343" s="31"/>
      <c r="W343" s="31"/>
      <c r="X343" s="34"/>
      <c r="Y343" s="34"/>
      <c r="Z343" s="31"/>
      <c r="AA343" s="31"/>
      <c r="AB343" s="31"/>
      <c r="AC343" s="31"/>
      <c r="AD343" s="31"/>
      <c r="AE343" s="31"/>
      <c r="AF343" s="31"/>
      <c r="AG343" s="31"/>
      <c r="AH343" s="35"/>
      <c r="AI343" s="31"/>
      <c r="AJ343" s="31"/>
      <c r="AK343" s="31"/>
      <c r="AL343" s="31"/>
    </row>
    <row r="344" ht="12.0" customHeight="1">
      <c r="A344" s="30"/>
      <c r="B344" s="31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2"/>
      <c r="N344" s="30"/>
      <c r="O344" s="30"/>
      <c r="P344" s="30"/>
      <c r="Q344" s="30"/>
      <c r="R344" s="30"/>
      <c r="S344" s="30"/>
      <c r="T344" s="33"/>
      <c r="U344" s="31"/>
      <c r="V344" s="31"/>
      <c r="W344" s="31"/>
      <c r="X344" s="34"/>
      <c r="Y344" s="34"/>
      <c r="Z344" s="31"/>
      <c r="AA344" s="31"/>
      <c r="AB344" s="31"/>
      <c r="AC344" s="31"/>
      <c r="AD344" s="31"/>
      <c r="AE344" s="31"/>
      <c r="AF344" s="31"/>
      <c r="AG344" s="31"/>
      <c r="AH344" s="35"/>
      <c r="AI344" s="31"/>
      <c r="AJ344" s="31"/>
      <c r="AK344" s="31"/>
      <c r="AL344" s="31"/>
    </row>
    <row r="345" ht="12.0" customHeight="1">
      <c r="A345" s="30"/>
      <c r="B345" s="31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2"/>
      <c r="N345" s="30"/>
      <c r="O345" s="30"/>
      <c r="P345" s="30"/>
      <c r="Q345" s="30"/>
      <c r="R345" s="30"/>
      <c r="S345" s="30"/>
      <c r="T345" s="33"/>
      <c r="U345" s="31"/>
      <c r="V345" s="31"/>
      <c r="W345" s="31"/>
      <c r="X345" s="34"/>
      <c r="Y345" s="34"/>
      <c r="Z345" s="31"/>
      <c r="AA345" s="31"/>
      <c r="AB345" s="31"/>
      <c r="AC345" s="31"/>
      <c r="AD345" s="31"/>
      <c r="AE345" s="31"/>
      <c r="AF345" s="31"/>
      <c r="AG345" s="31"/>
      <c r="AH345" s="35"/>
      <c r="AI345" s="31"/>
      <c r="AJ345" s="31"/>
      <c r="AK345" s="31"/>
      <c r="AL345" s="31"/>
    </row>
    <row r="346" ht="12.0" customHeight="1">
      <c r="A346" s="30"/>
      <c r="B346" s="31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2"/>
      <c r="N346" s="30"/>
      <c r="O346" s="30"/>
      <c r="P346" s="30"/>
      <c r="Q346" s="30"/>
      <c r="R346" s="30"/>
      <c r="S346" s="30"/>
      <c r="T346" s="33"/>
      <c r="U346" s="31"/>
      <c r="V346" s="31"/>
      <c r="W346" s="31"/>
      <c r="X346" s="34"/>
      <c r="Y346" s="34"/>
      <c r="Z346" s="31"/>
      <c r="AA346" s="31"/>
      <c r="AB346" s="31"/>
      <c r="AC346" s="31"/>
      <c r="AD346" s="31"/>
      <c r="AE346" s="31"/>
      <c r="AF346" s="31"/>
      <c r="AG346" s="31"/>
      <c r="AH346" s="35"/>
      <c r="AI346" s="31"/>
      <c r="AJ346" s="31"/>
      <c r="AK346" s="31"/>
      <c r="AL346" s="31"/>
    </row>
    <row r="347" ht="12.0" customHeight="1">
      <c r="A347" s="30"/>
      <c r="B347" s="31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2"/>
      <c r="N347" s="30"/>
      <c r="O347" s="30"/>
      <c r="P347" s="30"/>
      <c r="Q347" s="30"/>
      <c r="R347" s="30"/>
      <c r="S347" s="30"/>
      <c r="T347" s="33"/>
      <c r="U347" s="31"/>
      <c r="V347" s="31"/>
      <c r="W347" s="31"/>
      <c r="X347" s="34"/>
      <c r="Y347" s="34"/>
      <c r="Z347" s="31"/>
      <c r="AA347" s="31"/>
      <c r="AB347" s="31"/>
      <c r="AC347" s="31"/>
      <c r="AD347" s="31"/>
      <c r="AE347" s="31"/>
      <c r="AF347" s="31"/>
      <c r="AG347" s="31"/>
      <c r="AH347" s="35"/>
      <c r="AI347" s="31"/>
      <c r="AJ347" s="31"/>
      <c r="AK347" s="31"/>
      <c r="AL347" s="31"/>
    </row>
    <row r="348" ht="12.0" customHeight="1">
      <c r="A348" s="30"/>
      <c r="B348" s="31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2"/>
      <c r="N348" s="30"/>
      <c r="O348" s="30"/>
      <c r="P348" s="30"/>
      <c r="Q348" s="30"/>
      <c r="R348" s="30"/>
      <c r="S348" s="30"/>
      <c r="T348" s="33"/>
      <c r="U348" s="31"/>
      <c r="V348" s="31"/>
      <c r="W348" s="31"/>
      <c r="X348" s="34"/>
      <c r="Y348" s="34"/>
      <c r="Z348" s="31"/>
      <c r="AA348" s="31"/>
      <c r="AB348" s="31"/>
      <c r="AC348" s="31"/>
      <c r="AD348" s="31"/>
      <c r="AE348" s="31"/>
      <c r="AF348" s="31"/>
      <c r="AG348" s="31"/>
      <c r="AH348" s="35"/>
      <c r="AI348" s="31"/>
      <c r="AJ348" s="31"/>
      <c r="AK348" s="31"/>
      <c r="AL348" s="31"/>
    </row>
    <row r="349" ht="12.0" customHeight="1">
      <c r="A349" s="30"/>
      <c r="B349" s="31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2"/>
      <c r="N349" s="30"/>
      <c r="O349" s="30"/>
      <c r="P349" s="30"/>
      <c r="Q349" s="30"/>
      <c r="R349" s="30"/>
      <c r="S349" s="30"/>
      <c r="T349" s="33"/>
      <c r="U349" s="31"/>
      <c r="V349" s="31"/>
      <c r="W349" s="31"/>
      <c r="X349" s="34"/>
      <c r="Y349" s="34"/>
      <c r="Z349" s="31"/>
      <c r="AA349" s="31"/>
      <c r="AB349" s="31"/>
      <c r="AC349" s="31"/>
      <c r="AD349" s="31"/>
      <c r="AE349" s="31"/>
      <c r="AF349" s="31"/>
      <c r="AG349" s="31"/>
      <c r="AH349" s="35"/>
      <c r="AI349" s="31"/>
      <c r="AJ349" s="31"/>
      <c r="AK349" s="31"/>
      <c r="AL349" s="31"/>
    </row>
    <row r="350" ht="12.0" customHeight="1">
      <c r="A350" s="30"/>
      <c r="B350" s="31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2"/>
      <c r="N350" s="30"/>
      <c r="O350" s="30"/>
      <c r="P350" s="30"/>
      <c r="Q350" s="30"/>
      <c r="R350" s="30"/>
      <c r="S350" s="30"/>
      <c r="T350" s="33"/>
      <c r="U350" s="31"/>
      <c r="V350" s="31"/>
      <c r="W350" s="31"/>
      <c r="X350" s="34"/>
      <c r="Y350" s="34"/>
      <c r="Z350" s="31"/>
      <c r="AA350" s="31"/>
      <c r="AB350" s="31"/>
      <c r="AC350" s="31"/>
      <c r="AD350" s="31"/>
      <c r="AE350" s="31"/>
      <c r="AF350" s="31"/>
      <c r="AG350" s="31"/>
      <c r="AH350" s="35"/>
      <c r="AI350" s="31"/>
      <c r="AJ350" s="31"/>
      <c r="AK350" s="31"/>
      <c r="AL350" s="31"/>
    </row>
    <row r="351" ht="12.0" customHeight="1">
      <c r="A351" s="30"/>
      <c r="B351" s="31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2"/>
      <c r="N351" s="30"/>
      <c r="O351" s="30"/>
      <c r="P351" s="30"/>
      <c r="Q351" s="30"/>
      <c r="R351" s="30"/>
      <c r="S351" s="30"/>
      <c r="T351" s="33"/>
      <c r="U351" s="31"/>
      <c r="V351" s="31"/>
      <c r="W351" s="31"/>
      <c r="X351" s="34"/>
      <c r="Y351" s="34"/>
      <c r="Z351" s="31"/>
      <c r="AA351" s="31"/>
      <c r="AB351" s="31"/>
      <c r="AC351" s="31"/>
      <c r="AD351" s="31"/>
      <c r="AE351" s="31"/>
      <c r="AF351" s="31"/>
      <c r="AG351" s="31"/>
      <c r="AH351" s="35"/>
      <c r="AI351" s="31"/>
      <c r="AJ351" s="31"/>
      <c r="AK351" s="31"/>
      <c r="AL351" s="31"/>
    </row>
    <row r="352" ht="12.0" customHeight="1">
      <c r="A352" s="30"/>
      <c r="B352" s="31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2"/>
      <c r="N352" s="30"/>
      <c r="O352" s="30"/>
      <c r="P352" s="30"/>
      <c r="Q352" s="30"/>
      <c r="R352" s="30"/>
      <c r="S352" s="30"/>
      <c r="T352" s="33"/>
      <c r="U352" s="31"/>
      <c r="V352" s="31"/>
      <c r="W352" s="31"/>
      <c r="X352" s="34"/>
      <c r="Y352" s="34"/>
      <c r="Z352" s="31"/>
      <c r="AA352" s="31"/>
      <c r="AB352" s="31"/>
      <c r="AC352" s="31"/>
      <c r="AD352" s="31"/>
      <c r="AE352" s="31"/>
      <c r="AF352" s="31"/>
      <c r="AG352" s="31"/>
      <c r="AH352" s="35"/>
      <c r="AI352" s="31"/>
      <c r="AJ352" s="31"/>
      <c r="AK352" s="31"/>
      <c r="AL352" s="31"/>
    </row>
    <row r="353" ht="12.0" customHeight="1">
      <c r="A353" s="30"/>
      <c r="B353" s="31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2"/>
      <c r="N353" s="30"/>
      <c r="O353" s="30"/>
      <c r="P353" s="30"/>
      <c r="Q353" s="30"/>
      <c r="R353" s="30"/>
      <c r="S353" s="30"/>
      <c r="T353" s="33"/>
      <c r="U353" s="31"/>
      <c r="V353" s="31"/>
      <c r="W353" s="31"/>
      <c r="X353" s="34"/>
      <c r="Y353" s="34"/>
      <c r="Z353" s="31"/>
      <c r="AA353" s="31"/>
      <c r="AB353" s="31"/>
      <c r="AC353" s="31"/>
      <c r="AD353" s="31"/>
      <c r="AE353" s="31"/>
      <c r="AF353" s="31"/>
      <c r="AG353" s="31"/>
      <c r="AH353" s="35"/>
      <c r="AI353" s="31"/>
      <c r="AJ353" s="31"/>
      <c r="AK353" s="31"/>
      <c r="AL353" s="31"/>
    </row>
    <row r="354" ht="12.0" customHeight="1">
      <c r="A354" s="30"/>
      <c r="B354" s="31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2"/>
      <c r="N354" s="30"/>
      <c r="O354" s="30"/>
      <c r="P354" s="30"/>
      <c r="Q354" s="30"/>
      <c r="R354" s="30"/>
      <c r="S354" s="30"/>
      <c r="T354" s="33"/>
      <c r="U354" s="31"/>
      <c r="V354" s="31"/>
      <c r="W354" s="31"/>
      <c r="X354" s="34"/>
      <c r="Y354" s="34"/>
      <c r="Z354" s="31"/>
      <c r="AA354" s="31"/>
      <c r="AB354" s="31"/>
      <c r="AC354" s="31"/>
      <c r="AD354" s="31"/>
      <c r="AE354" s="31"/>
      <c r="AF354" s="31"/>
      <c r="AG354" s="31"/>
      <c r="AH354" s="35"/>
      <c r="AI354" s="31"/>
      <c r="AJ354" s="31"/>
      <c r="AK354" s="31"/>
      <c r="AL354" s="31"/>
    </row>
    <row r="355" ht="12.0" customHeight="1">
      <c r="A355" s="30"/>
      <c r="B355" s="31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2"/>
      <c r="N355" s="30"/>
      <c r="O355" s="30"/>
      <c r="P355" s="30"/>
      <c r="Q355" s="30"/>
      <c r="R355" s="30"/>
      <c r="S355" s="30"/>
      <c r="T355" s="33"/>
      <c r="U355" s="31"/>
      <c r="V355" s="31"/>
      <c r="W355" s="31"/>
      <c r="X355" s="34"/>
      <c r="Y355" s="34"/>
      <c r="Z355" s="31"/>
      <c r="AA355" s="31"/>
      <c r="AB355" s="31"/>
      <c r="AC355" s="31"/>
      <c r="AD355" s="31"/>
      <c r="AE355" s="31"/>
      <c r="AF355" s="31"/>
      <c r="AG355" s="31"/>
      <c r="AH355" s="35"/>
      <c r="AI355" s="31"/>
      <c r="AJ355" s="31"/>
      <c r="AK355" s="31"/>
      <c r="AL355" s="31"/>
    </row>
    <row r="356" ht="12.0" customHeight="1">
      <c r="A356" s="30"/>
      <c r="B356" s="31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2"/>
      <c r="N356" s="30"/>
      <c r="O356" s="30"/>
      <c r="P356" s="30"/>
      <c r="Q356" s="30"/>
      <c r="R356" s="30"/>
      <c r="S356" s="30"/>
      <c r="T356" s="33"/>
      <c r="U356" s="31"/>
      <c r="V356" s="31"/>
      <c r="W356" s="31"/>
      <c r="X356" s="34"/>
      <c r="Y356" s="34"/>
      <c r="Z356" s="31"/>
      <c r="AA356" s="31"/>
      <c r="AB356" s="31"/>
      <c r="AC356" s="31"/>
      <c r="AD356" s="31"/>
      <c r="AE356" s="31"/>
      <c r="AF356" s="31"/>
      <c r="AG356" s="31"/>
      <c r="AH356" s="35"/>
      <c r="AI356" s="31"/>
      <c r="AJ356" s="31"/>
      <c r="AK356" s="31"/>
      <c r="AL356" s="31"/>
    </row>
    <row r="357" ht="12.0" customHeight="1">
      <c r="A357" s="30"/>
      <c r="B357" s="31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2"/>
      <c r="N357" s="30"/>
      <c r="O357" s="30"/>
      <c r="P357" s="30"/>
      <c r="Q357" s="30"/>
      <c r="R357" s="30"/>
      <c r="S357" s="30"/>
      <c r="T357" s="33"/>
      <c r="U357" s="31"/>
      <c r="V357" s="31"/>
      <c r="W357" s="31"/>
      <c r="X357" s="34"/>
      <c r="Y357" s="34"/>
      <c r="Z357" s="31"/>
      <c r="AA357" s="31"/>
      <c r="AB357" s="31"/>
      <c r="AC357" s="31"/>
      <c r="AD357" s="31"/>
      <c r="AE357" s="31"/>
      <c r="AF357" s="31"/>
      <c r="AG357" s="31"/>
      <c r="AH357" s="35"/>
      <c r="AI357" s="31"/>
      <c r="AJ357" s="31"/>
      <c r="AK357" s="31"/>
      <c r="AL357" s="31"/>
    </row>
    <row r="358" ht="12.0" customHeight="1">
      <c r="A358" s="30"/>
      <c r="B358" s="31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2"/>
      <c r="N358" s="30"/>
      <c r="O358" s="30"/>
      <c r="P358" s="30"/>
      <c r="Q358" s="30"/>
      <c r="R358" s="30"/>
      <c r="S358" s="30"/>
      <c r="T358" s="33"/>
      <c r="U358" s="31"/>
      <c r="V358" s="31"/>
      <c r="W358" s="31"/>
      <c r="X358" s="34"/>
      <c r="Y358" s="34"/>
      <c r="Z358" s="31"/>
      <c r="AA358" s="31"/>
      <c r="AB358" s="31"/>
      <c r="AC358" s="31"/>
      <c r="AD358" s="31"/>
      <c r="AE358" s="31"/>
      <c r="AF358" s="31"/>
      <c r="AG358" s="31"/>
      <c r="AH358" s="35"/>
      <c r="AI358" s="31"/>
      <c r="AJ358" s="31"/>
      <c r="AK358" s="31"/>
      <c r="AL358" s="31"/>
    </row>
    <row r="359" ht="12.0" customHeight="1">
      <c r="A359" s="30"/>
      <c r="B359" s="31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2"/>
      <c r="N359" s="30"/>
      <c r="O359" s="30"/>
      <c r="P359" s="30"/>
      <c r="Q359" s="30"/>
      <c r="R359" s="30"/>
      <c r="S359" s="30"/>
      <c r="T359" s="33"/>
      <c r="U359" s="31"/>
      <c r="V359" s="31"/>
      <c r="W359" s="31"/>
      <c r="X359" s="34"/>
      <c r="Y359" s="34"/>
      <c r="Z359" s="31"/>
      <c r="AA359" s="31"/>
      <c r="AB359" s="31"/>
      <c r="AC359" s="31"/>
      <c r="AD359" s="31"/>
      <c r="AE359" s="31"/>
      <c r="AF359" s="31"/>
      <c r="AG359" s="31"/>
      <c r="AH359" s="35"/>
      <c r="AI359" s="31"/>
      <c r="AJ359" s="31"/>
      <c r="AK359" s="31"/>
      <c r="AL359" s="31"/>
    </row>
    <row r="360" ht="12.0" customHeight="1">
      <c r="A360" s="30"/>
      <c r="B360" s="31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2"/>
      <c r="N360" s="30"/>
      <c r="O360" s="30"/>
      <c r="P360" s="30"/>
      <c r="Q360" s="30"/>
      <c r="R360" s="30"/>
      <c r="S360" s="30"/>
      <c r="T360" s="33"/>
      <c r="U360" s="31"/>
      <c r="V360" s="31"/>
      <c r="W360" s="31"/>
      <c r="X360" s="34"/>
      <c r="Y360" s="34"/>
      <c r="Z360" s="31"/>
      <c r="AA360" s="31"/>
      <c r="AB360" s="31"/>
      <c r="AC360" s="31"/>
      <c r="AD360" s="31"/>
      <c r="AE360" s="31"/>
      <c r="AF360" s="31"/>
      <c r="AG360" s="31"/>
      <c r="AH360" s="35"/>
      <c r="AI360" s="31"/>
      <c r="AJ360" s="31"/>
      <c r="AK360" s="31"/>
      <c r="AL360" s="31"/>
    </row>
    <row r="361" ht="12.0" customHeight="1">
      <c r="A361" s="30"/>
      <c r="B361" s="31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2"/>
      <c r="N361" s="30"/>
      <c r="O361" s="30"/>
      <c r="P361" s="30"/>
      <c r="Q361" s="30"/>
      <c r="R361" s="30"/>
      <c r="S361" s="30"/>
      <c r="T361" s="33"/>
      <c r="U361" s="31"/>
      <c r="V361" s="31"/>
      <c r="W361" s="31"/>
      <c r="X361" s="34"/>
      <c r="Y361" s="34"/>
      <c r="Z361" s="31"/>
      <c r="AA361" s="31"/>
      <c r="AB361" s="31"/>
      <c r="AC361" s="31"/>
      <c r="AD361" s="31"/>
      <c r="AE361" s="31"/>
      <c r="AF361" s="31"/>
      <c r="AG361" s="31"/>
      <c r="AH361" s="35"/>
      <c r="AI361" s="31"/>
      <c r="AJ361" s="31"/>
      <c r="AK361" s="31"/>
      <c r="AL361" s="31"/>
    </row>
    <row r="362" ht="12.0" customHeight="1">
      <c r="A362" s="30"/>
      <c r="B362" s="31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2"/>
      <c r="N362" s="30"/>
      <c r="O362" s="30"/>
      <c r="P362" s="30"/>
      <c r="Q362" s="30"/>
      <c r="R362" s="30"/>
      <c r="S362" s="30"/>
      <c r="T362" s="33"/>
      <c r="U362" s="31"/>
      <c r="V362" s="31"/>
      <c r="W362" s="31"/>
      <c r="X362" s="34"/>
      <c r="Y362" s="34"/>
      <c r="Z362" s="31"/>
      <c r="AA362" s="31"/>
      <c r="AB362" s="31"/>
      <c r="AC362" s="31"/>
      <c r="AD362" s="31"/>
      <c r="AE362" s="31"/>
      <c r="AF362" s="31"/>
      <c r="AG362" s="31"/>
      <c r="AH362" s="35"/>
      <c r="AI362" s="31"/>
      <c r="AJ362" s="31"/>
      <c r="AK362" s="31"/>
      <c r="AL362" s="31"/>
    </row>
    <row r="363" ht="12.0" customHeight="1">
      <c r="A363" s="30"/>
      <c r="B363" s="31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2"/>
      <c r="N363" s="30"/>
      <c r="O363" s="30"/>
      <c r="P363" s="30"/>
      <c r="Q363" s="30"/>
      <c r="R363" s="30"/>
      <c r="S363" s="30"/>
      <c r="T363" s="33"/>
      <c r="U363" s="31"/>
      <c r="V363" s="31"/>
      <c r="W363" s="31"/>
      <c r="X363" s="34"/>
      <c r="Y363" s="34"/>
      <c r="Z363" s="31"/>
      <c r="AA363" s="31"/>
      <c r="AB363" s="31"/>
      <c r="AC363" s="31"/>
      <c r="AD363" s="31"/>
      <c r="AE363" s="31"/>
      <c r="AF363" s="31"/>
      <c r="AG363" s="31"/>
      <c r="AH363" s="35"/>
      <c r="AI363" s="31"/>
      <c r="AJ363" s="31"/>
      <c r="AK363" s="31"/>
      <c r="AL363" s="31"/>
    </row>
    <row r="364" ht="12.0" customHeight="1">
      <c r="A364" s="30"/>
      <c r="B364" s="31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2"/>
      <c r="N364" s="30"/>
      <c r="O364" s="30"/>
      <c r="P364" s="30"/>
      <c r="Q364" s="30"/>
      <c r="R364" s="30"/>
      <c r="S364" s="30"/>
      <c r="T364" s="33"/>
      <c r="U364" s="31"/>
      <c r="V364" s="31"/>
      <c r="W364" s="31"/>
      <c r="X364" s="34"/>
      <c r="Y364" s="34"/>
      <c r="Z364" s="31"/>
      <c r="AA364" s="31"/>
      <c r="AB364" s="31"/>
      <c r="AC364" s="31"/>
      <c r="AD364" s="31"/>
      <c r="AE364" s="31"/>
      <c r="AF364" s="31"/>
      <c r="AG364" s="31"/>
      <c r="AH364" s="35"/>
      <c r="AI364" s="31"/>
      <c r="AJ364" s="31"/>
      <c r="AK364" s="31"/>
      <c r="AL364" s="31"/>
    </row>
    <row r="365" ht="12.0" customHeight="1">
      <c r="A365" s="30"/>
      <c r="B365" s="31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2"/>
      <c r="N365" s="30"/>
      <c r="O365" s="30"/>
      <c r="P365" s="30"/>
      <c r="Q365" s="30"/>
      <c r="R365" s="30"/>
      <c r="S365" s="30"/>
      <c r="T365" s="33"/>
      <c r="U365" s="31"/>
      <c r="V365" s="31"/>
      <c r="W365" s="31"/>
      <c r="X365" s="34"/>
      <c r="Y365" s="34"/>
      <c r="Z365" s="31"/>
      <c r="AA365" s="31"/>
      <c r="AB365" s="31"/>
      <c r="AC365" s="31"/>
      <c r="AD365" s="31"/>
      <c r="AE365" s="31"/>
      <c r="AF365" s="31"/>
      <c r="AG365" s="31"/>
      <c r="AH365" s="35"/>
      <c r="AI365" s="31"/>
      <c r="AJ365" s="31"/>
      <c r="AK365" s="31"/>
      <c r="AL365" s="31"/>
    </row>
    <row r="366" ht="12.0" customHeight="1">
      <c r="A366" s="30"/>
      <c r="B366" s="31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2"/>
      <c r="N366" s="30"/>
      <c r="O366" s="30"/>
      <c r="P366" s="30"/>
      <c r="Q366" s="30"/>
      <c r="R366" s="30"/>
      <c r="S366" s="30"/>
      <c r="T366" s="33"/>
      <c r="U366" s="31"/>
      <c r="V366" s="31"/>
      <c r="W366" s="31"/>
      <c r="X366" s="34"/>
      <c r="Y366" s="34"/>
      <c r="Z366" s="31"/>
      <c r="AA366" s="31"/>
      <c r="AB366" s="31"/>
      <c r="AC366" s="31"/>
      <c r="AD366" s="31"/>
      <c r="AE366" s="31"/>
      <c r="AF366" s="31"/>
      <c r="AG366" s="31"/>
      <c r="AH366" s="35"/>
      <c r="AI366" s="31"/>
      <c r="AJ366" s="31"/>
      <c r="AK366" s="31"/>
      <c r="AL366" s="31"/>
    </row>
    <row r="367" ht="12.0" customHeight="1">
      <c r="A367" s="30"/>
      <c r="B367" s="31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2"/>
      <c r="N367" s="30"/>
      <c r="O367" s="30"/>
      <c r="P367" s="30"/>
      <c r="Q367" s="30"/>
      <c r="R367" s="30"/>
      <c r="S367" s="30"/>
      <c r="T367" s="33"/>
      <c r="U367" s="31"/>
      <c r="V367" s="31"/>
      <c r="W367" s="31"/>
      <c r="X367" s="34"/>
      <c r="Y367" s="34"/>
      <c r="Z367" s="31"/>
      <c r="AA367" s="31"/>
      <c r="AB367" s="31"/>
      <c r="AC367" s="31"/>
      <c r="AD367" s="31"/>
      <c r="AE367" s="31"/>
      <c r="AF367" s="31"/>
      <c r="AG367" s="31"/>
      <c r="AH367" s="35"/>
      <c r="AI367" s="31"/>
      <c r="AJ367" s="31"/>
      <c r="AK367" s="31"/>
      <c r="AL367" s="31"/>
    </row>
    <row r="368" ht="12.0" customHeight="1">
      <c r="A368" s="30"/>
      <c r="B368" s="31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2"/>
      <c r="N368" s="30"/>
      <c r="O368" s="30"/>
      <c r="P368" s="30"/>
      <c r="Q368" s="30"/>
      <c r="R368" s="30"/>
      <c r="S368" s="30"/>
      <c r="T368" s="33"/>
      <c r="U368" s="31"/>
      <c r="V368" s="31"/>
      <c r="W368" s="31"/>
      <c r="X368" s="34"/>
      <c r="Y368" s="34"/>
      <c r="Z368" s="31"/>
      <c r="AA368" s="31"/>
      <c r="AB368" s="31"/>
      <c r="AC368" s="31"/>
      <c r="AD368" s="31"/>
      <c r="AE368" s="31"/>
      <c r="AF368" s="31"/>
      <c r="AG368" s="31"/>
      <c r="AH368" s="35"/>
      <c r="AI368" s="31"/>
      <c r="AJ368" s="31"/>
      <c r="AK368" s="31"/>
      <c r="AL368" s="31"/>
    </row>
    <row r="369" ht="12.0" customHeight="1">
      <c r="A369" s="30"/>
      <c r="B369" s="31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2"/>
      <c r="N369" s="30"/>
      <c r="O369" s="30"/>
      <c r="P369" s="30"/>
      <c r="Q369" s="30"/>
      <c r="R369" s="30"/>
      <c r="S369" s="30"/>
      <c r="T369" s="33"/>
      <c r="U369" s="31"/>
      <c r="V369" s="31"/>
      <c r="W369" s="31"/>
      <c r="X369" s="34"/>
      <c r="Y369" s="34"/>
      <c r="Z369" s="31"/>
      <c r="AA369" s="31"/>
      <c r="AB369" s="31"/>
      <c r="AC369" s="31"/>
      <c r="AD369" s="31"/>
      <c r="AE369" s="31"/>
      <c r="AF369" s="31"/>
      <c r="AG369" s="31"/>
      <c r="AH369" s="35"/>
      <c r="AI369" s="31"/>
      <c r="AJ369" s="31"/>
      <c r="AK369" s="31"/>
      <c r="AL369" s="31"/>
    </row>
    <row r="370" ht="12.0" customHeight="1">
      <c r="A370" s="30"/>
      <c r="B370" s="31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2"/>
      <c r="N370" s="30"/>
      <c r="O370" s="30"/>
      <c r="P370" s="30"/>
      <c r="Q370" s="30"/>
      <c r="R370" s="30"/>
      <c r="S370" s="30"/>
      <c r="T370" s="33"/>
      <c r="U370" s="31"/>
      <c r="V370" s="31"/>
      <c r="W370" s="31"/>
      <c r="X370" s="34"/>
      <c r="Y370" s="34"/>
      <c r="Z370" s="31"/>
      <c r="AA370" s="31"/>
      <c r="AB370" s="31"/>
      <c r="AC370" s="31"/>
      <c r="AD370" s="31"/>
      <c r="AE370" s="31"/>
      <c r="AF370" s="31"/>
      <c r="AG370" s="31"/>
      <c r="AH370" s="35"/>
      <c r="AI370" s="31"/>
      <c r="AJ370" s="31"/>
      <c r="AK370" s="31"/>
      <c r="AL370" s="31"/>
    </row>
    <row r="371" ht="12.0" customHeight="1">
      <c r="A371" s="30"/>
      <c r="B371" s="31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2"/>
      <c r="N371" s="30"/>
      <c r="O371" s="30"/>
      <c r="P371" s="30"/>
      <c r="Q371" s="30"/>
      <c r="R371" s="30"/>
      <c r="S371" s="30"/>
      <c r="T371" s="33"/>
      <c r="U371" s="31"/>
      <c r="V371" s="31"/>
      <c r="W371" s="31"/>
      <c r="X371" s="34"/>
      <c r="Y371" s="34"/>
      <c r="Z371" s="31"/>
      <c r="AA371" s="31"/>
      <c r="AB371" s="31"/>
      <c r="AC371" s="31"/>
      <c r="AD371" s="31"/>
      <c r="AE371" s="31"/>
      <c r="AF371" s="31"/>
      <c r="AG371" s="31"/>
      <c r="AH371" s="35"/>
      <c r="AI371" s="31"/>
      <c r="AJ371" s="31"/>
      <c r="AK371" s="31"/>
      <c r="AL371" s="31"/>
    </row>
    <row r="372" ht="12.0" customHeight="1">
      <c r="A372" s="30"/>
      <c r="B372" s="31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2"/>
      <c r="N372" s="30"/>
      <c r="O372" s="30"/>
      <c r="P372" s="30"/>
      <c r="Q372" s="30"/>
      <c r="R372" s="30"/>
      <c r="S372" s="30"/>
      <c r="T372" s="33"/>
      <c r="U372" s="31"/>
      <c r="V372" s="31"/>
      <c r="W372" s="31"/>
      <c r="X372" s="34"/>
      <c r="Y372" s="34"/>
      <c r="Z372" s="31"/>
      <c r="AA372" s="31"/>
      <c r="AB372" s="31"/>
      <c r="AC372" s="31"/>
      <c r="AD372" s="31"/>
      <c r="AE372" s="31"/>
      <c r="AF372" s="31"/>
      <c r="AG372" s="31"/>
      <c r="AH372" s="35"/>
      <c r="AI372" s="31"/>
      <c r="AJ372" s="31"/>
      <c r="AK372" s="31"/>
      <c r="AL372" s="31"/>
    </row>
    <row r="373" ht="12.0" customHeight="1">
      <c r="A373" s="30"/>
      <c r="B373" s="31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2"/>
      <c r="N373" s="30"/>
      <c r="O373" s="30"/>
      <c r="P373" s="30"/>
      <c r="Q373" s="30"/>
      <c r="R373" s="30"/>
      <c r="S373" s="30"/>
      <c r="T373" s="33"/>
      <c r="U373" s="31"/>
      <c r="V373" s="31"/>
      <c r="W373" s="31"/>
      <c r="X373" s="34"/>
      <c r="Y373" s="34"/>
      <c r="Z373" s="31"/>
      <c r="AA373" s="31"/>
      <c r="AB373" s="31"/>
      <c r="AC373" s="31"/>
      <c r="AD373" s="31"/>
      <c r="AE373" s="31"/>
      <c r="AF373" s="31"/>
      <c r="AG373" s="31"/>
      <c r="AH373" s="35"/>
      <c r="AI373" s="31"/>
      <c r="AJ373" s="31"/>
      <c r="AK373" s="31"/>
      <c r="AL373" s="31"/>
    </row>
    <row r="374" ht="12.0" customHeight="1">
      <c r="A374" s="30"/>
      <c r="B374" s="31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2"/>
      <c r="N374" s="30"/>
      <c r="O374" s="30"/>
      <c r="P374" s="30"/>
      <c r="Q374" s="30"/>
      <c r="R374" s="30"/>
      <c r="S374" s="30"/>
      <c r="T374" s="33"/>
      <c r="U374" s="31"/>
      <c r="V374" s="31"/>
      <c r="W374" s="31"/>
      <c r="X374" s="34"/>
      <c r="Y374" s="34"/>
      <c r="Z374" s="31"/>
      <c r="AA374" s="31"/>
      <c r="AB374" s="31"/>
      <c r="AC374" s="31"/>
      <c r="AD374" s="31"/>
      <c r="AE374" s="31"/>
      <c r="AF374" s="31"/>
      <c r="AG374" s="31"/>
      <c r="AH374" s="35"/>
      <c r="AI374" s="31"/>
      <c r="AJ374" s="31"/>
      <c r="AK374" s="31"/>
      <c r="AL374" s="31"/>
    </row>
    <row r="375" ht="12.0" customHeight="1">
      <c r="A375" s="30"/>
      <c r="B375" s="31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2"/>
      <c r="N375" s="30"/>
      <c r="O375" s="30"/>
      <c r="P375" s="30"/>
      <c r="Q375" s="30"/>
      <c r="R375" s="30"/>
      <c r="S375" s="30"/>
      <c r="T375" s="33"/>
      <c r="U375" s="31"/>
      <c r="V375" s="31"/>
      <c r="W375" s="31"/>
      <c r="X375" s="34"/>
      <c r="Y375" s="34"/>
      <c r="Z375" s="31"/>
      <c r="AA375" s="31"/>
      <c r="AB375" s="31"/>
      <c r="AC375" s="31"/>
      <c r="AD375" s="31"/>
      <c r="AE375" s="31"/>
      <c r="AF375" s="31"/>
      <c r="AG375" s="31"/>
      <c r="AH375" s="35"/>
      <c r="AI375" s="31"/>
      <c r="AJ375" s="31"/>
      <c r="AK375" s="31"/>
      <c r="AL375" s="31"/>
    </row>
    <row r="376" ht="12.0" customHeight="1">
      <c r="A376" s="30"/>
      <c r="B376" s="31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2"/>
      <c r="N376" s="30"/>
      <c r="O376" s="30"/>
      <c r="P376" s="30"/>
      <c r="Q376" s="30"/>
      <c r="R376" s="30"/>
      <c r="S376" s="30"/>
      <c r="T376" s="33"/>
      <c r="U376" s="31"/>
      <c r="V376" s="31"/>
      <c r="W376" s="31"/>
      <c r="X376" s="34"/>
      <c r="Y376" s="34"/>
      <c r="Z376" s="31"/>
      <c r="AA376" s="31"/>
      <c r="AB376" s="31"/>
      <c r="AC376" s="31"/>
      <c r="AD376" s="31"/>
      <c r="AE376" s="31"/>
      <c r="AF376" s="31"/>
      <c r="AG376" s="31"/>
      <c r="AH376" s="35"/>
      <c r="AI376" s="31"/>
      <c r="AJ376" s="31"/>
      <c r="AK376" s="31"/>
      <c r="AL376" s="31"/>
    </row>
    <row r="377" ht="12.0" customHeight="1">
      <c r="A377" s="30"/>
      <c r="B377" s="31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2"/>
      <c r="N377" s="30"/>
      <c r="O377" s="30"/>
      <c r="P377" s="30"/>
      <c r="Q377" s="30"/>
      <c r="R377" s="30"/>
      <c r="S377" s="30"/>
      <c r="T377" s="33"/>
      <c r="U377" s="31"/>
      <c r="V377" s="31"/>
      <c r="W377" s="31"/>
      <c r="X377" s="34"/>
      <c r="Y377" s="34"/>
      <c r="Z377" s="31"/>
      <c r="AA377" s="31"/>
      <c r="AB377" s="31"/>
      <c r="AC377" s="31"/>
      <c r="AD377" s="31"/>
      <c r="AE377" s="31"/>
      <c r="AF377" s="31"/>
      <c r="AG377" s="31"/>
      <c r="AH377" s="35"/>
      <c r="AI377" s="31"/>
      <c r="AJ377" s="31"/>
      <c r="AK377" s="31"/>
      <c r="AL377" s="31"/>
    </row>
    <row r="378" ht="12.0" customHeight="1">
      <c r="A378" s="30"/>
      <c r="B378" s="31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2"/>
      <c r="N378" s="30"/>
      <c r="O378" s="30"/>
      <c r="P378" s="30"/>
      <c r="Q378" s="30"/>
      <c r="R378" s="30"/>
      <c r="S378" s="30"/>
      <c r="T378" s="33"/>
      <c r="U378" s="31"/>
      <c r="V378" s="31"/>
      <c r="W378" s="31"/>
      <c r="X378" s="34"/>
      <c r="Y378" s="34"/>
      <c r="Z378" s="31"/>
      <c r="AA378" s="31"/>
      <c r="AB378" s="31"/>
      <c r="AC378" s="31"/>
      <c r="AD378" s="31"/>
      <c r="AE378" s="31"/>
      <c r="AF378" s="31"/>
      <c r="AG378" s="31"/>
      <c r="AH378" s="35"/>
      <c r="AI378" s="31"/>
      <c r="AJ378" s="31"/>
      <c r="AK378" s="31"/>
      <c r="AL378" s="31"/>
    </row>
    <row r="379" ht="12.0" customHeight="1">
      <c r="A379" s="30"/>
      <c r="B379" s="31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2"/>
      <c r="N379" s="30"/>
      <c r="O379" s="30"/>
      <c r="P379" s="30"/>
      <c r="Q379" s="30"/>
      <c r="R379" s="30"/>
      <c r="S379" s="30"/>
      <c r="T379" s="33"/>
      <c r="U379" s="31"/>
      <c r="V379" s="31"/>
      <c r="W379" s="31"/>
      <c r="X379" s="34"/>
      <c r="Y379" s="34"/>
      <c r="Z379" s="31"/>
      <c r="AA379" s="31"/>
      <c r="AB379" s="31"/>
      <c r="AC379" s="31"/>
      <c r="AD379" s="31"/>
      <c r="AE379" s="31"/>
      <c r="AF379" s="31"/>
      <c r="AG379" s="31"/>
      <c r="AH379" s="35"/>
      <c r="AI379" s="31"/>
      <c r="AJ379" s="31"/>
      <c r="AK379" s="31"/>
      <c r="AL379" s="31"/>
    </row>
    <row r="380" ht="12.0" customHeight="1">
      <c r="A380" s="30"/>
      <c r="B380" s="31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2"/>
      <c r="N380" s="30"/>
      <c r="O380" s="30"/>
      <c r="P380" s="30"/>
      <c r="Q380" s="30"/>
      <c r="R380" s="30"/>
      <c r="S380" s="30"/>
      <c r="T380" s="33"/>
      <c r="U380" s="31"/>
      <c r="V380" s="31"/>
      <c r="W380" s="31"/>
      <c r="X380" s="34"/>
      <c r="Y380" s="34"/>
      <c r="Z380" s="31"/>
      <c r="AA380" s="31"/>
      <c r="AB380" s="31"/>
      <c r="AC380" s="31"/>
      <c r="AD380" s="31"/>
      <c r="AE380" s="31"/>
      <c r="AF380" s="31"/>
      <c r="AG380" s="31"/>
      <c r="AH380" s="35"/>
      <c r="AI380" s="31"/>
      <c r="AJ380" s="31"/>
      <c r="AK380" s="31"/>
      <c r="AL380" s="31"/>
    </row>
    <row r="381" ht="12.0" customHeight="1">
      <c r="A381" s="30"/>
      <c r="B381" s="31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2"/>
      <c r="N381" s="30"/>
      <c r="O381" s="30"/>
      <c r="P381" s="30"/>
      <c r="Q381" s="30"/>
      <c r="R381" s="30"/>
      <c r="S381" s="30"/>
      <c r="T381" s="33"/>
      <c r="U381" s="31"/>
      <c r="V381" s="31"/>
      <c r="W381" s="31"/>
      <c r="X381" s="34"/>
      <c r="Y381" s="34"/>
      <c r="Z381" s="31"/>
      <c r="AA381" s="31"/>
      <c r="AB381" s="31"/>
      <c r="AC381" s="31"/>
      <c r="AD381" s="31"/>
      <c r="AE381" s="31"/>
      <c r="AF381" s="31"/>
      <c r="AG381" s="31"/>
      <c r="AH381" s="35"/>
      <c r="AI381" s="31"/>
      <c r="AJ381" s="31"/>
      <c r="AK381" s="31"/>
      <c r="AL381" s="31"/>
    </row>
    <row r="382" ht="12.0" customHeight="1">
      <c r="A382" s="30"/>
      <c r="B382" s="31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2"/>
      <c r="N382" s="30"/>
      <c r="O382" s="30"/>
      <c r="P382" s="30"/>
      <c r="Q382" s="30"/>
      <c r="R382" s="30"/>
      <c r="S382" s="30"/>
      <c r="T382" s="33"/>
      <c r="U382" s="31"/>
      <c r="V382" s="31"/>
      <c r="W382" s="31"/>
      <c r="X382" s="34"/>
      <c r="Y382" s="34"/>
      <c r="Z382" s="31"/>
      <c r="AA382" s="31"/>
      <c r="AB382" s="31"/>
      <c r="AC382" s="31"/>
      <c r="AD382" s="31"/>
      <c r="AE382" s="31"/>
      <c r="AF382" s="31"/>
      <c r="AG382" s="31"/>
      <c r="AH382" s="35"/>
      <c r="AI382" s="31"/>
      <c r="AJ382" s="31"/>
      <c r="AK382" s="31"/>
      <c r="AL382" s="31"/>
    </row>
    <row r="383" ht="12.0" customHeight="1">
      <c r="A383" s="30"/>
      <c r="B383" s="31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2"/>
      <c r="N383" s="30"/>
      <c r="O383" s="30"/>
      <c r="P383" s="30"/>
      <c r="Q383" s="30"/>
      <c r="R383" s="30"/>
      <c r="S383" s="30"/>
      <c r="T383" s="33"/>
      <c r="U383" s="31"/>
      <c r="V383" s="31"/>
      <c r="W383" s="31"/>
      <c r="X383" s="34"/>
      <c r="Y383" s="34"/>
      <c r="Z383" s="31"/>
      <c r="AA383" s="31"/>
      <c r="AB383" s="31"/>
      <c r="AC383" s="31"/>
      <c r="AD383" s="31"/>
      <c r="AE383" s="31"/>
      <c r="AF383" s="31"/>
      <c r="AG383" s="31"/>
      <c r="AH383" s="35"/>
      <c r="AI383" s="31"/>
      <c r="AJ383" s="31"/>
      <c r="AK383" s="31"/>
      <c r="AL383" s="31"/>
    </row>
    <row r="384" ht="12.0" customHeight="1">
      <c r="A384" s="30"/>
      <c r="B384" s="31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2"/>
      <c r="N384" s="30"/>
      <c r="O384" s="30"/>
      <c r="P384" s="30"/>
      <c r="Q384" s="30"/>
      <c r="R384" s="30"/>
      <c r="S384" s="30"/>
      <c r="T384" s="33"/>
      <c r="U384" s="31"/>
      <c r="V384" s="31"/>
      <c r="W384" s="31"/>
      <c r="X384" s="34"/>
      <c r="Y384" s="34"/>
      <c r="Z384" s="31"/>
      <c r="AA384" s="31"/>
      <c r="AB384" s="31"/>
      <c r="AC384" s="31"/>
      <c r="AD384" s="31"/>
      <c r="AE384" s="31"/>
      <c r="AF384" s="31"/>
      <c r="AG384" s="31"/>
      <c r="AH384" s="35"/>
      <c r="AI384" s="31"/>
      <c r="AJ384" s="31"/>
      <c r="AK384" s="31"/>
      <c r="AL384" s="31"/>
    </row>
    <row r="385" ht="12.0" customHeight="1">
      <c r="A385" s="30"/>
      <c r="B385" s="31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2"/>
      <c r="N385" s="30"/>
      <c r="O385" s="30"/>
      <c r="P385" s="30"/>
      <c r="Q385" s="30"/>
      <c r="R385" s="30"/>
      <c r="S385" s="30"/>
      <c r="T385" s="33"/>
      <c r="U385" s="31"/>
      <c r="V385" s="31"/>
      <c r="W385" s="31"/>
      <c r="X385" s="34"/>
      <c r="Y385" s="34"/>
      <c r="Z385" s="31"/>
      <c r="AA385" s="31"/>
      <c r="AB385" s="31"/>
      <c r="AC385" s="31"/>
      <c r="AD385" s="31"/>
      <c r="AE385" s="31"/>
      <c r="AF385" s="31"/>
      <c r="AG385" s="31"/>
      <c r="AH385" s="35"/>
      <c r="AI385" s="31"/>
      <c r="AJ385" s="31"/>
      <c r="AK385" s="31"/>
      <c r="AL385" s="31"/>
    </row>
    <row r="386" ht="12.0" customHeight="1">
      <c r="A386" s="30"/>
      <c r="B386" s="31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2"/>
      <c r="N386" s="30"/>
      <c r="O386" s="30"/>
      <c r="P386" s="30"/>
      <c r="Q386" s="30"/>
      <c r="R386" s="30"/>
      <c r="S386" s="30"/>
      <c r="T386" s="33"/>
      <c r="U386" s="31"/>
      <c r="V386" s="31"/>
      <c r="W386" s="31"/>
      <c r="X386" s="34"/>
      <c r="Y386" s="34"/>
      <c r="Z386" s="31"/>
      <c r="AA386" s="31"/>
      <c r="AB386" s="31"/>
      <c r="AC386" s="31"/>
      <c r="AD386" s="31"/>
      <c r="AE386" s="31"/>
      <c r="AF386" s="31"/>
      <c r="AG386" s="31"/>
      <c r="AH386" s="35"/>
      <c r="AI386" s="31"/>
      <c r="AJ386" s="31"/>
      <c r="AK386" s="31"/>
      <c r="AL386" s="31"/>
    </row>
    <row r="387" ht="12.0" customHeight="1">
      <c r="A387" s="30"/>
      <c r="B387" s="31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2"/>
      <c r="N387" s="30"/>
      <c r="O387" s="30"/>
      <c r="P387" s="30"/>
      <c r="Q387" s="30"/>
      <c r="R387" s="30"/>
      <c r="S387" s="30"/>
      <c r="T387" s="33"/>
      <c r="U387" s="31"/>
      <c r="V387" s="31"/>
      <c r="W387" s="31"/>
      <c r="X387" s="34"/>
      <c r="Y387" s="34"/>
      <c r="Z387" s="31"/>
      <c r="AA387" s="31"/>
      <c r="AB387" s="31"/>
      <c r="AC387" s="31"/>
      <c r="AD387" s="31"/>
      <c r="AE387" s="31"/>
      <c r="AF387" s="31"/>
      <c r="AG387" s="31"/>
      <c r="AH387" s="35"/>
      <c r="AI387" s="31"/>
      <c r="AJ387" s="31"/>
      <c r="AK387" s="31"/>
      <c r="AL387" s="31"/>
    </row>
    <row r="388" ht="12.0" customHeight="1">
      <c r="A388" s="30"/>
      <c r="B388" s="31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2"/>
      <c r="N388" s="30"/>
      <c r="O388" s="30"/>
      <c r="P388" s="30"/>
      <c r="Q388" s="30"/>
      <c r="R388" s="30"/>
      <c r="S388" s="30"/>
      <c r="T388" s="33"/>
      <c r="U388" s="31"/>
      <c r="V388" s="31"/>
      <c r="W388" s="31"/>
      <c r="X388" s="34"/>
      <c r="Y388" s="34"/>
      <c r="Z388" s="31"/>
      <c r="AA388" s="31"/>
      <c r="AB388" s="31"/>
      <c r="AC388" s="31"/>
      <c r="AD388" s="31"/>
      <c r="AE388" s="31"/>
      <c r="AF388" s="31"/>
      <c r="AG388" s="31"/>
      <c r="AH388" s="35"/>
      <c r="AI388" s="31"/>
      <c r="AJ388" s="31"/>
      <c r="AK388" s="31"/>
      <c r="AL388" s="31"/>
    </row>
    <row r="389" ht="12.0" customHeight="1">
      <c r="A389" s="30"/>
      <c r="B389" s="31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2"/>
      <c r="N389" s="30"/>
      <c r="O389" s="30"/>
      <c r="P389" s="30"/>
      <c r="Q389" s="30"/>
      <c r="R389" s="30"/>
      <c r="S389" s="30"/>
      <c r="T389" s="33"/>
      <c r="U389" s="31"/>
      <c r="V389" s="31"/>
      <c r="W389" s="31"/>
      <c r="X389" s="34"/>
      <c r="Y389" s="34"/>
      <c r="Z389" s="31"/>
      <c r="AA389" s="31"/>
      <c r="AB389" s="31"/>
      <c r="AC389" s="31"/>
      <c r="AD389" s="31"/>
      <c r="AE389" s="31"/>
      <c r="AF389" s="31"/>
      <c r="AG389" s="31"/>
      <c r="AH389" s="35"/>
      <c r="AI389" s="31"/>
      <c r="AJ389" s="31"/>
      <c r="AK389" s="31"/>
      <c r="AL389" s="31"/>
    </row>
    <row r="390" ht="12.0" customHeight="1">
      <c r="A390" s="30"/>
      <c r="B390" s="31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2"/>
      <c r="N390" s="30"/>
      <c r="O390" s="30"/>
      <c r="P390" s="30"/>
      <c r="Q390" s="30"/>
      <c r="R390" s="30"/>
      <c r="S390" s="30"/>
      <c r="T390" s="33"/>
      <c r="U390" s="31"/>
      <c r="V390" s="31"/>
      <c r="W390" s="31"/>
      <c r="X390" s="34"/>
      <c r="Y390" s="34"/>
      <c r="Z390" s="31"/>
      <c r="AA390" s="31"/>
      <c r="AB390" s="31"/>
      <c r="AC390" s="31"/>
      <c r="AD390" s="31"/>
      <c r="AE390" s="31"/>
      <c r="AF390" s="31"/>
      <c r="AG390" s="31"/>
      <c r="AH390" s="35"/>
      <c r="AI390" s="31"/>
      <c r="AJ390" s="31"/>
      <c r="AK390" s="31"/>
      <c r="AL390" s="31"/>
    </row>
    <row r="391" ht="12.0" customHeight="1">
      <c r="A391" s="30"/>
      <c r="B391" s="31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2"/>
      <c r="N391" s="30"/>
      <c r="O391" s="30"/>
      <c r="P391" s="30"/>
      <c r="Q391" s="30"/>
      <c r="R391" s="30"/>
      <c r="S391" s="30"/>
      <c r="T391" s="33"/>
      <c r="U391" s="31"/>
      <c r="V391" s="31"/>
      <c r="W391" s="31"/>
      <c r="X391" s="34"/>
      <c r="Y391" s="34"/>
      <c r="Z391" s="31"/>
      <c r="AA391" s="31"/>
      <c r="AB391" s="31"/>
      <c r="AC391" s="31"/>
      <c r="AD391" s="31"/>
      <c r="AE391" s="31"/>
      <c r="AF391" s="31"/>
      <c r="AG391" s="31"/>
      <c r="AH391" s="35"/>
      <c r="AI391" s="31"/>
      <c r="AJ391" s="31"/>
      <c r="AK391" s="31"/>
      <c r="AL391" s="31"/>
    </row>
    <row r="392" ht="12.0" customHeight="1">
      <c r="A392" s="30"/>
      <c r="B392" s="31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2"/>
      <c r="N392" s="30"/>
      <c r="O392" s="30"/>
      <c r="P392" s="30"/>
      <c r="Q392" s="30"/>
      <c r="R392" s="30"/>
      <c r="S392" s="30"/>
      <c r="T392" s="33"/>
      <c r="U392" s="31"/>
      <c r="V392" s="31"/>
      <c r="W392" s="31"/>
      <c r="X392" s="34"/>
      <c r="Y392" s="34"/>
      <c r="Z392" s="31"/>
      <c r="AA392" s="31"/>
      <c r="AB392" s="31"/>
      <c r="AC392" s="31"/>
      <c r="AD392" s="31"/>
      <c r="AE392" s="31"/>
      <c r="AF392" s="31"/>
      <c r="AG392" s="31"/>
      <c r="AH392" s="35"/>
      <c r="AI392" s="31"/>
      <c r="AJ392" s="31"/>
      <c r="AK392" s="31"/>
      <c r="AL392" s="31"/>
    </row>
    <row r="393" ht="12.0" customHeight="1">
      <c r="A393" s="30"/>
      <c r="B393" s="31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2"/>
      <c r="N393" s="30"/>
      <c r="O393" s="30"/>
      <c r="P393" s="30"/>
      <c r="Q393" s="30"/>
      <c r="R393" s="30"/>
      <c r="S393" s="30"/>
      <c r="T393" s="33"/>
      <c r="U393" s="31"/>
      <c r="V393" s="31"/>
      <c r="W393" s="31"/>
      <c r="X393" s="34"/>
      <c r="Y393" s="34"/>
      <c r="Z393" s="31"/>
      <c r="AA393" s="31"/>
      <c r="AB393" s="31"/>
      <c r="AC393" s="31"/>
      <c r="AD393" s="31"/>
      <c r="AE393" s="31"/>
      <c r="AF393" s="31"/>
      <c r="AG393" s="31"/>
      <c r="AH393" s="35"/>
      <c r="AI393" s="31"/>
      <c r="AJ393" s="31"/>
      <c r="AK393" s="31"/>
      <c r="AL393" s="31"/>
    </row>
    <row r="394" ht="12.0" customHeight="1">
      <c r="A394" s="30"/>
      <c r="B394" s="31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2"/>
      <c r="N394" s="30"/>
      <c r="O394" s="30"/>
      <c r="P394" s="30"/>
      <c r="Q394" s="30"/>
      <c r="R394" s="30"/>
      <c r="S394" s="30"/>
      <c r="T394" s="33"/>
      <c r="U394" s="31"/>
      <c r="V394" s="31"/>
      <c r="W394" s="31"/>
      <c r="X394" s="34"/>
      <c r="Y394" s="34"/>
      <c r="Z394" s="31"/>
      <c r="AA394" s="31"/>
      <c r="AB394" s="31"/>
      <c r="AC394" s="31"/>
      <c r="AD394" s="31"/>
      <c r="AE394" s="31"/>
      <c r="AF394" s="31"/>
      <c r="AG394" s="31"/>
      <c r="AH394" s="35"/>
      <c r="AI394" s="31"/>
      <c r="AJ394" s="31"/>
      <c r="AK394" s="31"/>
      <c r="AL394" s="31"/>
    </row>
    <row r="395" ht="12.0" customHeight="1">
      <c r="A395" s="30"/>
      <c r="B395" s="31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2"/>
      <c r="N395" s="30"/>
      <c r="O395" s="30"/>
      <c r="P395" s="30"/>
      <c r="Q395" s="30"/>
      <c r="R395" s="30"/>
      <c r="S395" s="30"/>
      <c r="T395" s="33"/>
      <c r="U395" s="31"/>
      <c r="V395" s="31"/>
      <c r="W395" s="31"/>
      <c r="X395" s="34"/>
      <c r="Y395" s="34"/>
      <c r="Z395" s="31"/>
      <c r="AA395" s="31"/>
      <c r="AB395" s="31"/>
      <c r="AC395" s="31"/>
      <c r="AD395" s="31"/>
      <c r="AE395" s="31"/>
      <c r="AF395" s="31"/>
      <c r="AG395" s="31"/>
      <c r="AH395" s="35"/>
      <c r="AI395" s="31"/>
      <c r="AJ395" s="31"/>
      <c r="AK395" s="31"/>
      <c r="AL395" s="31"/>
    </row>
    <row r="396" ht="12.0" customHeight="1">
      <c r="A396" s="30"/>
      <c r="B396" s="31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2"/>
      <c r="N396" s="30"/>
      <c r="O396" s="30"/>
      <c r="P396" s="30"/>
      <c r="Q396" s="30"/>
      <c r="R396" s="30"/>
      <c r="S396" s="30"/>
      <c r="T396" s="33"/>
      <c r="U396" s="31"/>
      <c r="V396" s="31"/>
      <c r="W396" s="31"/>
      <c r="X396" s="34"/>
      <c r="Y396" s="34"/>
      <c r="Z396" s="31"/>
      <c r="AA396" s="31"/>
      <c r="AB396" s="31"/>
      <c r="AC396" s="31"/>
      <c r="AD396" s="31"/>
      <c r="AE396" s="31"/>
      <c r="AF396" s="31"/>
      <c r="AG396" s="31"/>
      <c r="AH396" s="35"/>
      <c r="AI396" s="31"/>
      <c r="AJ396" s="31"/>
      <c r="AK396" s="31"/>
      <c r="AL396" s="31"/>
    </row>
    <row r="397" ht="12.0" customHeight="1">
      <c r="A397" s="30"/>
      <c r="B397" s="31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2"/>
      <c r="N397" s="30"/>
      <c r="O397" s="30"/>
      <c r="P397" s="30"/>
      <c r="Q397" s="30"/>
      <c r="R397" s="30"/>
      <c r="S397" s="30"/>
      <c r="T397" s="33"/>
      <c r="U397" s="31"/>
      <c r="V397" s="31"/>
      <c r="W397" s="31"/>
      <c r="X397" s="34"/>
      <c r="Y397" s="34"/>
      <c r="Z397" s="31"/>
      <c r="AA397" s="31"/>
      <c r="AB397" s="31"/>
      <c r="AC397" s="31"/>
      <c r="AD397" s="31"/>
      <c r="AE397" s="31"/>
      <c r="AF397" s="31"/>
      <c r="AG397" s="31"/>
      <c r="AH397" s="35"/>
      <c r="AI397" s="31"/>
      <c r="AJ397" s="31"/>
      <c r="AK397" s="31"/>
      <c r="AL397" s="31"/>
    </row>
    <row r="398" ht="12.0" customHeight="1">
      <c r="A398" s="30"/>
      <c r="B398" s="31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2"/>
      <c r="N398" s="30"/>
      <c r="O398" s="30"/>
      <c r="P398" s="30"/>
      <c r="Q398" s="30"/>
      <c r="R398" s="30"/>
      <c r="S398" s="30"/>
      <c r="T398" s="33"/>
      <c r="U398" s="31"/>
      <c r="V398" s="31"/>
      <c r="W398" s="31"/>
      <c r="X398" s="34"/>
      <c r="Y398" s="34"/>
      <c r="Z398" s="31"/>
      <c r="AA398" s="31"/>
      <c r="AB398" s="31"/>
      <c r="AC398" s="31"/>
      <c r="AD398" s="31"/>
      <c r="AE398" s="31"/>
      <c r="AF398" s="31"/>
      <c r="AG398" s="31"/>
      <c r="AH398" s="35"/>
      <c r="AI398" s="31"/>
      <c r="AJ398" s="31"/>
      <c r="AK398" s="31"/>
      <c r="AL398" s="31"/>
    </row>
    <row r="399" ht="12.0" customHeight="1">
      <c r="A399" s="30"/>
      <c r="B399" s="31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2"/>
      <c r="N399" s="30"/>
      <c r="O399" s="30"/>
      <c r="P399" s="30"/>
      <c r="Q399" s="30"/>
      <c r="R399" s="30"/>
      <c r="S399" s="30"/>
      <c r="T399" s="33"/>
      <c r="U399" s="31"/>
      <c r="V399" s="31"/>
      <c r="W399" s="31"/>
      <c r="X399" s="34"/>
      <c r="Y399" s="34"/>
      <c r="Z399" s="31"/>
      <c r="AA399" s="31"/>
      <c r="AB399" s="31"/>
      <c r="AC399" s="31"/>
      <c r="AD399" s="31"/>
      <c r="AE399" s="31"/>
      <c r="AF399" s="31"/>
      <c r="AG399" s="31"/>
      <c r="AH399" s="35"/>
      <c r="AI399" s="31"/>
      <c r="AJ399" s="31"/>
      <c r="AK399" s="31"/>
      <c r="AL399" s="31"/>
    </row>
    <row r="400" ht="12.0" customHeight="1">
      <c r="A400" s="30"/>
      <c r="B400" s="31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2"/>
      <c r="N400" s="30"/>
      <c r="O400" s="30"/>
      <c r="P400" s="30"/>
      <c r="Q400" s="30"/>
      <c r="R400" s="30"/>
      <c r="S400" s="30"/>
      <c r="T400" s="33"/>
      <c r="U400" s="31"/>
      <c r="V400" s="31"/>
      <c r="W400" s="31"/>
      <c r="X400" s="34"/>
      <c r="Y400" s="34"/>
      <c r="Z400" s="31"/>
      <c r="AA400" s="31"/>
      <c r="AB400" s="31"/>
      <c r="AC400" s="31"/>
      <c r="AD400" s="31"/>
      <c r="AE400" s="31"/>
      <c r="AF400" s="31"/>
      <c r="AG400" s="31"/>
      <c r="AH400" s="35"/>
      <c r="AI400" s="31"/>
      <c r="AJ400" s="31"/>
      <c r="AK400" s="31"/>
      <c r="AL400" s="31"/>
    </row>
    <row r="401" ht="12.0" customHeight="1">
      <c r="A401" s="30"/>
      <c r="B401" s="31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2"/>
      <c r="N401" s="30"/>
      <c r="O401" s="30"/>
      <c r="P401" s="30"/>
      <c r="Q401" s="30"/>
      <c r="R401" s="30"/>
      <c r="S401" s="30"/>
      <c r="T401" s="33"/>
      <c r="U401" s="31"/>
      <c r="V401" s="31"/>
      <c r="W401" s="31"/>
      <c r="X401" s="34"/>
      <c r="Y401" s="34"/>
      <c r="Z401" s="31"/>
      <c r="AA401" s="31"/>
      <c r="AB401" s="31"/>
      <c r="AC401" s="31"/>
      <c r="AD401" s="31"/>
      <c r="AE401" s="31"/>
      <c r="AF401" s="31"/>
      <c r="AG401" s="31"/>
      <c r="AH401" s="35"/>
      <c r="AI401" s="31"/>
      <c r="AJ401" s="31"/>
      <c r="AK401" s="31"/>
      <c r="AL401" s="31"/>
    </row>
    <row r="402" ht="12.0" customHeight="1">
      <c r="A402" s="30"/>
      <c r="B402" s="31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2"/>
      <c r="N402" s="30"/>
      <c r="O402" s="30"/>
      <c r="P402" s="30"/>
      <c r="Q402" s="30"/>
      <c r="R402" s="30"/>
      <c r="S402" s="30"/>
      <c r="T402" s="33"/>
      <c r="U402" s="31"/>
      <c r="V402" s="31"/>
      <c r="W402" s="31"/>
      <c r="X402" s="34"/>
      <c r="Y402" s="34"/>
      <c r="Z402" s="31"/>
      <c r="AA402" s="31"/>
      <c r="AB402" s="31"/>
      <c r="AC402" s="31"/>
      <c r="AD402" s="31"/>
      <c r="AE402" s="31"/>
      <c r="AF402" s="31"/>
      <c r="AG402" s="31"/>
      <c r="AH402" s="35"/>
      <c r="AI402" s="31"/>
      <c r="AJ402" s="31"/>
      <c r="AK402" s="31"/>
      <c r="AL402" s="31"/>
    </row>
    <row r="403" ht="12.0" customHeight="1">
      <c r="A403" s="30"/>
      <c r="B403" s="31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2"/>
      <c r="N403" s="30"/>
      <c r="O403" s="30"/>
      <c r="P403" s="30"/>
      <c r="Q403" s="30"/>
      <c r="R403" s="30"/>
      <c r="S403" s="30"/>
      <c r="T403" s="33"/>
      <c r="U403" s="31"/>
      <c r="V403" s="31"/>
      <c r="W403" s="31"/>
      <c r="X403" s="34"/>
      <c r="Y403" s="34"/>
      <c r="Z403" s="31"/>
      <c r="AA403" s="31"/>
      <c r="AB403" s="31"/>
      <c r="AC403" s="31"/>
      <c r="AD403" s="31"/>
      <c r="AE403" s="31"/>
      <c r="AF403" s="31"/>
      <c r="AG403" s="31"/>
      <c r="AH403" s="35"/>
      <c r="AI403" s="31"/>
      <c r="AJ403" s="31"/>
      <c r="AK403" s="31"/>
      <c r="AL403" s="31"/>
    </row>
    <row r="404" ht="12.0" customHeight="1">
      <c r="A404" s="30"/>
      <c r="B404" s="31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2"/>
      <c r="N404" s="30"/>
      <c r="O404" s="30"/>
      <c r="P404" s="30"/>
      <c r="Q404" s="30"/>
      <c r="R404" s="30"/>
      <c r="S404" s="30"/>
      <c r="T404" s="33"/>
      <c r="U404" s="31"/>
      <c r="V404" s="31"/>
      <c r="W404" s="31"/>
      <c r="X404" s="34"/>
      <c r="Y404" s="34"/>
      <c r="Z404" s="31"/>
      <c r="AA404" s="31"/>
      <c r="AB404" s="31"/>
      <c r="AC404" s="31"/>
      <c r="AD404" s="31"/>
      <c r="AE404" s="31"/>
      <c r="AF404" s="31"/>
      <c r="AG404" s="31"/>
      <c r="AH404" s="35"/>
      <c r="AI404" s="31"/>
      <c r="AJ404" s="31"/>
      <c r="AK404" s="31"/>
      <c r="AL404" s="31"/>
    </row>
    <row r="405" ht="12.0" customHeight="1">
      <c r="A405" s="30"/>
      <c r="B405" s="31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2"/>
      <c r="N405" s="30"/>
      <c r="O405" s="30"/>
      <c r="P405" s="30"/>
      <c r="Q405" s="30"/>
      <c r="R405" s="30"/>
      <c r="S405" s="30"/>
      <c r="T405" s="33"/>
      <c r="U405" s="31"/>
      <c r="V405" s="31"/>
      <c r="W405" s="31"/>
      <c r="X405" s="34"/>
      <c r="Y405" s="34"/>
      <c r="Z405" s="31"/>
      <c r="AA405" s="31"/>
      <c r="AB405" s="31"/>
      <c r="AC405" s="31"/>
      <c r="AD405" s="31"/>
      <c r="AE405" s="31"/>
      <c r="AF405" s="31"/>
      <c r="AG405" s="31"/>
      <c r="AH405" s="35"/>
      <c r="AI405" s="31"/>
      <c r="AJ405" s="31"/>
      <c r="AK405" s="31"/>
      <c r="AL405" s="31"/>
    </row>
    <row r="406" ht="12.0" customHeight="1">
      <c r="A406" s="30"/>
      <c r="B406" s="31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2"/>
      <c r="N406" s="30"/>
      <c r="O406" s="30"/>
      <c r="P406" s="30"/>
      <c r="Q406" s="30"/>
      <c r="R406" s="30"/>
      <c r="S406" s="30"/>
      <c r="T406" s="33"/>
      <c r="U406" s="31"/>
      <c r="V406" s="31"/>
      <c r="W406" s="31"/>
      <c r="X406" s="34"/>
      <c r="Y406" s="34"/>
      <c r="Z406" s="31"/>
      <c r="AA406" s="31"/>
      <c r="AB406" s="31"/>
      <c r="AC406" s="31"/>
      <c r="AD406" s="31"/>
      <c r="AE406" s="31"/>
      <c r="AF406" s="31"/>
      <c r="AG406" s="31"/>
      <c r="AH406" s="35"/>
      <c r="AI406" s="31"/>
      <c r="AJ406" s="31"/>
      <c r="AK406" s="31"/>
      <c r="AL406" s="31"/>
    </row>
    <row r="407" ht="12.0" customHeight="1">
      <c r="A407" s="30"/>
      <c r="B407" s="31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2"/>
      <c r="N407" s="30"/>
      <c r="O407" s="30"/>
      <c r="P407" s="30"/>
      <c r="Q407" s="30"/>
      <c r="R407" s="30"/>
      <c r="S407" s="30"/>
      <c r="T407" s="33"/>
      <c r="U407" s="31"/>
      <c r="V407" s="31"/>
      <c r="W407" s="31"/>
      <c r="X407" s="34"/>
      <c r="Y407" s="34"/>
      <c r="Z407" s="31"/>
      <c r="AA407" s="31"/>
      <c r="AB407" s="31"/>
      <c r="AC407" s="31"/>
      <c r="AD407" s="31"/>
      <c r="AE407" s="31"/>
      <c r="AF407" s="31"/>
      <c r="AG407" s="31"/>
      <c r="AH407" s="35"/>
      <c r="AI407" s="31"/>
      <c r="AJ407" s="31"/>
      <c r="AK407" s="31"/>
      <c r="AL407" s="31"/>
    </row>
    <row r="408" ht="12.0" customHeight="1">
      <c r="A408" s="30"/>
      <c r="B408" s="31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2"/>
      <c r="N408" s="30"/>
      <c r="O408" s="30"/>
      <c r="P408" s="30"/>
      <c r="Q408" s="30"/>
      <c r="R408" s="30"/>
      <c r="S408" s="30"/>
      <c r="T408" s="33"/>
      <c r="U408" s="31"/>
      <c r="V408" s="31"/>
      <c r="W408" s="31"/>
      <c r="X408" s="34"/>
      <c r="Y408" s="34"/>
      <c r="Z408" s="31"/>
      <c r="AA408" s="31"/>
      <c r="AB408" s="31"/>
      <c r="AC408" s="31"/>
      <c r="AD408" s="31"/>
      <c r="AE408" s="31"/>
      <c r="AF408" s="31"/>
      <c r="AG408" s="31"/>
      <c r="AH408" s="35"/>
      <c r="AI408" s="31"/>
      <c r="AJ408" s="31"/>
      <c r="AK408" s="31"/>
      <c r="AL408" s="31"/>
    </row>
    <row r="409" ht="12.0" customHeight="1">
      <c r="A409" s="30"/>
      <c r="B409" s="31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2"/>
      <c r="N409" s="30"/>
      <c r="O409" s="30"/>
      <c r="P409" s="30"/>
      <c r="Q409" s="30"/>
      <c r="R409" s="30"/>
      <c r="S409" s="30"/>
      <c r="T409" s="33"/>
      <c r="U409" s="31"/>
      <c r="V409" s="31"/>
      <c r="W409" s="31"/>
      <c r="X409" s="34"/>
      <c r="Y409" s="34"/>
      <c r="Z409" s="31"/>
      <c r="AA409" s="31"/>
      <c r="AB409" s="31"/>
      <c r="AC409" s="31"/>
      <c r="AD409" s="31"/>
      <c r="AE409" s="31"/>
      <c r="AF409" s="31"/>
      <c r="AG409" s="31"/>
      <c r="AH409" s="35"/>
      <c r="AI409" s="31"/>
      <c r="AJ409" s="31"/>
      <c r="AK409" s="31"/>
      <c r="AL409" s="31"/>
    </row>
    <row r="410" ht="12.0" customHeight="1">
      <c r="A410" s="30"/>
      <c r="B410" s="31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2"/>
      <c r="N410" s="30"/>
      <c r="O410" s="30"/>
      <c r="P410" s="30"/>
      <c r="Q410" s="30"/>
      <c r="R410" s="30"/>
      <c r="S410" s="30"/>
      <c r="T410" s="33"/>
      <c r="U410" s="31"/>
      <c r="V410" s="31"/>
      <c r="W410" s="31"/>
      <c r="X410" s="34"/>
      <c r="Y410" s="34"/>
      <c r="Z410" s="31"/>
      <c r="AA410" s="31"/>
      <c r="AB410" s="31"/>
      <c r="AC410" s="31"/>
      <c r="AD410" s="31"/>
      <c r="AE410" s="31"/>
      <c r="AF410" s="31"/>
      <c r="AG410" s="31"/>
      <c r="AH410" s="35"/>
      <c r="AI410" s="31"/>
      <c r="AJ410" s="31"/>
      <c r="AK410" s="31"/>
      <c r="AL410" s="31"/>
    </row>
    <row r="411" ht="12.0" customHeight="1">
      <c r="A411" s="30"/>
      <c r="B411" s="31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2"/>
      <c r="N411" s="30"/>
      <c r="O411" s="30"/>
      <c r="P411" s="30"/>
      <c r="Q411" s="30"/>
      <c r="R411" s="30"/>
      <c r="S411" s="30"/>
      <c r="T411" s="33"/>
      <c r="U411" s="31"/>
      <c r="V411" s="31"/>
      <c r="W411" s="31"/>
      <c r="X411" s="34"/>
      <c r="Y411" s="34"/>
      <c r="Z411" s="31"/>
      <c r="AA411" s="31"/>
      <c r="AB411" s="31"/>
      <c r="AC411" s="31"/>
      <c r="AD411" s="31"/>
      <c r="AE411" s="31"/>
      <c r="AF411" s="31"/>
      <c r="AG411" s="31"/>
      <c r="AH411" s="35"/>
      <c r="AI411" s="31"/>
      <c r="AJ411" s="31"/>
      <c r="AK411" s="31"/>
      <c r="AL411" s="31"/>
    </row>
    <row r="412" ht="12.0" customHeight="1">
      <c r="A412" s="30"/>
      <c r="B412" s="31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2"/>
      <c r="N412" s="30"/>
      <c r="O412" s="30"/>
      <c r="P412" s="30"/>
      <c r="Q412" s="30"/>
      <c r="R412" s="30"/>
      <c r="S412" s="30"/>
      <c r="T412" s="33"/>
      <c r="U412" s="31"/>
      <c r="V412" s="31"/>
      <c r="W412" s="31"/>
      <c r="X412" s="34"/>
      <c r="Y412" s="34"/>
      <c r="Z412" s="31"/>
      <c r="AA412" s="31"/>
      <c r="AB412" s="31"/>
      <c r="AC412" s="31"/>
      <c r="AD412" s="31"/>
      <c r="AE412" s="31"/>
      <c r="AF412" s="31"/>
      <c r="AG412" s="31"/>
      <c r="AH412" s="35"/>
      <c r="AI412" s="31"/>
      <c r="AJ412" s="31"/>
      <c r="AK412" s="31"/>
      <c r="AL412" s="31"/>
    </row>
    <row r="413" ht="12.0" customHeight="1">
      <c r="A413" s="30"/>
      <c r="B413" s="31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2"/>
      <c r="N413" s="30"/>
      <c r="O413" s="30"/>
      <c r="P413" s="30"/>
      <c r="Q413" s="30"/>
      <c r="R413" s="30"/>
      <c r="S413" s="30"/>
      <c r="T413" s="33"/>
      <c r="U413" s="31"/>
      <c r="V413" s="31"/>
      <c r="W413" s="31"/>
      <c r="X413" s="34"/>
      <c r="Y413" s="34"/>
      <c r="Z413" s="31"/>
      <c r="AA413" s="31"/>
      <c r="AB413" s="31"/>
      <c r="AC413" s="31"/>
      <c r="AD413" s="31"/>
      <c r="AE413" s="31"/>
      <c r="AF413" s="31"/>
      <c r="AG413" s="31"/>
      <c r="AH413" s="35"/>
      <c r="AI413" s="31"/>
      <c r="AJ413" s="31"/>
      <c r="AK413" s="31"/>
      <c r="AL413" s="31"/>
    </row>
    <row r="414" ht="12.0" customHeight="1">
      <c r="A414" s="30"/>
      <c r="B414" s="31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2"/>
      <c r="N414" s="30"/>
      <c r="O414" s="30"/>
      <c r="P414" s="30"/>
      <c r="Q414" s="30"/>
      <c r="R414" s="30"/>
      <c r="S414" s="30"/>
      <c r="T414" s="33"/>
      <c r="U414" s="31"/>
      <c r="V414" s="31"/>
      <c r="W414" s="31"/>
      <c r="X414" s="34"/>
      <c r="Y414" s="34"/>
      <c r="Z414" s="31"/>
      <c r="AA414" s="31"/>
      <c r="AB414" s="31"/>
      <c r="AC414" s="31"/>
      <c r="AD414" s="31"/>
      <c r="AE414" s="31"/>
      <c r="AF414" s="31"/>
      <c r="AG414" s="31"/>
      <c r="AH414" s="35"/>
      <c r="AI414" s="31"/>
      <c r="AJ414" s="31"/>
      <c r="AK414" s="31"/>
      <c r="AL414" s="31"/>
    </row>
    <row r="415" ht="12.0" customHeight="1">
      <c r="A415" s="30"/>
      <c r="B415" s="31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2"/>
      <c r="N415" s="30"/>
      <c r="O415" s="30"/>
      <c r="P415" s="30"/>
      <c r="Q415" s="30"/>
      <c r="R415" s="30"/>
      <c r="S415" s="30"/>
      <c r="T415" s="33"/>
      <c r="U415" s="31"/>
      <c r="V415" s="31"/>
      <c r="W415" s="31"/>
      <c r="X415" s="34"/>
      <c r="Y415" s="34"/>
      <c r="Z415" s="31"/>
      <c r="AA415" s="31"/>
      <c r="AB415" s="31"/>
      <c r="AC415" s="31"/>
      <c r="AD415" s="31"/>
      <c r="AE415" s="31"/>
      <c r="AF415" s="31"/>
      <c r="AG415" s="31"/>
      <c r="AH415" s="35"/>
      <c r="AI415" s="31"/>
      <c r="AJ415" s="31"/>
      <c r="AK415" s="31"/>
      <c r="AL415" s="31"/>
    </row>
    <row r="416" ht="12.0" customHeight="1">
      <c r="A416" s="30"/>
      <c r="B416" s="31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2"/>
      <c r="N416" s="30"/>
      <c r="O416" s="30"/>
      <c r="P416" s="30"/>
      <c r="Q416" s="30"/>
      <c r="R416" s="30"/>
      <c r="S416" s="30"/>
      <c r="T416" s="33"/>
      <c r="U416" s="31"/>
      <c r="V416" s="31"/>
      <c r="W416" s="31"/>
      <c r="X416" s="34"/>
      <c r="Y416" s="34"/>
      <c r="Z416" s="31"/>
      <c r="AA416" s="31"/>
      <c r="AB416" s="31"/>
      <c r="AC416" s="31"/>
      <c r="AD416" s="31"/>
      <c r="AE416" s="31"/>
      <c r="AF416" s="31"/>
      <c r="AG416" s="31"/>
      <c r="AH416" s="35"/>
      <c r="AI416" s="31"/>
      <c r="AJ416" s="31"/>
      <c r="AK416" s="31"/>
      <c r="AL416" s="31"/>
    </row>
    <row r="417" ht="12.0" customHeight="1">
      <c r="A417" s="30"/>
      <c r="B417" s="31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2"/>
      <c r="N417" s="30"/>
      <c r="O417" s="30"/>
      <c r="P417" s="30"/>
      <c r="Q417" s="30"/>
      <c r="R417" s="30"/>
      <c r="S417" s="30"/>
      <c r="T417" s="33"/>
      <c r="U417" s="31"/>
      <c r="V417" s="31"/>
      <c r="W417" s="31"/>
      <c r="X417" s="34"/>
      <c r="Y417" s="34"/>
      <c r="Z417" s="31"/>
      <c r="AA417" s="31"/>
      <c r="AB417" s="31"/>
      <c r="AC417" s="31"/>
      <c r="AD417" s="31"/>
      <c r="AE417" s="31"/>
      <c r="AF417" s="31"/>
      <c r="AG417" s="31"/>
      <c r="AH417" s="35"/>
      <c r="AI417" s="31"/>
      <c r="AJ417" s="31"/>
      <c r="AK417" s="31"/>
      <c r="AL417" s="31"/>
    </row>
    <row r="418" ht="12.0" customHeight="1">
      <c r="A418" s="30"/>
      <c r="B418" s="31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2"/>
      <c r="N418" s="30"/>
      <c r="O418" s="30"/>
      <c r="P418" s="30"/>
      <c r="Q418" s="30"/>
      <c r="R418" s="30"/>
      <c r="S418" s="30"/>
      <c r="T418" s="33"/>
      <c r="U418" s="31"/>
      <c r="V418" s="31"/>
      <c r="W418" s="31"/>
      <c r="X418" s="34"/>
      <c r="Y418" s="34"/>
      <c r="Z418" s="31"/>
      <c r="AA418" s="31"/>
      <c r="AB418" s="31"/>
      <c r="AC418" s="31"/>
      <c r="AD418" s="31"/>
      <c r="AE418" s="31"/>
      <c r="AF418" s="31"/>
      <c r="AG418" s="31"/>
      <c r="AH418" s="35"/>
      <c r="AI418" s="31"/>
      <c r="AJ418" s="31"/>
      <c r="AK418" s="31"/>
      <c r="AL418" s="31"/>
    </row>
    <row r="419" ht="12.0" customHeight="1">
      <c r="A419" s="30"/>
      <c r="B419" s="31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2"/>
      <c r="N419" s="30"/>
      <c r="O419" s="30"/>
      <c r="P419" s="30"/>
      <c r="Q419" s="30"/>
      <c r="R419" s="30"/>
      <c r="S419" s="30"/>
      <c r="T419" s="33"/>
      <c r="U419" s="31"/>
      <c r="V419" s="31"/>
      <c r="W419" s="31"/>
      <c r="X419" s="34"/>
      <c r="Y419" s="34"/>
      <c r="Z419" s="31"/>
      <c r="AA419" s="31"/>
      <c r="AB419" s="31"/>
      <c r="AC419" s="31"/>
      <c r="AD419" s="31"/>
      <c r="AE419" s="31"/>
      <c r="AF419" s="31"/>
      <c r="AG419" s="31"/>
      <c r="AH419" s="35"/>
      <c r="AI419" s="31"/>
      <c r="AJ419" s="31"/>
      <c r="AK419" s="31"/>
      <c r="AL419" s="31"/>
    </row>
    <row r="420" ht="12.0" customHeight="1">
      <c r="A420" s="30"/>
      <c r="B420" s="31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2"/>
      <c r="N420" s="30"/>
      <c r="O420" s="30"/>
      <c r="P420" s="30"/>
      <c r="Q420" s="30"/>
      <c r="R420" s="30"/>
      <c r="S420" s="30"/>
      <c r="T420" s="33"/>
      <c r="U420" s="31"/>
      <c r="V420" s="31"/>
      <c r="W420" s="31"/>
      <c r="X420" s="34"/>
      <c r="Y420" s="34"/>
      <c r="Z420" s="31"/>
      <c r="AA420" s="31"/>
      <c r="AB420" s="31"/>
      <c r="AC420" s="31"/>
      <c r="AD420" s="31"/>
      <c r="AE420" s="31"/>
      <c r="AF420" s="31"/>
      <c r="AG420" s="31"/>
      <c r="AH420" s="35"/>
      <c r="AI420" s="31"/>
      <c r="AJ420" s="31"/>
      <c r="AK420" s="31"/>
      <c r="AL420" s="31"/>
    </row>
    <row r="421" ht="12.0" customHeight="1">
      <c r="A421" s="30"/>
      <c r="B421" s="31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2"/>
      <c r="N421" s="30"/>
      <c r="O421" s="30"/>
      <c r="P421" s="30"/>
      <c r="Q421" s="30"/>
      <c r="R421" s="30"/>
      <c r="S421" s="30"/>
      <c r="T421" s="33"/>
      <c r="U421" s="31"/>
      <c r="V421" s="31"/>
      <c r="W421" s="31"/>
      <c r="X421" s="34"/>
      <c r="Y421" s="34"/>
      <c r="Z421" s="31"/>
      <c r="AA421" s="31"/>
      <c r="AB421" s="31"/>
      <c r="AC421" s="31"/>
      <c r="AD421" s="31"/>
      <c r="AE421" s="31"/>
      <c r="AF421" s="31"/>
      <c r="AG421" s="31"/>
      <c r="AH421" s="35"/>
      <c r="AI421" s="31"/>
      <c r="AJ421" s="31"/>
      <c r="AK421" s="31"/>
      <c r="AL421" s="31"/>
    </row>
    <row r="422" ht="12.0" customHeight="1">
      <c r="A422" s="30"/>
      <c r="B422" s="31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2"/>
      <c r="N422" s="30"/>
      <c r="O422" s="30"/>
      <c r="P422" s="30"/>
      <c r="Q422" s="30"/>
      <c r="R422" s="30"/>
      <c r="S422" s="30"/>
      <c r="T422" s="33"/>
      <c r="U422" s="31"/>
      <c r="V422" s="31"/>
      <c r="W422" s="31"/>
      <c r="X422" s="34"/>
      <c r="Y422" s="34"/>
      <c r="Z422" s="31"/>
      <c r="AA422" s="31"/>
      <c r="AB422" s="31"/>
      <c r="AC422" s="31"/>
      <c r="AD422" s="31"/>
      <c r="AE422" s="31"/>
      <c r="AF422" s="31"/>
      <c r="AG422" s="31"/>
      <c r="AH422" s="35"/>
      <c r="AI422" s="31"/>
      <c r="AJ422" s="31"/>
      <c r="AK422" s="31"/>
      <c r="AL422" s="31"/>
    </row>
    <row r="423" ht="12.0" customHeight="1">
      <c r="A423" s="30"/>
      <c r="B423" s="31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2"/>
      <c r="N423" s="30"/>
      <c r="O423" s="30"/>
      <c r="P423" s="30"/>
      <c r="Q423" s="30"/>
      <c r="R423" s="30"/>
      <c r="S423" s="30"/>
      <c r="T423" s="33"/>
      <c r="U423" s="31"/>
      <c r="V423" s="31"/>
      <c r="W423" s="31"/>
      <c r="X423" s="34"/>
      <c r="Y423" s="34"/>
      <c r="Z423" s="31"/>
      <c r="AA423" s="31"/>
      <c r="AB423" s="31"/>
      <c r="AC423" s="31"/>
      <c r="AD423" s="31"/>
      <c r="AE423" s="31"/>
      <c r="AF423" s="31"/>
      <c r="AG423" s="31"/>
      <c r="AH423" s="35"/>
      <c r="AI423" s="31"/>
      <c r="AJ423" s="31"/>
      <c r="AK423" s="31"/>
      <c r="AL423" s="31"/>
    </row>
    <row r="424" ht="12.0" customHeight="1">
      <c r="A424" s="30"/>
      <c r="B424" s="31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2"/>
      <c r="N424" s="30"/>
      <c r="O424" s="30"/>
      <c r="P424" s="30"/>
      <c r="Q424" s="30"/>
      <c r="R424" s="30"/>
      <c r="S424" s="30"/>
      <c r="T424" s="33"/>
      <c r="U424" s="31"/>
      <c r="V424" s="31"/>
      <c r="W424" s="31"/>
      <c r="X424" s="34"/>
      <c r="Y424" s="34"/>
      <c r="Z424" s="31"/>
      <c r="AA424" s="31"/>
      <c r="AB424" s="31"/>
      <c r="AC424" s="31"/>
      <c r="AD424" s="31"/>
      <c r="AE424" s="31"/>
      <c r="AF424" s="31"/>
      <c r="AG424" s="31"/>
      <c r="AH424" s="35"/>
      <c r="AI424" s="31"/>
      <c r="AJ424" s="31"/>
      <c r="AK424" s="31"/>
      <c r="AL424" s="31"/>
    </row>
    <row r="425" ht="12.0" customHeight="1">
      <c r="A425" s="30"/>
      <c r="B425" s="31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2"/>
      <c r="N425" s="30"/>
      <c r="O425" s="30"/>
      <c r="P425" s="30"/>
      <c r="Q425" s="30"/>
      <c r="R425" s="30"/>
      <c r="S425" s="30"/>
      <c r="T425" s="33"/>
      <c r="U425" s="31"/>
      <c r="V425" s="31"/>
      <c r="W425" s="31"/>
      <c r="X425" s="34"/>
      <c r="Y425" s="34"/>
      <c r="Z425" s="31"/>
      <c r="AA425" s="31"/>
      <c r="AB425" s="31"/>
      <c r="AC425" s="31"/>
      <c r="AD425" s="31"/>
      <c r="AE425" s="31"/>
      <c r="AF425" s="31"/>
      <c r="AG425" s="31"/>
      <c r="AH425" s="35"/>
      <c r="AI425" s="31"/>
      <c r="AJ425" s="31"/>
      <c r="AK425" s="31"/>
      <c r="AL425" s="31"/>
    </row>
    <row r="426" ht="12.0" customHeight="1">
      <c r="A426" s="30"/>
      <c r="B426" s="31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2"/>
      <c r="N426" s="30"/>
      <c r="O426" s="30"/>
      <c r="P426" s="30"/>
      <c r="Q426" s="30"/>
      <c r="R426" s="30"/>
      <c r="S426" s="30"/>
      <c r="T426" s="33"/>
      <c r="U426" s="31"/>
      <c r="V426" s="31"/>
      <c r="W426" s="31"/>
      <c r="X426" s="34"/>
      <c r="Y426" s="34"/>
      <c r="Z426" s="31"/>
      <c r="AA426" s="31"/>
      <c r="AB426" s="31"/>
      <c r="AC426" s="31"/>
      <c r="AD426" s="31"/>
      <c r="AE426" s="31"/>
      <c r="AF426" s="31"/>
      <c r="AG426" s="31"/>
      <c r="AH426" s="35"/>
      <c r="AI426" s="31"/>
      <c r="AJ426" s="31"/>
      <c r="AK426" s="31"/>
      <c r="AL426" s="31"/>
    </row>
    <row r="427" ht="12.0" customHeight="1">
      <c r="A427" s="30"/>
      <c r="B427" s="31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2"/>
      <c r="N427" s="30"/>
      <c r="O427" s="30"/>
      <c r="P427" s="30"/>
      <c r="Q427" s="30"/>
      <c r="R427" s="30"/>
      <c r="S427" s="30"/>
      <c r="T427" s="33"/>
      <c r="U427" s="31"/>
      <c r="V427" s="31"/>
      <c r="W427" s="31"/>
      <c r="X427" s="34"/>
      <c r="Y427" s="34"/>
      <c r="Z427" s="31"/>
      <c r="AA427" s="31"/>
      <c r="AB427" s="31"/>
      <c r="AC427" s="31"/>
      <c r="AD427" s="31"/>
      <c r="AE427" s="31"/>
      <c r="AF427" s="31"/>
      <c r="AG427" s="31"/>
      <c r="AH427" s="35"/>
      <c r="AI427" s="31"/>
      <c r="AJ427" s="31"/>
      <c r="AK427" s="31"/>
      <c r="AL427" s="31"/>
    </row>
    <row r="428" ht="12.0" customHeight="1">
      <c r="A428" s="30"/>
      <c r="B428" s="31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2"/>
      <c r="N428" s="30"/>
      <c r="O428" s="30"/>
      <c r="P428" s="30"/>
      <c r="Q428" s="30"/>
      <c r="R428" s="30"/>
      <c r="S428" s="30"/>
      <c r="T428" s="33"/>
      <c r="U428" s="31"/>
      <c r="V428" s="31"/>
      <c r="W428" s="31"/>
      <c r="X428" s="34"/>
      <c r="Y428" s="34"/>
      <c r="Z428" s="31"/>
      <c r="AA428" s="31"/>
      <c r="AB428" s="31"/>
      <c r="AC428" s="31"/>
      <c r="AD428" s="31"/>
      <c r="AE428" s="31"/>
      <c r="AF428" s="31"/>
      <c r="AG428" s="31"/>
      <c r="AH428" s="35"/>
      <c r="AI428" s="31"/>
      <c r="AJ428" s="31"/>
      <c r="AK428" s="31"/>
      <c r="AL428" s="31"/>
    </row>
    <row r="429" ht="12.0" customHeight="1">
      <c r="A429" s="30"/>
      <c r="B429" s="31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2"/>
      <c r="N429" s="30"/>
      <c r="O429" s="30"/>
      <c r="P429" s="30"/>
      <c r="Q429" s="30"/>
      <c r="R429" s="30"/>
      <c r="S429" s="30"/>
      <c r="T429" s="33"/>
      <c r="U429" s="31"/>
      <c r="V429" s="31"/>
      <c r="W429" s="31"/>
      <c r="X429" s="34"/>
      <c r="Y429" s="34"/>
      <c r="Z429" s="31"/>
      <c r="AA429" s="31"/>
      <c r="AB429" s="31"/>
      <c r="AC429" s="31"/>
      <c r="AD429" s="31"/>
      <c r="AE429" s="31"/>
      <c r="AF429" s="31"/>
      <c r="AG429" s="31"/>
      <c r="AH429" s="35"/>
      <c r="AI429" s="31"/>
      <c r="AJ429" s="31"/>
      <c r="AK429" s="31"/>
      <c r="AL429" s="31"/>
    </row>
    <row r="430" ht="12.0" customHeight="1">
      <c r="A430" s="30"/>
      <c r="B430" s="31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2"/>
      <c r="N430" s="30"/>
      <c r="O430" s="30"/>
      <c r="P430" s="30"/>
      <c r="Q430" s="30"/>
      <c r="R430" s="30"/>
      <c r="S430" s="30"/>
      <c r="T430" s="33"/>
      <c r="U430" s="31"/>
      <c r="V430" s="31"/>
      <c r="W430" s="31"/>
      <c r="X430" s="34"/>
      <c r="Y430" s="34"/>
      <c r="Z430" s="31"/>
      <c r="AA430" s="31"/>
      <c r="AB430" s="31"/>
      <c r="AC430" s="31"/>
      <c r="AD430" s="31"/>
      <c r="AE430" s="31"/>
      <c r="AF430" s="31"/>
      <c r="AG430" s="31"/>
      <c r="AH430" s="35"/>
      <c r="AI430" s="31"/>
      <c r="AJ430" s="31"/>
      <c r="AK430" s="31"/>
      <c r="AL430" s="31"/>
    </row>
    <row r="431" ht="12.0" customHeight="1">
      <c r="A431" s="30"/>
      <c r="B431" s="31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2"/>
      <c r="N431" s="30"/>
      <c r="O431" s="30"/>
      <c r="P431" s="30"/>
      <c r="Q431" s="30"/>
      <c r="R431" s="30"/>
      <c r="S431" s="30"/>
      <c r="T431" s="33"/>
      <c r="U431" s="31"/>
      <c r="V431" s="31"/>
      <c r="W431" s="31"/>
      <c r="X431" s="34"/>
      <c r="Y431" s="34"/>
      <c r="Z431" s="31"/>
      <c r="AA431" s="31"/>
      <c r="AB431" s="31"/>
      <c r="AC431" s="31"/>
      <c r="AD431" s="31"/>
      <c r="AE431" s="31"/>
      <c r="AF431" s="31"/>
      <c r="AG431" s="31"/>
      <c r="AH431" s="35"/>
      <c r="AI431" s="31"/>
      <c r="AJ431" s="31"/>
      <c r="AK431" s="31"/>
      <c r="AL431" s="31"/>
    </row>
    <row r="432" ht="12.0" customHeight="1">
      <c r="A432" s="30"/>
      <c r="B432" s="31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2"/>
      <c r="N432" s="30"/>
      <c r="O432" s="30"/>
      <c r="P432" s="30"/>
      <c r="Q432" s="30"/>
      <c r="R432" s="30"/>
      <c r="S432" s="30"/>
      <c r="T432" s="33"/>
      <c r="U432" s="31"/>
      <c r="V432" s="31"/>
      <c r="W432" s="31"/>
      <c r="X432" s="34"/>
      <c r="Y432" s="34"/>
      <c r="Z432" s="31"/>
      <c r="AA432" s="31"/>
      <c r="AB432" s="31"/>
      <c r="AC432" s="31"/>
      <c r="AD432" s="31"/>
      <c r="AE432" s="31"/>
      <c r="AF432" s="31"/>
      <c r="AG432" s="31"/>
      <c r="AH432" s="35"/>
      <c r="AI432" s="31"/>
      <c r="AJ432" s="31"/>
      <c r="AK432" s="31"/>
      <c r="AL432" s="31"/>
    </row>
    <row r="433" ht="12.0" customHeight="1">
      <c r="A433" s="30"/>
      <c r="B433" s="31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2"/>
      <c r="N433" s="30"/>
      <c r="O433" s="30"/>
      <c r="P433" s="30"/>
      <c r="Q433" s="30"/>
      <c r="R433" s="30"/>
      <c r="S433" s="30"/>
      <c r="T433" s="33"/>
      <c r="U433" s="31"/>
      <c r="V433" s="31"/>
      <c r="W433" s="31"/>
      <c r="X433" s="34"/>
      <c r="Y433" s="34"/>
      <c r="Z433" s="31"/>
      <c r="AA433" s="31"/>
      <c r="AB433" s="31"/>
      <c r="AC433" s="31"/>
      <c r="AD433" s="31"/>
      <c r="AE433" s="31"/>
      <c r="AF433" s="31"/>
      <c r="AG433" s="31"/>
      <c r="AH433" s="35"/>
      <c r="AI433" s="31"/>
      <c r="AJ433" s="31"/>
      <c r="AK433" s="31"/>
      <c r="AL433" s="31"/>
    </row>
    <row r="434" ht="12.0" customHeight="1">
      <c r="A434" s="30"/>
      <c r="B434" s="31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2"/>
      <c r="N434" s="30"/>
      <c r="O434" s="30"/>
      <c r="P434" s="30"/>
      <c r="Q434" s="30"/>
      <c r="R434" s="30"/>
      <c r="S434" s="30"/>
      <c r="T434" s="33"/>
      <c r="U434" s="31"/>
      <c r="V434" s="31"/>
      <c r="W434" s="31"/>
      <c r="X434" s="34"/>
      <c r="Y434" s="34"/>
      <c r="Z434" s="31"/>
      <c r="AA434" s="31"/>
      <c r="AB434" s="31"/>
      <c r="AC434" s="31"/>
      <c r="AD434" s="31"/>
      <c r="AE434" s="31"/>
      <c r="AF434" s="31"/>
      <c r="AG434" s="31"/>
      <c r="AH434" s="35"/>
      <c r="AI434" s="31"/>
      <c r="AJ434" s="31"/>
      <c r="AK434" s="31"/>
      <c r="AL434" s="31"/>
    </row>
    <row r="435" ht="12.0" customHeight="1">
      <c r="A435" s="30"/>
      <c r="B435" s="31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2"/>
      <c r="N435" s="30"/>
      <c r="O435" s="30"/>
      <c r="P435" s="30"/>
      <c r="Q435" s="30"/>
      <c r="R435" s="30"/>
      <c r="S435" s="30"/>
      <c r="T435" s="33"/>
      <c r="U435" s="31"/>
      <c r="V435" s="31"/>
      <c r="W435" s="31"/>
      <c r="X435" s="34"/>
      <c r="Y435" s="34"/>
      <c r="Z435" s="31"/>
      <c r="AA435" s="31"/>
      <c r="AB435" s="31"/>
      <c r="AC435" s="31"/>
      <c r="AD435" s="31"/>
      <c r="AE435" s="31"/>
      <c r="AF435" s="31"/>
      <c r="AG435" s="31"/>
      <c r="AH435" s="35"/>
      <c r="AI435" s="31"/>
      <c r="AJ435" s="31"/>
      <c r="AK435" s="31"/>
      <c r="AL435" s="31"/>
    </row>
    <row r="436" ht="12.0" customHeight="1">
      <c r="A436" s="30"/>
      <c r="B436" s="31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2"/>
      <c r="N436" s="30"/>
      <c r="O436" s="30"/>
      <c r="P436" s="30"/>
      <c r="Q436" s="30"/>
      <c r="R436" s="30"/>
      <c r="S436" s="30"/>
      <c r="T436" s="33"/>
      <c r="U436" s="31"/>
      <c r="V436" s="31"/>
      <c r="W436" s="31"/>
      <c r="X436" s="34"/>
      <c r="Y436" s="34"/>
      <c r="Z436" s="31"/>
      <c r="AA436" s="31"/>
      <c r="AB436" s="31"/>
      <c r="AC436" s="31"/>
      <c r="AD436" s="31"/>
      <c r="AE436" s="31"/>
      <c r="AF436" s="31"/>
      <c r="AG436" s="31"/>
      <c r="AH436" s="35"/>
      <c r="AI436" s="31"/>
      <c r="AJ436" s="31"/>
      <c r="AK436" s="31"/>
      <c r="AL436" s="31"/>
    </row>
    <row r="437" ht="12.0" customHeight="1">
      <c r="A437" s="30"/>
      <c r="B437" s="31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2"/>
      <c r="N437" s="30"/>
      <c r="O437" s="30"/>
      <c r="P437" s="30"/>
      <c r="Q437" s="30"/>
      <c r="R437" s="30"/>
      <c r="S437" s="30"/>
      <c r="T437" s="33"/>
      <c r="U437" s="31"/>
      <c r="V437" s="31"/>
      <c r="W437" s="31"/>
      <c r="X437" s="34"/>
      <c r="Y437" s="34"/>
      <c r="Z437" s="31"/>
      <c r="AA437" s="31"/>
      <c r="AB437" s="31"/>
      <c r="AC437" s="31"/>
      <c r="AD437" s="31"/>
      <c r="AE437" s="31"/>
      <c r="AF437" s="31"/>
      <c r="AG437" s="31"/>
      <c r="AH437" s="35"/>
      <c r="AI437" s="31"/>
      <c r="AJ437" s="31"/>
      <c r="AK437" s="31"/>
      <c r="AL437" s="31"/>
    </row>
    <row r="438" ht="12.0" customHeight="1">
      <c r="A438" s="30"/>
      <c r="B438" s="31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2"/>
      <c r="N438" s="30"/>
      <c r="O438" s="30"/>
      <c r="P438" s="30"/>
      <c r="Q438" s="30"/>
      <c r="R438" s="30"/>
      <c r="S438" s="30"/>
      <c r="T438" s="33"/>
      <c r="U438" s="31"/>
      <c r="V438" s="31"/>
      <c r="W438" s="31"/>
      <c r="X438" s="34"/>
      <c r="Y438" s="34"/>
      <c r="Z438" s="31"/>
      <c r="AA438" s="31"/>
      <c r="AB438" s="31"/>
      <c r="AC438" s="31"/>
      <c r="AD438" s="31"/>
      <c r="AE438" s="31"/>
      <c r="AF438" s="31"/>
      <c r="AG438" s="31"/>
      <c r="AH438" s="35"/>
      <c r="AI438" s="31"/>
      <c r="AJ438" s="31"/>
      <c r="AK438" s="31"/>
      <c r="AL438" s="31"/>
    </row>
    <row r="439" ht="12.0" customHeight="1">
      <c r="A439" s="30"/>
      <c r="B439" s="31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2"/>
      <c r="N439" s="30"/>
      <c r="O439" s="30"/>
      <c r="P439" s="30"/>
      <c r="Q439" s="30"/>
      <c r="R439" s="30"/>
      <c r="S439" s="30"/>
      <c r="T439" s="33"/>
      <c r="U439" s="31"/>
      <c r="V439" s="31"/>
      <c r="W439" s="31"/>
      <c r="X439" s="34"/>
      <c r="Y439" s="34"/>
      <c r="Z439" s="31"/>
      <c r="AA439" s="31"/>
      <c r="AB439" s="31"/>
      <c r="AC439" s="31"/>
      <c r="AD439" s="31"/>
      <c r="AE439" s="31"/>
      <c r="AF439" s="31"/>
      <c r="AG439" s="31"/>
      <c r="AH439" s="35"/>
      <c r="AI439" s="31"/>
      <c r="AJ439" s="31"/>
      <c r="AK439" s="31"/>
      <c r="AL439" s="31"/>
    </row>
    <row r="440" ht="12.0" customHeight="1">
      <c r="A440" s="30"/>
      <c r="B440" s="31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2"/>
      <c r="N440" s="30"/>
      <c r="O440" s="30"/>
      <c r="P440" s="30"/>
      <c r="Q440" s="30"/>
      <c r="R440" s="30"/>
      <c r="S440" s="30"/>
      <c r="T440" s="33"/>
      <c r="U440" s="31"/>
      <c r="V440" s="31"/>
      <c r="W440" s="31"/>
      <c r="X440" s="34"/>
      <c r="Y440" s="34"/>
      <c r="Z440" s="31"/>
      <c r="AA440" s="31"/>
      <c r="AB440" s="31"/>
      <c r="AC440" s="31"/>
      <c r="AD440" s="31"/>
      <c r="AE440" s="31"/>
      <c r="AF440" s="31"/>
      <c r="AG440" s="31"/>
      <c r="AH440" s="35"/>
      <c r="AI440" s="31"/>
      <c r="AJ440" s="31"/>
      <c r="AK440" s="31"/>
      <c r="AL440" s="31"/>
    </row>
    <row r="441" ht="12.0" customHeight="1">
      <c r="A441" s="30"/>
      <c r="B441" s="31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2"/>
      <c r="N441" s="30"/>
      <c r="O441" s="30"/>
      <c r="P441" s="30"/>
      <c r="Q441" s="30"/>
      <c r="R441" s="30"/>
      <c r="S441" s="30"/>
      <c r="T441" s="33"/>
      <c r="U441" s="31"/>
      <c r="V441" s="31"/>
      <c r="W441" s="31"/>
      <c r="X441" s="34"/>
      <c r="Y441" s="34"/>
      <c r="Z441" s="31"/>
      <c r="AA441" s="31"/>
      <c r="AB441" s="31"/>
      <c r="AC441" s="31"/>
      <c r="AD441" s="31"/>
      <c r="AE441" s="31"/>
      <c r="AF441" s="31"/>
      <c r="AG441" s="31"/>
      <c r="AH441" s="35"/>
      <c r="AI441" s="31"/>
      <c r="AJ441" s="31"/>
      <c r="AK441" s="31"/>
      <c r="AL441" s="31"/>
    </row>
    <row r="442" ht="12.0" customHeight="1">
      <c r="A442" s="30"/>
      <c r="B442" s="31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2"/>
      <c r="N442" s="30"/>
      <c r="O442" s="30"/>
      <c r="P442" s="30"/>
      <c r="Q442" s="30"/>
      <c r="R442" s="30"/>
      <c r="S442" s="30"/>
      <c r="T442" s="33"/>
      <c r="U442" s="31"/>
      <c r="V442" s="31"/>
      <c r="W442" s="31"/>
      <c r="X442" s="34"/>
      <c r="Y442" s="34"/>
      <c r="Z442" s="31"/>
      <c r="AA442" s="31"/>
      <c r="AB442" s="31"/>
      <c r="AC442" s="31"/>
      <c r="AD442" s="31"/>
      <c r="AE442" s="31"/>
      <c r="AF442" s="31"/>
      <c r="AG442" s="31"/>
      <c r="AH442" s="35"/>
      <c r="AI442" s="31"/>
      <c r="AJ442" s="31"/>
      <c r="AK442" s="31"/>
      <c r="AL442" s="31"/>
    </row>
    <row r="443" ht="12.0" customHeight="1">
      <c r="A443" s="30"/>
      <c r="B443" s="31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2"/>
      <c r="N443" s="30"/>
      <c r="O443" s="30"/>
      <c r="P443" s="30"/>
      <c r="Q443" s="30"/>
      <c r="R443" s="30"/>
      <c r="S443" s="30"/>
      <c r="T443" s="33"/>
      <c r="U443" s="31"/>
      <c r="V443" s="31"/>
      <c r="W443" s="31"/>
      <c r="X443" s="34"/>
      <c r="Y443" s="34"/>
      <c r="Z443" s="31"/>
      <c r="AA443" s="31"/>
      <c r="AB443" s="31"/>
      <c r="AC443" s="31"/>
      <c r="AD443" s="31"/>
      <c r="AE443" s="31"/>
      <c r="AF443" s="31"/>
      <c r="AG443" s="31"/>
      <c r="AH443" s="35"/>
      <c r="AI443" s="31"/>
      <c r="AJ443" s="31"/>
      <c r="AK443" s="31"/>
      <c r="AL443" s="31"/>
    </row>
    <row r="444" ht="12.0" customHeight="1">
      <c r="A444" s="30"/>
      <c r="B444" s="31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2"/>
      <c r="N444" s="30"/>
      <c r="O444" s="30"/>
      <c r="P444" s="30"/>
      <c r="Q444" s="30"/>
      <c r="R444" s="30"/>
      <c r="S444" s="30"/>
      <c r="T444" s="33"/>
      <c r="U444" s="31"/>
      <c r="V444" s="31"/>
      <c r="W444" s="31"/>
      <c r="X444" s="34"/>
      <c r="Y444" s="34"/>
      <c r="Z444" s="31"/>
      <c r="AA444" s="31"/>
      <c r="AB444" s="31"/>
      <c r="AC444" s="31"/>
      <c r="AD444" s="31"/>
      <c r="AE444" s="31"/>
      <c r="AF444" s="31"/>
      <c r="AG444" s="31"/>
      <c r="AH444" s="35"/>
      <c r="AI444" s="31"/>
      <c r="AJ444" s="31"/>
      <c r="AK444" s="31"/>
      <c r="AL444" s="31"/>
    </row>
    <row r="445" ht="15.75" customHeight="1">
      <c r="AH445" s="36"/>
    </row>
    <row r="446" ht="15.75" customHeight="1">
      <c r="AH446" s="36"/>
    </row>
    <row r="447" ht="15.75" customHeight="1">
      <c r="AH447" s="36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L2:AL244">
      <formula1>OR(NOT(ISERROR(DATEVALUE(AL2))), AND(ISNUMBER(AL2), LEFT(CELL("format", AL2))="D"))</formula1>
    </dataValidation>
    <dataValidation type="custom" allowBlank="1" showDropDown="1" sqref="T2:T244">
      <formula1>AND(ISNUMBER(T2),(NOT(OR(NOT(ISERROR(DATEVALUE(T2))), AND(ISNUMBER(T2), LEFT(CELL("format", T2))="D")))))</formula1>
    </dataValidation>
  </dataValidations>
  <hyperlinks>
    <hyperlink r:id="rId1" ref="U4"/>
    <hyperlink r:id="rId2" ref="U6"/>
    <hyperlink r:id="rId3" ref="U8"/>
    <hyperlink r:id="rId4" ref="U9"/>
    <hyperlink r:id="rId5" ref="U49"/>
    <hyperlink r:id="rId6" ref="U61"/>
    <hyperlink r:id="rId7" ref="U75"/>
    <hyperlink r:id="rId8" ref="U105"/>
    <hyperlink r:id="rId9" ref="U155"/>
    <hyperlink r:id="rId10" ref="U165"/>
    <hyperlink r:id="rId11" ref="U166"/>
    <hyperlink r:id="rId12" ref="U180"/>
    <hyperlink r:id="rId13" ref="U185"/>
    <hyperlink r:id="rId14" ref="U192"/>
    <hyperlink r:id="rId15" ref="U194"/>
    <hyperlink r:id="rId16" ref="U203"/>
  </hyperlinks>
  <printOptions/>
  <pageMargins bottom="0.75" footer="0.0" header="0.0" left="0.7" right="0.7" top="0.75"/>
  <pageSetup paperSize="9" orientation="landscape"/>
  <drawing r:id="rId17"/>
  <tableParts count="1">
    <tablePart r:id="rId1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3.29"/>
    <col customWidth="1" min="25" max="25" width="154.29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1166</v>
      </c>
      <c r="B2" s="7" t="s">
        <v>1167</v>
      </c>
      <c r="C2" s="7" t="s">
        <v>1168</v>
      </c>
      <c r="D2" s="7" t="s">
        <v>1169</v>
      </c>
      <c r="E2" s="7" t="s">
        <v>1170</v>
      </c>
      <c r="F2" s="7" t="s">
        <v>1171</v>
      </c>
      <c r="G2" s="7" t="s">
        <v>38</v>
      </c>
      <c r="H2" s="7" t="s">
        <v>39</v>
      </c>
      <c r="I2" s="7" t="s">
        <v>68</v>
      </c>
      <c r="J2" s="7">
        <v>152.479251055975</v>
      </c>
      <c r="K2" s="7">
        <v>-29.4855798088093</v>
      </c>
      <c r="L2" s="7" t="s">
        <v>41</v>
      </c>
      <c r="M2" s="7" t="s">
        <v>41</v>
      </c>
      <c r="N2" s="7" t="s">
        <v>1172</v>
      </c>
      <c r="O2" s="7" t="s">
        <v>1172</v>
      </c>
      <c r="P2" s="7"/>
      <c r="Q2" s="7"/>
      <c r="R2" s="7" t="s">
        <v>1173</v>
      </c>
      <c r="S2" s="7" t="s">
        <v>58</v>
      </c>
      <c r="T2" s="8">
        <v>0.0</v>
      </c>
      <c r="U2" s="7" t="s">
        <v>1174</v>
      </c>
      <c r="V2" s="7" t="s">
        <v>1175</v>
      </c>
      <c r="W2" s="7"/>
      <c r="X2" s="9">
        <v>1.0</v>
      </c>
      <c r="Y2" s="7" t="s">
        <v>1176</v>
      </c>
      <c r="Z2" s="7"/>
      <c r="AA2" s="10">
        <f>AH2</f>
        <v>241200</v>
      </c>
      <c r="AB2" s="7"/>
      <c r="AC2" s="7"/>
      <c r="AD2" s="7"/>
      <c r="AE2" s="7">
        <f t="shared" ref="AE2:AE22" si="1">AB2+AF2</f>
        <v>0</v>
      </c>
      <c r="AF2" s="7"/>
      <c r="AG2" s="10">
        <f t="shared" ref="AG2:AG22" si="2">AB2+AH2</f>
        <v>241200</v>
      </c>
      <c r="AH2" s="10">
        <f t="shared" ref="AH2:AH22" si="3">AI2*AJ2</f>
        <v>241200</v>
      </c>
      <c r="AI2" s="7">
        <v>4.0E7</v>
      </c>
      <c r="AJ2" s="7">
        <v>0.00603</v>
      </c>
      <c r="AK2" s="7">
        <v>1.0</v>
      </c>
      <c r="AL2" s="11">
        <v>45627.6391087963</v>
      </c>
    </row>
    <row r="3" ht="12.0" customHeight="1">
      <c r="A3" s="6" t="s">
        <v>584</v>
      </c>
      <c r="B3" s="7" t="s">
        <v>585</v>
      </c>
      <c r="C3" s="7" t="s">
        <v>1177</v>
      </c>
      <c r="D3" s="7" t="s">
        <v>1178</v>
      </c>
      <c r="E3" s="7" t="s">
        <v>1170</v>
      </c>
      <c r="F3" s="7"/>
      <c r="G3" s="7" t="s">
        <v>38</v>
      </c>
      <c r="H3" s="7" t="s">
        <v>39</v>
      </c>
      <c r="I3" s="7" t="s">
        <v>40</v>
      </c>
      <c r="J3" s="7">
        <v>119.12303096166936</v>
      </c>
      <c r="K3" s="7">
        <v>-30.975579370203615</v>
      </c>
      <c r="L3" s="7" t="s">
        <v>41</v>
      </c>
      <c r="M3" s="7" t="s">
        <v>1179</v>
      </c>
      <c r="N3" s="7" t="s">
        <v>589</v>
      </c>
      <c r="O3" s="7" t="s">
        <v>589</v>
      </c>
      <c r="P3" s="7" t="s">
        <v>590</v>
      </c>
      <c r="Q3" s="7" t="s">
        <v>590</v>
      </c>
      <c r="R3" s="7" t="s">
        <v>1180</v>
      </c>
      <c r="S3" s="7" t="s">
        <v>58</v>
      </c>
      <c r="T3" s="8">
        <v>0.0</v>
      </c>
      <c r="U3" s="7" t="s">
        <v>1181</v>
      </c>
      <c r="V3" s="7" t="s">
        <v>593</v>
      </c>
      <c r="W3" s="7"/>
      <c r="X3" s="7"/>
      <c r="Y3" s="7"/>
      <c r="Z3" s="7"/>
      <c r="AA3" s="7">
        <f>AB3+AF3</f>
        <v>368500</v>
      </c>
      <c r="AB3" s="7">
        <v>201000.0</v>
      </c>
      <c r="AC3" s="7"/>
      <c r="AD3" s="7"/>
      <c r="AE3" s="7">
        <f t="shared" si="1"/>
        <v>368500</v>
      </c>
      <c r="AF3" s="7">
        <v>167500.0</v>
      </c>
      <c r="AG3" s="10">
        <f t="shared" si="2"/>
        <v>201000</v>
      </c>
      <c r="AH3" s="10">
        <f t="shared" si="3"/>
        <v>0</v>
      </c>
      <c r="AI3" s="7"/>
      <c r="AJ3" s="7">
        <v>0.33165</v>
      </c>
      <c r="AK3" s="7">
        <v>1.5</v>
      </c>
      <c r="AL3" s="11">
        <v>45566.40347222222</v>
      </c>
    </row>
    <row r="4" ht="12.0" customHeight="1">
      <c r="A4" s="6" t="s">
        <v>1182</v>
      </c>
      <c r="B4" s="7" t="s">
        <v>1183</v>
      </c>
      <c r="C4" s="7" t="s">
        <v>1184</v>
      </c>
      <c r="D4" s="7" t="s">
        <v>1185</v>
      </c>
      <c r="E4" s="7" t="s">
        <v>1170</v>
      </c>
      <c r="F4" s="7"/>
      <c r="G4" s="7" t="s">
        <v>38</v>
      </c>
      <c r="H4" s="7" t="s">
        <v>39</v>
      </c>
      <c r="I4" s="7" t="s">
        <v>132</v>
      </c>
      <c r="J4" s="7">
        <v>139.18234236133367</v>
      </c>
      <c r="K4" s="7">
        <v>-18.971669614542336</v>
      </c>
      <c r="L4" s="7" t="s">
        <v>41</v>
      </c>
      <c r="M4" s="7" t="s">
        <v>1186</v>
      </c>
      <c r="N4" s="7" t="s">
        <v>1187</v>
      </c>
      <c r="O4" s="7" t="s">
        <v>1187</v>
      </c>
      <c r="P4" s="7"/>
      <c r="Q4" s="7"/>
      <c r="R4" s="7" t="s">
        <v>1188</v>
      </c>
      <c r="S4" s="7" t="s">
        <v>58</v>
      </c>
      <c r="T4" s="8">
        <v>199300.0</v>
      </c>
      <c r="U4" s="7" t="s">
        <v>1189</v>
      </c>
      <c r="V4" s="7" t="s">
        <v>1190</v>
      </c>
      <c r="W4" s="7"/>
      <c r="X4" s="9">
        <v>1.0</v>
      </c>
      <c r="Y4" s="7" t="s">
        <v>1191</v>
      </c>
      <c r="Z4" s="7"/>
      <c r="AA4" s="10">
        <f t="shared" ref="AA4:AA5" si="4">AB4+AC4+AF4</f>
        <v>59183.33333</v>
      </c>
      <c r="AB4" s="7"/>
      <c r="AC4" s="7"/>
      <c r="AD4" s="7"/>
      <c r="AE4" s="10">
        <f t="shared" si="1"/>
        <v>59183.33333</v>
      </c>
      <c r="AF4" s="10">
        <f>AH4</f>
        <v>59183.33333</v>
      </c>
      <c r="AG4" s="10">
        <f t="shared" si="2"/>
        <v>59183.33333</v>
      </c>
      <c r="AH4" s="10">
        <f t="shared" si="3"/>
        <v>59183.33333</v>
      </c>
      <c r="AI4" s="7">
        <f>26500000/3</f>
        <v>8833333.333</v>
      </c>
      <c r="AJ4" s="7">
        <v>0.0067</v>
      </c>
      <c r="AK4" s="7"/>
      <c r="AL4" s="11">
        <v>45510.69410879629</v>
      </c>
    </row>
    <row r="5" ht="12.0" customHeight="1">
      <c r="A5" s="6" t="s">
        <v>1192</v>
      </c>
      <c r="B5" s="7" t="s">
        <v>1193</v>
      </c>
      <c r="C5" s="7" t="s">
        <v>1194</v>
      </c>
      <c r="D5" s="7" t="s">
        <v>1195</v>
      </c>
      <c r="E5" s="7" t="s">
        <v>1170</v>
      </c>
      <c r="F5" s="7" t="s">
        <v>1196</v>
      </c>
      <c r="G5" s="7" t="s">
        <v>38</v>
      </c>
      <c r="H5" s="7" t="s">
        <v>39</v>
      </c>
      <c r="I5" s="7" t="s">
        <v>68</v>
      </c>
      <c r="J5" s="7">
        <v>150.68750025000406</v>
      </c>
      <c r="K5" s="7">
        <v>-30.195833499175816</v>
      </c>
      <c r="L5" s="7" t="s">
        <v>41</v>
      </c>
      <c r="M5" s="7" t="s">
        <v>1197</v>
      </c>
      <c r="N5" s="7" t="s">
        <v>1198</v>
      </c>
      <c r="O5" s="7" t="s">
        <v>1198</v>
      </c>
      <c r="P5" s="7"/>
      <c r="Q5" s="7"/>
      <c r="R5" s="7" t="s">
        <v>1199</v>
      </c>
      <c r="S5" s="7" t="s">
        <v>58</v>
      </c>
      <c r="T5" s="8">
        <v>2375.0</v>
      </c>
      <c r="U5" s="7" t="s">
        <v>1200</v>
      </c>
      <c r="V5" s="7" t="s">
        <v>1201</v>
      </c>
      <c r="W5" s="7"/>
      <c r="X5" s="9">
        <v>1.0</v>
      </c>
      <c r="Y5" s="7" t="s">
        <v>1202</v>
      </c>
      <c r="Z5" s="7"/>
      <c r="AA5" s="7">
        <f t="shared" si="4"/>
        <v>736000</v>
      </c>
      <c r="AB5" s="7">
        <v>166000.0</v>
      </c>
      <c r="AC5" s="7">
        <v>450000.0</v>
      </c>
      <c r="AD5" s="7"/>
      <c r="AE5" s="7">
        <f t="shared" si="1"/>
        <v>286000</v>
      </c>
      <c r="AF5" s="7">
        <v>120000.0</v>
      </c>
      <c r="AG5" s="10">
        <f t="shared" si="2"/>
        <v>302680</v>
      </c>
      <c r="AH5" s="10">
        <f t="shared" si="3"/>
        <v>136680</v>
      </c>
      <c r="AI5" s="7">
        <v>6000000.0</v>
      </c>
      <c r="AJ5" s="7">
        <v>0.02278</v>
      </c>
      <c r="AK5" s="7"/>
      <c r="AL5" s="11">
        <v>45671.67549768518</v>
      </c>
    </row>
    <row r="6" ht="12.0" customHeight="1">
      <c r="A6" s="6" t="s">
        <v>1203</v>
      </c>
      <c r="B6" s="7" t="s">
        <v>1204</v>
      </c>
      <c r="C6" s="7" t="s">
        <v>1205</v>
      </c>
      <c r="D6" s="7" t="s">
        <v>1206</v>
      </c>
      <c r="E6" s="7" t="s">
        <v>1170</v>
      </c>
      <c r="F6" s="7" t="s">
        <v>1207</v>
      </c>
      <c r="G6" s="7" t="s">
        <v>38</v>
      </c>
      <c r="H6" s="7" t="s">
        <v>39</v>
      </c>
      <c r="I6" s="7" t="s">
        <v>132</v>
      </c>
      <c r="J6" s="7">
        <v>150.66724194196314</v>
      </c>
      <c r="K6" s="7">
        <v>-23.316577767990825</v>
      </c>
      <c r="L6" s="7" t="s">
        <v>41</v>
      </c>
      <c r="M6" s="7" t="s">
        <v>1208</v>
      </c>
      <c r="N6" s="7" t="s">
        <v>1209</v>
      </c>
      <c r="O6" s="7" t="s">
        <v>1209</v>
      </c>
      <c r="P6" s="7"/>
      <c r="Q6" s="7"/>
      <c r="R6" s="7" t="s">
        <v>1210</v>
      </c>
      <c r="S6" s="7" t="s">
        <v>58</v>
      </c>
      <c r="T6" s="8">
        <v>0.0</v>
      </c>
      <c r="U6" s="7" t="s">
        <v>1211</v>
      </c>
      <c r="V6" s="7" t="s">
        <v>1212</v>
      </c>
      <c r="W6" s="7"/>
      <c r="X6" s="9">
        <v>1.0</v>
      </c>
      <c r="Y6" s="7" t="s">
        <v>1213</v>
      </c>
      <c r="Z6" s="7"/>
      <c r="AA6" s="7"/>
      <c r="AB6" s="7"/>
      <c r="AC6" s="7"/>
      <c r="AD6" s="7"/>
      <c r="AE6" s="7">
        <f t="shared" si="1"/>
        <v>0</v>
      </c>
      <c r="AF6" s="7"/>
      <c r="AG6" s="10">
        <f t="shared" si="2"/>
        <v>0</v>
      </c>
      <c r="AH6" s="10">
        <f t="shared" si="3"/>
        <v>0</v>
      </c>
      <c r="AI6" s="7"/>
      <c r="AJ6" s="7">
        <v>0.02211</v>
      </c>
      <c r="AK6" s="7"/>
      <c r="AL6" s="11">
        <v>45550.71025462963</v>
      </c>
    </row>
    <row r="7" ht="12.0" customHeight="1">
      <c r="A7" s="6" t="s">
        <v>495</v>
      </c>
      <c r="B7" s="7" t="s">
        <v>435</v>
      </c>
      <c r="C7" s="7" t="s">
        <v>497</v>
      </c>
      <c r="D7" s="7" t="s">
        <v>1214</v>
      </c>
      <c r="E7" s="7" t="s">
        <v>1170</v>
      </c>
      <c r="F7" s="7" t="s">
        <v>1215</v>
      </c>
      <c r="G7" s="7" t="s">
        <v>38</v>
      </c>
      <c r="H7" s="7" t="s">
        <v>39</v>
      </c>
      <c r="I7" s="7" t="s">
        <v>40</v>
      </c>
      <c r="J7" s="7">
        <v>118.99941844241708</v>
      </c>
      <c r="K7" s="7">
        <v>-27.15484464203001</v>
      </c>
      <c r="L7" s="7" t="s">
        <v>41</v>
      </c>
      <c r="M7" s="7" t="s">
        <v>1216</v>
      </c>
      <c r="N7" s="7" t="s">
        <v>500</v>
      </c>
      <c r="O7" s="7" t="s">
        <v>500</v>
      </c>
      <c r="P7" s="7"/>
      <c r="Q7" s="7"/>
      <c r="R7" s="7" t="s">
        <v>1217</v>
      </c>
      <c r="S7" s="7" t="s">
        <v>58</v>
      </c>
      <c r="T7" s="8">
        <v>13000.0</v>
      </c>
      <c r="U7" s="7" t="s">
        <v>1218</v>
      </c>
      <c r="V7" s="7" t="s">
        <v>502</v>
      </c>
      <c r="W7" s="7"/>
      <c r="X7" s="9">
        <v>1.0</v>
      </c>
      <c r="Y7" s="7" t="s">
        <v>1219</v>
      </c>
      <c r="Z7" s="7"/>
      <c r="AA7" s="7">
        <f t="shared" ref="AA7:AA9" si="5">AB7+AC7+AF7</f>
        <v>2670000</v>
      </c>
      <c r="AB7" s="7">
        <f>1000000*0.67</f>
        <v>670000</v>
      </c>
      <c r="AC7" s="7"/>
      <c r="AD7" s="7"/>
      <c r="AE7" s="7">
        <f t="shared" si="1"/>
        <v>2670000</v>
      </c>
      <c r="AF7" s="7">
        <v>2000000.0</v>
      </c>
      <c r="AG7" s="10">
        <f t="shared" si="2"/>
        <v>1433800</v>
      </c>
      <c r="AH7" s="10">
        <f t="shared" si="3"/>
        <v>763800</v>
      </c>
      <c r="AI7" s="7">
        <v>6000000.0</v>
      </c>
      <c r="AJ7" s="7">
        <v>0.1273</v>
      </c>
      <c r="AK7" s="7">
        <v>0.735</v>
      </c>
      <c r="AL7" s="11">
        <v>45692.68701388889</v>
      </c>
    </row>
    <row r="8" ht="12.0" customHeight="1">
      <c r="A8" s="6" t="s">
        <v>1220</v>
      </c>
      <c r="B8" s="7" t="s">
        <v>465</v>
      </c>
      <c r="C8" s="7" t="s">
        <v>1221</v>
      </c>
      <c r="D8" s="7" t="s">
        <v>1222</v>
      </c>
      <c r="E8" s="7" t="s">
        <v>1170</v>
      </c>
      <c r="F8" s="7"/>
      <c r="G8" s="7" t="s">
        <v>38</v>
      </c>
      <c r="H8" s="7" t="s">
        <v>39</v>
      </c>
      <c r="I8" s="7" t="s">
        <v>598</v>
      </c>
      <c r="J8" s="7">
        <v>137.0137522944249</v>
      </c>
      <c r="K8" s="7">
        <v>-32.06297709865216</v>
      </c>
      <c r="L8" s="7" t="s">
        <v>41</v>
      </c>
      <c r="M8" s="7" t="s">
        <v>1223</v>
      </c>
      <c r="N8" s="7" t="s">
        <v>1224</v>
      </c>
      <c r="O8" s="7"/>
      <c r="P8" s="7"/>
      <c r="Q8" s="7"/>
      <c r="R8" s="7" t="s">
        <v>1225</v>
      </c>
      <c r="S8" s="7" t="s">
        <v>58</v>
      </c>
      <c r="T8" s="8">
        <v>0.0</v>
      </c>
      <c r="U8" s="7" t="s">
        <v>1226</v>
      </c>
      <c r="V8" s="7" t="s">
        <v>1227</v>
      </c>
      <c r="W8" s="7"/>
      <c r="X8" s="9">
        <v>0.49</v>
      </c>
      <c r="Y8" s="7" t="s">
        <v>1228</v>
      </c>
      <c r="Z8" s="7"/>
      <c r="AA8" s="7">
        <f t="shared" si="5"/>
        <v>670000</v>
      </c>
      <c r="AB8" s="7">
        <v>670000.0</v>
      </c>
      <c r="AC8" s="7"/>
      <c r="AD8" s="7"/>
      <c r="AE8" s="7">
        <f t="shared" si="1"/>
        <v>670000</v>
      </c>
      <c r="AF8" s="7"/>
      <c r="AG8" s="10">
        <f t="shared" si="2"/>
        <v>670000</v>
      </c>
      <c r="AH8" s="10">
        <f t="shared" si="3"/>
        <v>0</v>
      </c>
      <c r="AI8" s="7"/>
      <c r="AJ8" s="7">
        <v>0.0</v>
      </c>
      <c r="AK8" s="7">
        <v>1.0</v>
      </c>
      <c r="AL8" s="11">
        <v>45550.701631944445</v>
      </c>
    </row>
    <row r="9" ht="12.0" customHeight="1">
      <c r="A9" s="6" t="s">
        <v>1286</v>
      </c>
      <c r="B9" s="7" t="s">
        <v>1287</v>
      </c>
      <c r="C9" s="7" t="s">
        <v>1288</v>
      </c>
      <c r="D9" s="7" t="s">
        <v>1289</v>
      </c>
      <c r="E9" s="7" t="s">
        <v>1279</v>
      </c>
      <c r="F9" s="7" t="s">
        <v>1290</v>
      </c>
      <c r="G9" s="7" t="s">
        <v>38</v>
      </c>
      <c r="H9" s="7" t="s">
        <v>39</v>
      </c>
      <c r="I9" s="7" t="s">
        <v>40</v>
      </c>
      <c r="J9" s="7">
        <v>118.52508176350906</v>
      </c>
      <c r="K9" s="7">
        <v>-25.300544447825754</v>
      </c>
      <c r="L9" s="7" t="s">
        <v>41</v>
      </c>
      <c r="M9" s="7" t="s">
        <v>1291</v>
      </c>
      <c r="N9" s="7" t="s">
        <v>1292</v>
      </c>
      <c r="O9" s="7" t="s">
        <v>1292</v>
      </c>
      <c r="P9" s="7"/>
      <c r="Q9" s="7"/>
      <c r="R9" s="7" t="s">
        <v>1293</v>
      </c>
      <c r="S9" s="7" t="s">
        <v>58</v>
      </c>
      <c r="T9" s="8">
        <v>34000.0</v>
      </c>
      <c r="U9" s="7" t="s">
        <v>1294</v>
      </c>
      <c r="V9" s="7" t="s">
        <v>1295</v>
      </c>
      <c r="W9" s="7"/>
      <c r="X9" s="9">
        <v>1.0</v>
      </c>
      <c r="Y9" s="7" t="s">
        <v>1296</v>
      </c>
      <c r="Z9" s="7"/>
      <c r="AA9" s="7">
        <f t="shared" si="5"/>
        <v>50000</v>
      </c>
      <c r="AB9" s="7">
        <v>50000.0</v>
      </c>
      <c r="AC9" s="7"/>
      <c r="AD9" s="7"/>
      <c r="AE9" s="7">
        <f t="shared" si="1"/>
        <v>50000</v>
      </c>
      <c r="AF9" s="7"/>
      <c r="AG9" s="10">
        <f t="shared" si="2"/>
        <v>50000</v>
      </c>
      <c r="AH9" s="10">
        <f t="shared" si="3"/>
        <v>0</v>
      </c>
      <c r="AI9" s="7"/>
      <c r="AJ9" s="7">
        <v>0.0134</v>
      </c>
      <c r="AK9" s="7">
        <v>10.0</v>
      </c>
      <c r="AL9" s="11">
        <v>45676.715567129635</v>
      </c>
    </row>
    <row r="10" ht="12.0" customHeight="1">
      <c r="A10" s="17" t="s">
        <v>1297</v>
      </c>
      <c r="B10" s="18" t="s">
        <v>1298</v>
      </c>
      <c r="C10" s="18" t="s">
        <v>1299</v>
      </c>
      <c r="D10" s="18" t="s">
        <v>1300</v>
      </c>
      <c r="E10" s="18" t="s">
        <v>1301</v>
      </c>
      <c r="F10" s="18"/>
      <c r="G10" s="18" t="s">
        <v>38</v>
      </c>
      <c r="H10" s="18" t="s">
        <v>39</v>
      </c>
      <c r="I10" s="18" t="s">
        <v>68</v>
      </c>
      <c r="J10" s="18">
        <v>149.33400900947777</v>
      </c>
      <c r="K10" s="18">
        <v>-32.45007507480684</v>
      </c>
      <c r="L10" s="18" t="s">
        <v>41</v>
      </c>
      <c r="M10" s="18" t="s">
        <v>1302</v>
      </c>
      <c r="N10" s="18" t="s">
        <v>1303</v>
      </c>
      <c r="O10" s="18" t="s">
        <v>1303</v>
      </c>
      <c r="P10" s="18"/>
      <c r="Q10" s="18"/>
      <c r="R10" s="18" t="s">
        <v>1304</v>
      </c>
      <c r="S10" s="18" t="s">
        <v>58</v>
      </c>
      <c r="T10" s="19">
        <v>426800.0</v>
      </c>
      <c r="U10" s="18" t="s">
        <v>1305</v>
      </c>
      <c r="V10" s="18" t="s">
        <v>1306</v>
      </c>
      <c r="W10" s="18"/>
      <c r="X10" s="20">
        <v>1.0</v>
      </c>
      <c r="Y10" s="18" t="s">
        <v>1307</v>
      </c>
      <c r="Z10" s="18"/>
      <c r="AA10" s="18"/>
      <c r="AB10" s="18">
        <v>1340000.0</v>
      </c>
      <c r="AC10" s="18">
        <v>840000.0</v>
      </c>
      <c r="AD10" s="18"/>
      <c r="AE10" s="18">
        <f t="shared" si="1"/>
        <v>1340000</v>
      </c>
      <c r="AF10" s="18"/>
      <c r="AG10" s="21">
        <f t="shared" si="2"/>
        <v>1992144.5</v>
      </c>
      <c r="AH10" s="21">
        <f t="shared" si="3"/>
        <v>652144.5</v>
      </c>
      <c r="AI10" s="18">
        <v>9270000.0</v>
      </c>
      <c r="AJ10" s="18">
        <v>0.07035</v>
      </c>
      <c r="AK10" s="18">
        <v>1.0</v>
      </c>
      <c r="AL10" s="22">
        <v>45546.68320601852</v>
      </c>
    </row>
    <row r="11" ht="12.0" customHeight="1">
      <c r="A11" s="6" t="s">
        <v>1308</v>
      </c>
      <c r="B11" s="7" t="s">
        <v>454</v>
      </c>
      <c r="C11" s="7" t="s">
        <v>1309</v>
      </c>
      <c r="D11" s="7" t="s">
        <v>1310</v>
      </c>
      <c r="E11" s="7" t="s">
        <v>1311</v>
      </c>
      <c r="F11" s="7" t="s">
        <v>1312</v>
      </c>
      <c r="G11" s="7" t="s">
        <v>38</v>
      </c>
      <c r="H11" s="7" t="s">
        <v>39</v>
      </c>
      <c r="I11" s="7" t="s">
        <v>132</v>
      </c>
      <c r="J11" s="7">
        <v>151.27896003917857</v>
      </c>
      <c r="K11" s="7">
        <v>-24.673429110238583</v>
      </c>
      <c r="L11" s="7" t="s">
        <v>41</v>
      </c>
      <c r="M11" s="7" t="s">
        <v>1313</v>
      </c>
      <c r="N11" s="7" t="s">
        <v>1314</v>
      </c>
      <c r="O11" s="7" t="s">
        <v>1314</v>
      </c>
      <c r="P11" s="7"/>
      <c r="Q11" s="7"/>
      <c r="R11" s="7" t="s">
        <v>1315</v>
      </c>
      <c r="S11" s="7" t="s">
        <v>58</v>
      </c>
      <c r="T11" s="8">
        <v>0.0</v>
      </c>
      <c r="U11" s="7" t="s">
        <v>1316</v>
      </c>
      <c r="V11" s="7" t="s">
        <v>1317</v>
      </c>
      <c r="W11" s="7"/>
      <c r="X11" s="7"/>
      <c r="Y11" s="7" t="s">
        <v>1318</v>
      </c>
      <c r="Z11" s="7"/>
      <c r="AA11" s="7"/>
      <c r="AB11" s="7"/>
      <c r="AC11" s="7"/>
      <c r="AD11" s="7"/>
      <c r="AE11" s="7">
        <f t="shared" si="1"/>
        <v>0</v>
      </c>
      <c r="AF11" s="7"/>
      <c r="AG11" s="10">
        <f t="shared" si="2"/>
        <v>0</v>
      </c>
      <c r="AH11" s="10">
        <f t="shared" si="3"/>
        <v>0</v>
      </c>
      <c r="AI11" s="7"/>
      <c r="AJ11" s="7">
        <v>0.02211</v>
      </c>
      <c r="AK11" s="7"/>
      <c r="AL11" s="11">
        <v>45572.77652777778</v>
      </c>
    </row>
    <row r="12" ht="12.0" customHeight="1">
      <c r="A12" s="6" t="s">
        <v>1319</v>
      </c>
      <c r="B12" s="7" t="s">
        <v>1320</v>
      </c>
      <c r="C12" s="7" t="s">
        <v>1321</v>
      </c>
      <c r="D12" s="7" t="s">
        <v>1322</v>
      </c>
      <c r="E12" s="7" t="s">
        <v>1323</v>
      </c>
      <c r="F12" s="7"/>
      <c r="G12" s="7" t="s">
        <v>879</v>
      </c>
      <c r="H12" s="7" t="s">
        <v>39</v>
      </c>
      <c r="I12" s="7" t="s">
        <v>68</v>
      </c>
      <c r="J12" s="7">
        <v>145.8643848777666</v>
      </c>
      <c r="K12" s="7">
        <v>-31.282837537341848</v>
      </c>
      <c r="L12" s="7" t="s">
        <v>41</v>
      </c>
      <c r="M12" s="7" t="s">
        <v>1324</v>
      </c>
      <c r="N12" s="7" t="s">
        <v>1325</v>
      </c>
      <c r="O12" s="7" t="s">
        <v>1325</v>
      </c>
      <c r="P12" s="7"/>
      <c r="Q12" s="7"/>
      <c r="R12" s="7" t="s">
        <v>1326</v>
      </c>
      <c r="S12" s="7" t="s">
        <v>58</v>
      </c>
      <c r="T12" s="8">
        <v>0.0</v>
      </c>
      <c r="U12" s="59" t="s">
        <v>1327</v>
      </c>
      <c r="V12" s="7" t="s">
        <v>1328</v>
      </c>
      <c r="W12" s="7"/>
      <c r="X12" s="7"/>
      <c r="Y12" s="7"/>
      <c r="Z12" s="7"/>
      <c r="AA12" s="7">
        <f>AB12+AF12</f>
        <v>1100000000</v>
      </c>
      <c r="AB12" s="7">
        <v>1.0E9</v>
      </c>
      <c r="AC12" s="7"/>
      <c r="AD12" s="14"/>
      <c r="AE12" s="7">
        <f t="shared" si="1"/>
        <v>1100000000</v>
      </c>
      <c r="AF12" s="7">
        <v>1.0E8</v>
      </c>
      <c r="AG12" s="10">
        <f t="shared" si="2"/>
        <v>1000000000</v>
      </c>
      <c r="AH12" s="10">
        <f t="shared" si="3"/>
        <v>0</v>
      </c>
      <c r="AI12" s="7"/>
      <c r="AJ12" s="7">
        <v>0.0</v>
      </c>
      <c r="AK12" s="7">
        <v>1.5</v>
      </c>
      <c r="AL12" s="11">
        <v>45093.16666666667</v>
      </c>
    </row>
    <row r="13" ht="12.0" customHeight="1">
      <c r="A13" s="6" t="s">
        <v>1166</v>
      </c>
      <c r="B13" s="7" t="s">
        <v>1167</v>
      </c>
      <c r="C13" s="7" t="s">
        <v>1168</v>
      </c>
      <c r="D13" s="7" t="s">
        <v>1329</v>
      </c>
      <c r="E13" s="7" t="s">
        <v>1330</v>
      </c>
      <c r="F13" s="7"/>
      <c r="G13" s="7" t="s">
        <v>38</v>
      </c>
      <c r="H13" s="7" t="s">
        <v>39</v>
      </c>
      <c r="I13" s="7" t="s">
        <v>68</v>
      </c>
      <c r="J13" s="7">
        <v>148.33981403132876</v>
      </c>
      <c r="K13" s="7">
        <v>-35.33371062022613</v>
      </c>
      <c r="L13" s="7" t="s">
        <v>41</v>
      </c>
      <c r="M13" s="7" t="s">
        <v>1331</v>
      </c>
      <c r="N13" s="7" t="s">
        <v>1172</v>
      </c>
      <c r="O13" s="7" t="s">
        <v>1172</v>
      </c>
      <c r="P13" s="7"/>
      <c r="Q13" s="7"/>
      <c r="R13" s="7" t="s">
        <v>1332</v>
      </c>
      <c r="S13" s="7" t="s">
        <v>58</v>
      </c>
      <c r="T13" s="8">
        <v>1600.0</v>
      </c>
      <c r="U13" s="7" t="s">
        <v>1333</v>
      </c>
      <c r="V13" s="7" t="s">
        <v>1175</v>
      </c>
      <c r="W13" s="7"/>
      <c r="X13" s="9">
        <v>1.0</v>
      </c>
      <c r="Y13" s="7" t="s">
        <v>1334</v>
      </c>
      <c r="Z13" s="7"/>
      <c r="AA13" s="7"/>
      <c r="AB13" s="7"/>
      <c r="AC13" s="7"/>
      <c r="AD13" s="7"/>
      <c r="AE13" s="7">
        <f t="shared" si="1"/>
        <v>0</v>
      </c>
      <c r="AF13" s="7"/>
      <c r="AG13" s="10">
        <f t="shared" si="2"/>
        <v>0</v>
      </c>
      <c r="AH13" s="10">
        <f t="shared" si="3"/>
        <v>0</v>
      </c>
      <c r="AI13" s="7"/>
      <c r="AJ13" s="7">
        <v>0.00603</v>
      </c>
      <c r="AK13" s="7"/>
      <c r="AL13" s="11">
        <v>45600.73737268518</v>
      </c>
    </row>
    <row r="14" ht="12.0" customHeight="1">
      <c r="A14" s="6" t="s">
        <v>1335</v>
      </c>
      <c r="B14" s="7" t="s">
        <v>1336</v>
      </c>
      <c r="C14" s="7" t="s">
        <v>1337</v>
      </c>
      <c r="D14" s="7" t="s">
        <v>1338</v>
      </c>
      <c r="E14" s="7" t="s">
        <v>1330</v>
      </c>
      <c r="F14" s="7" t="s">
        <v>1339</v>
      </c>
      <c r="G14" s="7" t="s">
        <v>38</v>
      </c>
      <c r="H14" s="7" t="s">
        <v>39</v>
      </c>
      <c r="I14" s="7" t="s">
        <v>132</v>
      </c>
      <c r="J14" s="7">
        <v>139.79049292540287</v>
      </c>
      <c r="K14" s="7">
        <v>-21.598698479541266</v>
      </c>
      <c r="L14" s="7" t="s">
        <v>41</v>
      </c>
      <c r="M14" s="7" t="s">
        <v>1340</v>
      </c>
      <c r="N14" s="7" t="s">
        <v>1341</v>
      </c>
      <c r="O14" s="7" t="s">
        <v>1341</v>
      </c>
      <c r="P14" s="7"/>
      <c r="Q14" s="7"/>
      <c r="R14" s="7" t="s">
        <v>1342</v>
      </c>
      <c r="S14" s="7" t="s">
        <v>1343</v>
      </c>
      <c r="T14" s="8">
        <v>194600.0</v>
      </c>
      <c r="U14" s="7" t="s">
        <v>1344</v>
      </c>
      <c r="V14" s="7" t="s">
        <v>1345</v>
      </c>
      <c r="W14" s="7"/>
      <c r="X14" s="9">
        <v>1.0</v>
      </c>
      <c r="Y14" s="7" t="s">
        <v>1346</v>
      </c>
      <c r="Z14" s="7"/>
      <c r="AA14" s="10">
        <f>AB14+AC14+AH14</f>
        <v>6030000</v>
      </c>
      <c r="AB14" s="7">
        <v>6030000.0</v>
      </c>
      <c r="AC14" s="7"/>
      <c r="AD14" s="7"/>
      <c r="AE14" s="10">
        <f t="shared" si="1"/>
        <v>6030000</v>
      </c>
      <c r="AF14" s="10">
        <f>AH14</f>
        <v>0</v>
      </c>
      <c r="AG14" s="10">
        <f t="shared" si="2"/>
        <v>6030000</v>
      </c>
      <c r="AH14" s="10">
        <f t="shared" si="3"/>
        <v>0</v>
      </c>
      <c r="AI14" s="7"/>
      <c r="AJ14" s="7">
        <v>0.22780000000000003</v>
      </c>
      <c r="AK14" s="7"/>
      <c r="AL14" s="11">
        <v>45623.6919212963</v>
      </c>
    </row>
    <row r="15" ht="12.0" customHeight="1">
      <c r="A15" s="6" t="s">
        <v>1347</v>
      </c>
      <c r="B15" s="7" t="s">
        <v>1348</v>
      </c>
      <c r="C15" s="7" t="s">
        <v>1349</v>
      </c>
      <c r="D15" s="7" t="s">
        <v>1350</v>
      </c>
      <c r="E15" s="7" t="s">
        <v>1330</v>
      </c>
      <c r="F15" s="7" t="s">
        <v>1351</v>
      </c>
      <c r="G15" s="7" t="s">
        <v>38</v>
      </c>
      <c r="H15" s="7" t="s">
        <v>39</v>
      </c>
      <c r="I15" s="7" t="s">
        <v>132</v>
      </c>
      <c r="J15" s="7">
        <v>139.97258949146484</v>
      </c>
      <c r="K15" s="7">
        <v>-20.920335830571783</v>
      </c>
      <c r="L15" s="7" t="s">
        <v>41</v>
      </c>
      <c r="M15" s="7" t="s">
        <v>1352</v>
      </c>
      <c r="N15" s="7" t="s">
        <v>1353</v>
      </c>
      <c r="O15" s="7" t="s">
        <v>1353</v>
      </c>
      <c r="P15" s="7"/>
      <c r="Q15" s="7"/>
      <c r="R15" s="7" t="s">
        <v>1354</v>
      </c>
      <c r="S15" s="7" t="s">
        <v>58</v>
      </c>
      <c r="T15" s="8">
        <v>26.0</v>
      </c>
      <c r="U15" s="7" t="s">
        <v>1355</v>
      </c>
      <c r="V15" s="7" t="s">
        <v>1356</v>
      </c>
      <c r="W15" s="7"/>
      <c r="X15" s="9">
        <v>0.8</v>
      </c>
      <c r="Y15" s="7" t="s">
        <v>1357</v>
      </c>
      <c r="Z15" s="7"/>
      <c r="AA15" s="7">
        <f t="shared" ref="AA15:AA16" si="6">AB15+AC15+AF15</f>
        <v>435500</v>
      </c>
      <c r="AB15" s="7">
        <v>402000.0</v>
      </c>
      <c r="AC15" s="7"/>
      <c r="AD15" s="7">
        <v>100500.0</v>
      </c>
      <c r="AE15" s="7">
        <f t="shared" si="1"/>
        <v>435500</v>
      </c>
      <c r="AF15" s="7">
        <f>50000*0.67</f>
        <v>33500</v>
      </c>
      <c r="AG15" s="10">
        <f t="shared" si="2"/>
        <v>402000</v>
      </c>
      <c r="AH15" s="10">
        <f t="shared" si="3"/>
        <v>0</v>
      </c>
      <c r="AI15" s="7"/>
      <c r="AJ15" s="7">
        <v>0.023450000000000002</v>
      </c>
      <c r="AK15" s="7">
        <v>1.0</v>
      </c>
      <c r="AL15" s="11">
        <v>45566.68052083333</v>
      </c>
    </row>
    <row r="16" ht="12.0" customHeight="1">
      <c r="A16" s="6" t="s">
        <v>1358</v>
      </c>
      <c r="B16" s="7" t="s">
        <v>1359</v>
      </c>
      <c r="C16" s="7" t="s">
        <v>1360</v>
      </c>
      <c r="D16" s="7" t="s">
        <v>1361</v>
      </c>
      <c r="E16" s="7" t="s">
        <v>1330</v>
      </c>
      <c r="F16" s="7"/>
      <c r="G16" s="7" t="s">
        <v>38</v>
      </c>
      <c r="H16" s="7" t="s">
        <v>39</v>
      </c>
      <c r="I16" s="7" t="s">
        <v>40</v>
      </c>
      <c r="J16" s="7">
        <v>116.80416681252638</v>
      </c>
      <c r="K16" s="7">
        <v>-31.466406441513747</v>
      </c>
      <c r="L16" s="7" t="s">
        <v>41</v>
      </c>
      <c r="M16" s="7" t="s">
        <v>1362</v>
      </c>
      <c r="N16" s="7" t="s">
        <v>1363</v>
      </c>
      <c r="O16" s="7" t="s">
        <v>1363</v>
      </c>
      <c r="P16" s="7"/>
      <c r="Q16" s="7"/>
      <c r="R16" s="7" t="s">
        <v>1364</v>
      </c>
      <c r="S16" s="7" t="s">
        <v>58</v>
      </c>
      <c r="T16" s="8">
        <v>18700.0</v>
      </c>
      <c r="U16" s="7" t="s">
        <v>1365</v>
      </c>
      <c r="V16" s="7" t="s">
        <v>1366</v>
      </c>
      <c r="W16" s="7"/>
      <c r="X16" s="9">
        <v>1.0</v>
      </c>
      <c r="Y16" s="7" t="s">
        <v>1367</v>
      </c>
      <c r="Z16" s="7"/>
      <c r="AA16" s="7">
        <f t="shared" si="6"/>
        <v>200000</v>
      </c>
      <c r="AB16" s="7">
        <v>0.0</v>
      </c>
      <c r="AC16" s="7"/>
      <c r="AD16" s="7"/>
      <c r="AE16" s="7">
        <f t="shared" si="1"/>
        <v>200000</v>
      </c>
      <c r="AF16" s="7">
        <v>200000.0</v>
      </c>
      <c r="AG16" s="10">
        <f t="shared" si="2"/>
        <v>132868.0015</v>
      </c>
      <c r="AH16" s="10">
        <f t="shared" si="3"/>
        <v>132868.0015</v>
      </c>
      <c r="AI16" s="7">
        <v>1525465.0</v>
      </c>
      <c r="AJ16" s="7">
        <v>0.08710000000000001</v>
      </c>
      <c r="AK16" s="7"/>
      <c r="AL16" s="11">
        <v>45546.697962962964</v>
      </c>
    </row>
    <row r="17">
      <c r="A17" s="44" t="s">
        <v>1472</v>
      </c>
      <c r="B17" s="45" t="s">
        <v>1473</v>
      </c>
      <c r="C17" s="45" t="s">
        <v>1474</v>
      </c>
      <c r="D17" s="45" t="s">
        <v>1475</v>
      </c>
      <c r="E17" s="45" t="s">
        <v>1476</v>
      </c>
      <c r="F17" s="45" t="s">
        <v>1477</v>
      </c>
      <c r="G17" s="45" t="s">
        <v>38</v>
      </c>
      <c r="H17" s="45" t="s">
        <v>39</v>
      </c>
      <c r="I17" s="45" t="s">
        <v>132</v>
      </c>
      <c r="J17" s="46">
        <v>139.4874263583951</v>
      </c>
      <c r="K17" s="46">
        <v>-20.2371358661757</v>
      </c>
      <c r="L17" s="45" t="s">
        <v>41</v>
      </c>
      <c r="M17" s="45" t="s">
        <v>1478</v>
      </c>
      <c r="N17" s="45" t="s">
        <v>1479</v>
      </c>
      <c r="O17" s="45" t="s">
        <v>1479</v>
      </c>
      <c r="P17" s="45"/>
      <c r="Q17" s="45"/>
      <c r="R17" s="45" t="s">
        <v>1480</v>
      </c>
      <c r="S17" s="45" t="s">
        <v>58</v>
      </c>
      <c r="T17" s="47">
        <v>200300.0</v>
      </c>
      <c r="U17" s="45" t="s">
        <v>1481</v>
      </c>
      <c r="V17" s="45" t="s">
        <v>1482</v>
      </c>
      <c r="W17" s="45"/>
      <c r="X17" s="48">
        <v>1.0</v>
      </c>
      <c r="Y17" s="45" t="s">
        <v>1483</v>
      </c>
      <c r="Z17" s="45"/>
      <c r="AA17" s="45"/>
      <c r="AB17" s="60"/>
      <c r="AC17" s="45"/>
      <c r="AD17" s="45"/>
      <c r="AE17" s="46">
        <f t="shared" si="1"/>
        <v>0</v>
      </c>
      <c r="AF17" s="45"/>
      <c r="AG17" s="49">
        <f t="shared" si="2"/>
        <v>541955.5342</v>
      </c>
      <c r="AH17" s="49">
        <f t="shared" si="3"/>
        <v>541955.5342</v>
      </c>
      <c r="AI17" s="46">
        <v>1.15555551E8</v>
      </c>
      <c r="AJ17" s="46">
        <v>0.004690000000000001</v>
      </c>
      <c r="AK17" s="45"/>
      <c r="AL17" s="50">
        <v>45531.814733796295</v>
      </c>
    </row>
    <row r="18">
      <c r="A18" s="51" t="s">
        <v>1484</v>
      </c>
      <c r="B18" s="52" t="s">
        <v>401</v>
      </c>
      <c r="C18" s="52" t="s">
        <v>1485</v>
      </c>
      <c r="D18" s="52" t="s">
        <v>1486</v>
      </c>
      <c r="E18" s="52" t="s">
        <v>1487</v>
      </c>
      <c r="F18" s="52" t="s">
        <v>1488</v>
      </c>
      <c r="G18" s="52" t="s">
        <v>38</v>
      </c>
      <c r="H18" s="52" t="s">
        <v>39</v>
      </c>
      <c r="I18" s="52" t="s">
        <v>598</v>
      </c>
      <c r="J18" s="53">
        <v>140.8008044587573</v>
      </c>
      <c r="K18" s="53">
        <v>-32.178722191571026</v>
      </c>
      <c r="L18" s="52" t="s">
        <v>41</v>
      </c>
      <c r="M18" s="52" t="s">
        <v>1489</v>
      </c>
      <c r="N18" s="52" t="s">
        <v>1490</v>
      </c>
      <c r="O18" s="52" t="s">
        <v>1490</v>
      </c>
      <c r="P18" s="52"/>
      <c r="Q18" s="52"/>
      <c r="R18" s="52" t="s">
        <v>1491</v>
      </c>
      <c r="S18" s="52" t="s">
        <v>58</v>
      </c>
      <c r="T18" s="54">
        <v>2300.0</v>
      </c>
      <c r="U18" s="52" t="s">
        <v>1492</v>
      </c>
      <c r="V18" s="52" t="s">
        <v>1493</v>
      </c>
      <c r="W18" s="52"/>
      <c r="X18" s="55">
        <v>1.0</v>
      </c>
      <c r="Y18" s="52" t="s">
        <v>1494</v>
      </c>
      <c r="Z18" s="52"/>
      <c r="AA18" s="53">
        <f>AB18+AC18+AF18</f>
        <v>2000000</v>
      </c>
      <c r="AB18" s="52"/>
      <c r="AC18" s="53">
        <v>2000000.0</v>
      </c>
      <c r="AD18" s="52"/>
      <c r="AE18" s="53">
        <f t="shared" si="1"/>
        <v>0</v>
      </c>
      <c r="AF18" s="52"/>
      <c r="AG18" s="56">
        <f t="shared" si="2"/>
        <v>0</v>
      </c>
      <c r="AH18" s="56">
        <f t="shared" si="3"/>
        <v>0</v>
      </c>
      <c r="AI18" s="52"/>
      <c r="AJ18" s="53">
        <v>0.11055000000000001</v>
      </c>
      <c r="AK18" s="52"/>
      <c r="AL18" s="57">
        <v>45522.68142361111</v>
      </c>
    </row>
    <row r="19">
      <c r="A19" s="44" t="s">
        <v>1495</v>
      </c>
      <c r="B19" s="45" t="s">
        <v>1496</v>
      </c>
      <c r="C19" s="45" t="s">
        <v>1497</v>
      </c>
      <c r="D19" s="45" t="s">
        <v>1498</v>
      </c>
      <c r="E19" s="45" t="s">
        <v>1499</v>
      </c>
      <c r="F19" s="45" t="s">
        <v>1500</v>
      </c>
      <c r="G19" s="45" t="s">
        <v>38</v>
      </c>
      <c r="H19" s="45" t="s">
        <v>39</v>
      </c>
      <c r="I19" s="45" t="s">
        <v>132</v>
      </c>
      <c r="J19" s="46">
        <v>150.77150531413508</v>
      </c>
      <c r="K19" s="46">
        <v>-23.980497209757097</v>
      </c>
      <c r="L19" s="45" t="s">
        <v>41</v>
      </c>
      <c r="M19" s="45" t="s">
        <v>1501</v>
      </c>
      <c r="N19" s="45" t="s">
        <v>1502</v>
      </c>
      <c r="O19" s="45" t="s">
        <v>1502</v>
      </c>
      <c r="P19" s="45"/>
      <c r="Q19" s="45"/>
      <c r="R19" s="45" t="s">
        <v>1503</v>
      </c>
      <c r="S19" s="45" t="s">
        <v>1504</v>
      </c>
      <c r="T19" s="47">
        <v>0.0</v>
      </c>
      <c r="U19" s="45" t="s">
        <v>1505</v>
      </c>
      <c r="V19" s="45" t="s">
        <v>1506</v>
      </c>
      <c r="W19" s="45"/>
      <c r="X19" s="48">
        <v>0.51</v>
      </c>
      <c r="Y19" s="45" t="s">
        <v>1507</v>
      </c>
      <c r="Z19" s="45"/>
      <c r="AA19" s="45"/>
      <c r="AB19" s="45"/>
      <c r="AC19" s="45"/>
      <c r="AD19" s="45"/>
      <c r="AE19" s="46">
        <f t="shared" si="1"/>
        <v>0</v>
      </c>
      <c r="AF19" s="45"/>
      <c r="AG19" s="49">
        <f t="shared" si="2"/>
        <v>0</v>
      </c>
      <c r="AH19" s="49">
        <f t="shared" si="3"/>
        <v>0</v>
      </c>
      <c r="AI19" s="45"/>
      <c r="AJ19" s="46">
        <v>0.00268</v>
      </c>
      <c r="AK19" s="45"/>
      <c r="AL19" s="50">
        <v>45490.68386574074</v>
      </c>
    </row>
    <row r="20">
      <c r="A20" s="44" t="s">
        <v>1518</v>
      </c>
      <c r="B20" s="45" t="s">
        <v>1519</v>
      </c>
      <c r="C20" s="45" t="s">
        <v>1520</v>
      </c>
      <c r="D20" s="45" t="s">
        <v>1521</v>
      </c>
      <c r="E20" s="45" t="s">
        <v>1522</v>
      </c>
      <c r="F20" s="45" t="s">
        <v>1523</v>
      </c>
      <c r="G20" s="45" t="s">
        <v>38</v>
      </c>
      <c r="H20" s="45" t="s">
        <v>39</v>
      </c>
      <c r="I20" s="45" t="s">
        <v>40</v>
      </c>
      <c r="J20" s="46">
        <v>127.4776601933135</v>
      </c>
      <c r="K20" s="46">
        <v>-18.35845346613322</v>
      </c>
      <c r="L20" s="45" t="s">
        <v>41</v>
      </c>
      <c r="M20" s="45" t="s">
        <v>1524</v>
      </c>
      <c r="N20" s="45" t="s">
        <v>134</v>
      </c>
      <c r="O20" s="45" t="s">
        <v>1525</v>
      </c>
      <c r="P20" s="45"/>
      <c r="Q20" s="45"/>
      <c r="R20" s="45" t="s">
        <v>1526</v>
      </c>
      <c r="S20" s="45" t="s">
        <v>58</v>
      </c>
      <c r="T20" s="47">
        <v>0.0</v>
      </c>
      <c r="U20" s="45" t="s">
        <v>1527</v>
      </c>
      <c r="V20" s="45" t="s">
        <v>137</v>
      </c>
      <c r="W20" s="45"/>
      <c r="X20" s="45"/>
      <c r="Y20" s="45" t="s">
        <v>1528</v>
      </c>
      <c r="Z20" s="45"/>
      <c r="AA20" s="46">
        <f>AB20+AC20+AF20</f>
        <v>469000</v>
      </c>
      <c r="AB20" s="45"/>
      <c r="AC20" s="46">
        <v>335000.0</v>
      </c>
      <c r="AD20" s="45"/>
      <c r="AE20" s="46">
        <f t="shared" si="1"/>
        <v>134000</v>
      </c>
      <c r="AF20" s="46">
        <v>134000.0</v>
      </c>
      <c r="AG20" s="49">
        <f t="shared" si="2"/>
        <v>102361.1193</v>
      </c>
      <c r="AH20" s="49">
        <f t="shared" si="3"/>
        <v>102361.1193</v>
      </c>
      <c r="AI20" s="46">
        <v>2777778.0</v>
      </c>
      <c r="AJ20" s="46">
        <v>0.03685</v>
      </c>
      <c r="AK20" s="46">
        <v>1.0</v>
      </c>
      <c r="AL20" s="50">
        <v>45705.71304398148</v>
      </c>
    </row>
    <row r="21">
      <c r="A21" s="51" t="s">
        <v>1529</v>
      </c>
      <c r="B21" s="52" t="s">
        <v>1530</v>
      </c>
      <c r="C21" s="52" t="s">
        <v>1531</v>
      </c>
      <c r="D21" s="52" t="s">
        <v>1532</v>
      </c>
      <c r="E21" s="52" t="s">
        <v>1533</v>
      </c>
      <c r="F21" s="52" t="s">
        <v>1534</v>
      </c>
      <c r="G21" s="52" t="s">
        <v>38</v>
      </c>
      <c r="H21" s="52" t="s">
        <v>39</v>
      </c>
      <c r="I21" s="52" t="s">
        <v>40</v>
      </c>
      <c r="J21" s="53">
        <v>127.65783094182127</v>
      </c>
      <c r="K21" s="53">
        <v>-25.757454022037017</v>
      </c>
      <c r="L21" s="52" t="s">
        <v>41</v>
      </c>
      <c r="M21" s="52" t="s">
        <v>1535</v>
      </c>
      <c r="N21" s="52" t="s">
        <v>1536</v>
      </c>
      <c r="O21" s="52" t="s">
        <v>1536</v>
      </c>
      <c r="P21" s="52"/>
      <c r="Q21" s="52"/>
      <c r="R21" s="52" t="s">
        <v>1537</v>
      </c>
      <c r="S21" s="52" t="s">
        <v>58</v>
      </c>
      <c r="T21" s="54">
        <v>61800.0</v>
      </c>
      <c r="U21" s="52" t="s">
        <v>1538</v>
      </c>
      <c r="V21" s="52" t="s">
        <v>1539</v>
      </c>
      <c r="W21" s="52"/>
      <c r="X21" s="55">
        <v>1.0</v>
      </c>
      <c r="Y21" s="52" t="s">
        <v>1540</v>
      </c>
      <c r="Z21" s="52"/>
      <c r="AA21" s="56">
        <f>AH21</f>
        <v>489937.494</v>
      </c>
      <c r="AB21" s="52"/>
      <c r="AC21" s="52"/>
      <c r="AD21" s="52"/>
      <c r="AE21" s="53">
        <f t="shared" si="1"/>
        <v>0</v>
      </c>
      <c r="AF21" s="52"/>
      <c r="AG21" s="56">
        <f t="shared" si="2"/>
        <v>489937.494</v>
      </c>
      <c r="AH21" s="56">
        <f t="shared" si="3"/>
        <v>489937.494</v>
      </c>
      <c r="AI21" s="53">
        <v>2.7083333E7</v>
      </c>
      <c r="AJ21" s="53">
        <v>0.018090000000000002</v>
      </c>
      <c r="AK21" s="52"/>
      <c r="AL21" s="57">
        <v>45685.67645833333</v>
      </c>
    </row>
    <row r="22">
      <c r="A22" s="51" t="s">
        <v>1552</v>
      </c>
      <c r="B22" s="52" t="s">
        <v>1460</v>
      </c>
      <c r="C22" s="52" t="s">
        <v>1553</v>
      </c>
      <c r="D22" s="52" t="s">
        <v>1554</v>
      </c>
      <c r="E22" s="52" t="s">
        <v>1555</v>
      </c>
      <c r="F22" s="52"/>
      <c r="G22" s="52" t="s">
        <v>530</v>
      </c>
      <c r="H22" s="52" t="s">
        <v>39</v>
      </c>
      <c r="I22" s="52" t="s">
        <v>40</v>
      </c>
      <c r="J22" s="53">
        <v>117.81219203280331</v>
      </c>
      <c r="K22" s="53">
        <v>-20.85371478274962</v>
      </c>
      <c r="L22" s="52" t="s">
        <v>41</v>
      </c>
      <c r="M22" s="52" t="s">
        <v>1556</v>
      </c>
      <c r="N22" s="52" t="s">
        <v>1557</v>
      </c>
      <c r="O22" s="52" t="s">
        <v>1557</v>
      </c>
      <c r="P22" s="52"/>
      <c r="Q22" s="52"/>
      <c r="R22" s="52" t="s">
        <v>1558</v>
      </c>
      <c r="S22" s="52" t="s">
        <v>58</v>
      </c>
      <c r="T22" s="54">
        <v>0.0</v>
      </c>
      <c r="U22" s="52" t="s">
        <v>1559</v>
      </c>
      <c r="V22" s="52" t="s">
        <v>1560</v>
      </c>
      <c r="W22" s="52"/>
      <c r="X22" s="55">
        <v>1.0</v>
      </c>
      <c r="Y22" s="52" t="s">
        <v>1561</v>
      </c>
      <c r="Z22" s="52"/>
      <c r="AA22" s="52"/>
      <c r="AB22" s="53">
        <v>0.0</v>
      </c>
      <c r="AC22" s="52"/>
      <c r="AD22" s="52"/>
      <c r="AE22" s="53">
        <f t="shared" si="1"/>
        <v>0</v>
      </c>
      <c r="AF22" s="52"/>
      <c r="AG22" s="56">
        <f t="shared" si="2"/>
        <v>0</v>
      </c>
      <c r="AH22" s="56">
        <f t="shared" si="3"/>
        <v>0</v>
      </c>
      <c r="AI22" s="52"/>
      <c r="AJ22" s="53">
        <v>0.00536</v>
      </c>
      <c r="AK22" s="52"/>
      <c r="AL22" s="57">
        <v>45678.68622685185</v>
      </c>
    </row>
    <row r="23">
      <c r="Z23" s="40" t="s">
        <v>2439</v>
      </c>
      <c r="AA23" s="43">
        <f>(AA2+AA3+AA4+AA5+AA7+AA8+AA9+AA12+AA14+AA15+AA16+AA18+AA20+AA21)/14</f>
        <v>79601380.06</v>
      </c>
    </row>
    <row r="24">
      <c r="Z24" s="40" t="s">
        <v>2441</v>
      </c>
      <c r="AA24" s="40">
        <v>13.0</v>
      </c>
    </row>
    <row r="27">
      <c r="AA27" s="61"/>
    </row>
  </sheetData>
  <dataValidations>
    <dataValidation type="custom" allowBlank="1" showDropDown="1" sqref="AL2:AL22">
      <formula1>OR(NOT(ISERROR(DATEVALUE(AL2))), AND(ISNUMBER(AL2), LEFT(CELL("format", AL2))="D"))</formula1>
    </dataValidation>
    <dataValidation type="custom" allowBlank="1" showDropDown="1" sqref="T2:T22">
      <formula1>AND(ISNUMBER(T2),(NOT(OR(NOT(ISERROR(DATEVALUE(T2))), AND(ISNUMBER(T2), LEFT(CELL("format", T2))="D")))))</formula1>
    </dataValidation>
  </dataValidations>
  <hyperlinks>
    <hyperlink r:id="rId1" ref="U12"/>
  </hyperlinks>
  <drawing r:id="rId2"/>
  <tableParts count="4"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4" max="24" width="17.71"/>
    <col customWidth="1" min="25" max="25" width="207.14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62</v>
      </c>
      <c r="B2" s="7" t="s">
        <v>63</v>
      </c>
      <c r="C2" s="7" t="s">
        <v>537</v>
      </c>
      <c r="D2" s="7" t="s">
        <v>538</v>
      </c>
      <c r="E2" s="7" t="s">
        <v>66</v>
      </c>
      <c r="F2" s="7" t="s">
        <v>539</v>
      </c>
      <c r="G2" s="7" t="s">
        <v>540</v>
      </c>
      <c r="H2" s="7" t="s">
        <v>39</v>
      </c>
      <c r="I2" s="7" t="s">
        <v>79</v>
      </c>
      <c r="J2" s="7">
        <v>145.86427615693435</v>
      </c>
      <c r="K2" s="7">
        <v>-36.945031892906826</v>
      </c>
      <c r="L2" s="7" t="s">
        <v>41</v>
      </c>
      <c r="M2" s="7" t="s">
        <v>541</v>
      </c>
      <c r="N2" s="7" t="s">
        <v>70</v>
      </c>
      <c r="O2" s="7" t="s">
        <v>70</v>
      </c>
      <c r="P2" s="7"/>
      <c r="Q2" s="7"/>
      <c r="R2" s="7" t="s">
        <v>542</v>
      </c>
      <c r="S2" s="7" t="s">
        <v>58</v>
      </c>
      <c r="T2" s="8">
        <v>10200.0</v>
      </c>
      <c r="U2" s="12" t="s">
        <v>543</v>
      </c>
      <c r="V2" s="7" t="s">
        <v>73</v>
      </c>
      <c r="W2" s="7"/>
      <c r="X2" s="9">
        <v>1.0</v>
      </c>
      <c r="Y2" s="7" t="s">
        <v>544</v>
      </c>
      <c r="Z2" s="7"/>
      <c r="AA2" s="7">
        <f>AE2</f>
        <v>469000</v>
      </c>
      <c r="AB2" s="7">
        <v>234500.0</v>
      </c>
      <c r="AC2" s="7"/>
      <c r="AD2" s="7"/>
      <c r="AE2" s="7">
        <f t="shared" ref="AE2:AE21" si="1">AB2+AF2</f>
        <v>469000</v>
      </c>
      <c r="AF2" s="7">
        <v>234500.0</v>
      </c>
      <c r="AG2" s="7"/>
      <c r="AH2" s="10"/>
      <c r="AI2" s="7"/>
      <c r="AJ2" s="7">
        <v>0.004690000000000001</v>
      </c>
      <c r="AK2" s="7"/>
      <c r="AL2" s="11">
        <v>45700.687372685185</v>
      </c>
    </row>
    <row r="3" ht="12.0" customHeight="1">
      <c r="A3" s="6" t="s">
        <v>545</v>
      </c>
      <c r="B3" s="7" t="s">
        <v>546</v>
      </c>
      <c r="C3" s="7" t="s">
        <v>547</v>
      </c>
      <c r="D3" s="7" t="s">
        <v>548</v>
      </c>
      <c r="E3" s="7" t="s">
        <v>66</v>
      </c>
      <c r="F3" s="7"/>
      <c r="G3" s="7" t="s">
        <v>540</v>
      </c>
      <c r="H3" s="7" t="s">
        <v>39</v>
      </c>
      <c r="I3" s="7" t="s">
        <v>79</v>
      </c>
      <c r="J3" s="7">
        <v>143.73524448325148</v>
      </c>
      <c r="K3" s="7">
        <v>-37.47202362802292</v>
      </c>
      <c r="L3" s="7" t="s">
        <v>41</v>
      </c>
      <c r="M3" s="7" t="s">
        <v>549</v>
      </c>
      <c r="N3" s="7" t="s">
        <v>519</v>
      </c>
      <c r="O3" s="7" t="s">
        <v>518</v>
      </c>
      <c r="P3" s="7" t="s">
        <v>520</v>
      </c>
      <c r="Q3" s="7"/>
      <c r="R3" s="7" t="s">
        <v>550</v>
      </c>
      <c r="S3" s="7" t="s">
        <v>551</v>
      </c>
      <c r="T3" s="8">
        <v>78800.0</v>
      </c>
      <c r="U3" s="7" t="s">
        <v>552</v>
      </c>
      <c r="V3" s="7" t="s">
        <v>523</v>
      </c>
      <c r="W3" s="7"/>
      <c r="X3" s="7"/>
      <c r="Y3" s="7"/>
      <c r="Z3" s="7"/>
      <c r="AA3" s="7"/>
      <c r="AB3" s="7"/>
      <c r="AC3" s="7">
        <v>326200.0</v>
      </c>
      <c r="AD3" s="7"/>
      <c r="AE3" s="7">
        <f t="shared" si="1"/>
        <v>0</v>
      </c>
      <c r="AF3" s="7"/>
      <c r="AG3" s="10">
        <f t="shared" ref="AG3:AG47" si="2">AB3+AH3</f>
        <v>0</v>
      </c>
      <c r="AH3" s="10">
        <f t="shared" ref="AH3:AH47" si="3">AI3*AJ3</f>
        <v>0</v>
      </c>
      <c r="AI3" s="7"/>
      <c r="AJ3" s="7">
        <v>0.0</v>
      </c>
      <c r="AK3" s="7">
        <v>2.0</v>
      </c>
      <c r="AL3" s="11">
        <v>45720.3125</v>
      </c>
    </row>
    <row r="4" ht="12.0" customHeight="1">
      <c r="A4" s="6" t="s">
        <v>553</v>
      </c>
      <c r="B4" s="7" t="s">
        <v>554</v>
      </c>
      <c r="C4" s="7" t="s">
        <v>555</v>
      </c>
      <c r="D4" s="7" t="s">
        <v>556</v>
      </c>
      <c r="E4" s="7" t="s">
        <v>66</v>
      </c>
      <c r="F4" s="7"/>
      <c r="G4" s="7" t="s">
        <v>540</v>
      </c>
      <c r="H4" s="7" t="s">
        <v>39</v>
      </c>
      <c r="I4" s="7" t="s">
        <v>132</v>
      </c>
      <c r="J4" s="7">
        <v>151.7018528594861</v>
      </c>
      <c r="K4" s="7">
        <v>-28.091591702457265</v>
      </c>
      <c r="L4" s="7" t="s">
        <v>41</v>
      </c>
      <c r="M4" s="7" t="s">
        <v>557</v>
      </c>
      <c r="N4" s="7" t="s">
        <v>558</v>
      </c>
      <c r="O4" s="7" t="s">
        <v>558</v>
      </c>
      <c r="P4" s="7" t="s">
        <v>559</v>
      </c>
      <c r="Q4" s="7" t="s">
        <v>559</v>
      </c>
      <c r="R4" s="7" t="s">
        <v>560</v>
      </c>
      <c r="S4" s="7" t="s">
        <v>561</v>
      </c>
      <c r="T4" s="8">
        <v>11000.0</v>
      </c>
      <c r="U4" s="7" t="s">
        <v>562</v>
      </c>
      <c r="V4" s="7" t="s">
        <v>563</v>
      </c>
      <c r="W4" s="7"/>
      <c r="X4" s="7"/>
      <c r="Y4" s="7"/>
      <c r="Z4" s="7"/>
      <c r="AA4" s="7"/>
      <c r="AB4" s="7"/>
      <c r="AC4" s="7"/>
      <c r="AD4" s="7"/>
      <c r="AE4" s="7">
        <f t="shared" si="1"/>
        <v>0</v>
      </c>
      <c r="AF4" s="7"/>
      <c r="AG4" s="10">
        <f t="shared" si="2"/>
        <v>0</v>
      </c>
      <c r="AH4" s="10">
        <f t="shared" si="3"/>
        <v>0</v>
      </c>
      <c r="AI4" s="7"/>
      <c r="AJ4" s="7">
        <v>0.0</v>
      </c>
      <c r="AK4" s="7"/>
      <c r="AL4" s="11">
        <v>44987.27083333333</v>
      </c>
    </row>
    <row r="5" ht="12.0" customHeight="1">
      <c r="A5" s="6" t="s">
        <v>564</v>
      </c>
      <c r="B5" s="7" t="s">
        <v>565</v>
      </c>
      <c r="C5" s="7" t="s">
        <v>566</v>
      </c>
      <c r="D5" s="7" t="s">
        <v>567</v>
      </c>
      <c r="E5" s="7" t="s">
        <v>66</v>
      </c>
      <c r="F5" s="7"/>
      <c r="G5" s="7" t="s">
        <v>540</v>
      </c>
      <c r="H5" s="7" t="s">
        <v>39</v>
      </c>
      <c r="I5" s="7" t="s">
        <v>79</v>
      </c>
      <c r="J5" s="7">
        <v>147.84129776061098</v>
      </c>
      <c r="K5" s="7">
        <v>-37.08845020896176</v>
      </c>
      <c r="L5" s="7" t="s">
        <v>41</v>
      </c>
      <c r="M5" s="7" t="s">
        <v>568</v>
      </c>
      <c r="N5" s="7" t="s">
        <v>569</v>
      </c>
      <c r="O5" s="7" t="s">
        <v>569</v>
      </c>
      <c r="P5" s="7"/>
      <c r="Q5" s="7"/>
      <c r="R5" s="7" t="s">
        <v>570</v>
      </c>
      <c r="S5" s="7" t="s">
        <v>58</v>
      </c>
      <c r="T5" s="8">
        <v>150900.0</v>
      </c>
      <c r="U5" s="7" t="s">
        <v>571</v>
      </c>
      <c r="V5" s="7" t="s">
        <v>572</v>
      </c>
      <c r="W5" s="7"/>
      <c r="X5" s="9">
        <v>1.0</v>
      </c>
      <c r="Y5" s="7" t="s">
        <v>573</v>
      </c>
      <c r="Z5" s="7"/>
      <c r="AA5" s="10">
        <f>AB5+AH5+AC5</f>
        <v>1767500</v>
      </c>
      <c r="AB5" s="7">
        <f>50000*0.67</f>
        <v>33500</v>
      </c>
      <c r="AC5" s="7">
        <v>1600000.0</v>
      </c>
      <c r="AD5" s="7"/>
      <c r="AE5" s="7">
        <f t="shared" si="1"/>
        <v>33500</v>
      </c>
      <c r="AF5" s="7"/>
      <c r="AG5" s="10">
        <f t="shared" si="2"/>
        <v>167500</v>
      </c>
      <c r="AH5" s="10">
        <f t="shared" si="3"/>
        <v>134000</v>
      </c>
      <c r="AI5" s="7">
        <v>1.0E7</v>
      </c>
      <c r="AJ5" s="7">
        <v>0.0134</v>
      </c>
      <c r="AK5" s="7"/>
      <c r="AL5" s="11">
        <v>45746.68846064815</v>
      </c>
    </row>
    <row r="6" ht="12.0" customHeight="1">
      <c r="A6" s="6" t="s">
        <v>574</v>
      </c>
      <c r="B6" s="7" t="s">
        <v>575</v>
      </c>
      <c r="C6" s="7" t="s">
        <v>576</v>
      </c>
      <c r="D6" s="7" t="s">
        <v>577</v>
      </c>
      <c r="E6" s="7" t="s">
        <v>66</v>
      </c>
      <c r="F6" s="7"/>
      <c r="G6" s="7" t="s">
        <v>540</v>
      </c>
      <c r="H6" s="7" t="s">
        <v>39</v>
      </c>
      <c r="I6" s="7" t="s">
        <v>40</v>
      </c>
      <c r="J6" s="7">
        <v>121.12210217569867</v>
      </c>
      <c r="K6" s="7">
        <v>-30.8094986680382</v>
      </c>
      <c r="L6" s="7" t="s">
        <v>41</v>
      </c>
      <c r="M6" s="7" t="s">
        <v>578</v>
      </c>
      <c r="N6" s="7" t="s">
        <v>579</v>
      </c>
      <c r="O6" s="7" t="s">
        <v>579</v>
      </c>
      <c r="P6" s="7"/>
      <c r="Q6" s="7"/>
      <c r="R6" s="7" t="s">
        <v>580</v>
      </c>
      <c r="S6" s="7" t="s">
        <v>58</v>
      </c>
      <c r="T6" s="8">
        <v>9000.0</v>
      </c>
      <c r="U6" s="7" t="s">
        <v>581</v>
      </c>
      <c r="V6" s="7" t="s">
        <v>582</v>
      </c>
      <c r="W6" s="7"/>
      <c r="X6" s="9">
        <v>1.0</v>
      </c>
      <c r="Y6" s="7" t="s">
        <v>583</v>
      </c>
      <c r="Z6" s="7"/>
      <c r="AA6" s="7">
        <f>AB6+AC6+AF6</f>
        <v>896500</v>
      </c>
      <c r="AB6" s="7">
        <v>33500.0</v>
      </c>
      <c r="AC6" s="7">
        <v>500000.0</v>
      </c>
      <c r="AD6" s="7"/>
      <c r="AE6" s="7">
        <f t="shared" si="1"/>
        <v>396500</v>
      </c>
      <c r="AF6" s="7">
        <v>363000.0</v>
      </c>
      <c r="AG6" s="10">
        <f t="shared" si="2"/>
        <v>33500</v>
      </c>
      <c r="AH6" s="10">
        <f t="shared" si="3"/>
        <v>0</v>
      </c>
      <c r="AI6" s="7"/>
      <c r="AJ6" s="7">
        <v>0.05226</v>
      </c>
      <c r="AK6" s="7"/>
      <c r="AL6" s="11">
        <v>45748.636469907404</v>
      </c>
    </row>
    <row r="7" ht="12.0" customHeight="1">
      <c r="A7" s="6" t="s">
        <v>584</v>
      </c>
      <c r="B7" s="7" t="s">
        <v>585</v>
      </c>
      <c r="C7" s="7" t="s">
        <v>586</v>
      </c>
      <c r="D7" s="7" t="s">
        <v>587</v>
      </c>
      <c r="E7" s="7" t="s">
        <v>66</v>
      </c>
      <c r="F7" s="7"/>
      <c r="G7" s="7" t="s">
        <v>540</v>
      </c>
      <c r="H7" s="7" t="s">
        <v>39</v>
      </c>
      <c r="I7" s="7" t="s">
        <v>40</v>
      </c>
      <c r="J7" s="7">
        <v>119.1234954420863</v>
      </c>
      <c r="K7" s="7">
        <v>-30.955772378447964</v>
      </c>
      <c r="L7" s="7" t="s">
        <v>41</v>
      </c>
      <c r="M7" s="7" t="s">
        <v>588</v>
      </c>
      <c r="N7" s="7" t="s">
        <v>589</v>
      </c>
      <c r="O7" s="7" t="s">
        <v>589</v>
      </c>
      <c r="P7" s="7" t="s">
        <v>590</v>
      </c>
      <c r="Q7" s="7" t="s">
        <v>590</v>
      </c>
      <c r="R7" s="7" t="s">
        <v>591</v>
      </c>
      <c r="S7" s="7" t="s">
        <v>58</v>
      </c>
      <c r="T7" s="8">
        <v>42200.0</v>
      </c>
      <c r="U7" s="7" t="s">
        <v>592</v>
      </c>
      <c r="V7" s="7" t="s">
        <v>593</v>
      </c>
      <c r="W7" s="7"/>
      <c r="X7" s="7"/>
      <c r="Y7" s="7"/>
      <c r="Z7" s="7"/>
      <c r="AA7" s="7">
        <f>AB7</f>
        <v>301500</v>
      </c>
      <c r="AB7" s="7">
        <v>301500.0</v>
      </c>
      <c r="AC7" s="7"/>
      <c r="AD7" s="7"/>
      <c r="AE7" s="7">
        <f t="shared" si="1"/>
        <v>301500</v>
      </c>
      <c r="AF7" s="7"/>
      <c r="AG7" s="10">
        <f t="shared" si="2"/>
        <v>301500</v>
      </c>
      <c r="AH7" s="10">
        <f t="shared" si="3"/>
        <v>0</v>
      </c>
      <c r="AI7" s="7"/>
      <c r="AJ7" s="7">
        <v>0.33165</v>
      </c>
      <c r="AK7" s="7"/>
      <c r="AL7" s="11">
        <v>45566.73611111111</v>
      </c>
    </row>
    <row r="8" ht="12.0" customHeight="1">
      <c r="A8" s="6" t="s">
        <v>594</v>
      </c>
      <c r="B8" s="7" t="s">
        <v>595</v>
      </c>
      <c r="C8" s="7" t="s">
        <v>596</v>
      </c>
      <c r="D8" s="7" t="s">
        <v>597</v>
      </c>
      <c r="E8" s="7" t="s">
        <v>66</v>
      </c>
      <c r="F8" s="7"/>
      <c r="G8" s="7" t="s">
        <v>540</v>
      </c>
      <c r="H8" s="7" t="s">
        <v>39</v>
      </c>
      <c r="I8" s="7" t="s">
        <v>598</v>
      </c>
      <c r="J8" s="7">
        <v>133.26632954931966</v>
      </c>
      <c r="K8" s="7">
        <v>-29.723961201828473</v>
      </c>
      <c r="L8" s="7" t="s">
        <v>41</v>
      </c>
      <c r="M8" s="7" t="s">
        <v>599</v>
      </c>
      <c r="N8" s="7" t="s">
        <v>600</v>
      </c>
      <c r="O8" s="7" t="s">
        <v>600</v>
      </c>
      <c r="P8" s="7"/>
      <c r="Q8" s="7"/>
      <c r="R8" s="7" t="s">
        <v>601</v>
      </c>
      <c r="S8" s="7" t="s">
        <v>58</v>
      </c>
      <c r="T8" s="8">
        <v>185800.0</v>
      </c>
      <c r="U8" s="7" t="s">
        <v>602</v>
      </c>
      <c r="V8" s="7" t="s">
        <v>603</v>
      </c>
      <c r="W8" s="7"/>
      <c r="X8" s="9">
        <v>1.0</v>
      </c>
      <c r="Y8" s="7" t="s">
        <v>604</v>
      </c>
      <c r="Z8" s="7"/>
      <c r="AA8" s="7"/>
      <c r="AB8" s="7"/>
      <c r="AC8" s="7"/>
      <c r="AD8" s="7"/>
      <c r="AE8" s="7">
        <f t="shared" si="1"/>
        <v>0</v>
      </c>
      <c r="AF8" s="7"/>
      <c r="AG8" s="10">
        <f t="shared" si="2"/>
        <v>0</v>
      </c>
      <c r="AH8" s="10">
        <f t="shared" si="3"/>
        <v>0</v>
      </c>
      <c r="AI8" s="7"/>
      <c r="AJ8" s="7">
        <v>0.06365</v>
      </c>
      <c r="AK8" s="7"/>
      <c r="AL8" s="11">
        <v>45536.715625</v>
      </c>
    </row>
    <row r="9" ht="12.0" customHeight="1">
      <c r="A9" s="6" t="s">
        <v>605</v>
      </c>
      <c r="B9" s="7" t="s">
        <v>606</v>
      </c>
      <c r="C9" s="7" t="s">
        <v>607</v>
      </c>
      <c r="D9" s="7" t="s">
        <v>608</v>
      </c>
      <c r="E9" s="7" t="s">
        <v>66</v>
      </c>
      <c r="F9" s="7"/>
      <c r="G9" s="7" t="s">
        <v>540</v>
      </c>
      <c r="H9" s="7" t="s">
        <v>39</v>
      </c>
      <c r="I9" s="7" t="s">
        <v>40</v>
      </c>
      <c r="J9" s="7">
        <v>121.19165679114559</v>
      </c>
      <c r="K9" s="7">
        <v>-30.824938633794602</v>
      </c>
      <c r="L9" s="7" t="s">
        <v>41</v>
      </c>
      <c r="M9" s="7" t="s">
        <v>609</v>
      </c>
      <c r="N9" s="7" t="s">
        <v>579</v>
      </c>
      <c r="O9" s="7"/>
      <c r="P9" s="7"/>
      <c r="Q9" s="7"/>
      <c r="R9" s="7" t="s">
        <v>610</v>
      </c>
      <c r="S9" s="7" t="s">
        <v>58</v>
      </c>
      <c r="T9" s="8">
        <v>0.0</v>
      </c>
      <c r="U9" s="7" t="s">
        <v>611</v>
      </c>
      <c r="V9" s="7" t="s">
        <v>612</v>
      </c>
      <c r="W9" s="7"/>
      <c r="X9" s="9">
        <v>1.0</v>
      </c>
      <c r="Y9" s="7" t="s">
        <v>613</v>
      </c>
      <c r="Z9" s="7"/>
      <c r="AA9" s="7">
        <f>AB9+AF9</f>
        <v>35000</v>
      </c>
      <c r="AB9" s="7">
        <v>10000.0</v>
      </c>
      <c r="AC9" s="7"/>
      <c r="AD9" s="7"/>
      <c r="AE9" s="7">
        <f t="shared" si="1"/>
        <v>35000</v>
      </c>
      <c r="AF9" s="7">
        <v>25000.0</v>
      </c>
      <c r="AG9" s="10">
        <f t="shared" si="2"/>
        <v>10000</v>
      </c>
      <c r="AH9" s="10">
        <f t="shared" si="3"/>
        <v>0</v>
      </c>
      <c r="AI9" s="7"/>
      <c r="AJ9" s="7">
        <v>0.0</v>
      </c>
      <c r="AK9" s="7"/>
      <c r="AL9" s="11">
        <v>45641.64640046297</v>
      </c>
    </row>
    <row r="10" ht="12.0" customHeight="1">
      <c r="A10" s="6" t="s">
        <v>614</v>
      </c>
      <c r="B10" s="7" t="s">
        <v>615</v>
      </c>
      <c r="C10" s="7" t="s">
        <v>616</v>
      </c>
      <c r="D10" s="7" t="s">
        <v>617</v>
      </c>
      <c r="E10" s="7" t="s">
        <v>66</v>
      </c>
      <c r="F10" s="7" t="s">
        <v>618</v>
      </c>
      <c r="G10" s="7" t="s">
        <v>540</v>
      </c>
      <c r="H10" s="7" t="s">
        <v>39</v>
      </c>
      <c r="I10" s="7" t="s">
        <v>40</v>
      </c>
      <c r="J10" s="7">
        <v>122.50531063509074</v>
      </c>
      <c r="K10" s="7">
        <v>-29.805247837838234</v>
      </c>
      <c r="L10" s="7" t="s">
        <v>41</v>
      </c>
      <c r="M10" s="7" t="s">
        <v>619</v>
      </c>
      <c r="N10" s="7" t="s">
        <v>620</v>
      </c>
      <c r="O10" s="7" t="s">
        <v>620</v>
      </c>
      <c r="P10" s="7"/>
      <c r="Q10" s="7"/>
      <c r="R10" s="7" t="s">
        <v>621</v>
      </c>
      <c r="S10" s="7" t="s">
        <v>58</v>
      </c>
      <c r="T10" s="8">
        <v>0.0</v>
      </c>
      <c r="U10" s="7" t="s">
        <v>622</v>
      </c>
      <c r="V10" s="7" t="s">
        <v>623</v>
      </c>
      <c r="W10" s="7"/>
      <c r="X10" s="9">
        <v>1.0</v>
      </c>
      <c r="Y10" s="7" t="s">
        <v>624</v>
      </c>
      <c r="Z10" s="7"/>
      <c r="AA10" s="10">
        <f>AH10</f>
        <v>70350</v>
      </c>
      <c r="AB10" s="14"/>
      <c r="AC10" s="7"/>
      <c r="AD10" s="7"/>
      <c r="AE10" s="7">
        <f t="shared" si="1"/>
        <v>0</v>
      </c>
      <c r="AF10" s="7"/>
      <c r="AG10" s="10">
        <f t="shared" si="2"/>
        <v>70350</v>
      </c>
      <c r="AH10" s="10">
        <f t="shared" si="3"/>
        <v>70350</v>
      </c>
      <c r="AI10" s="7">
        <v>3000000.0</v>
      </c>
      <c r="AJ10" s="7">
        <v>0.023450000000000002</v>
      </c>
      <c r="AK10" s="7"/>
      <c r="AL10" s="11">
        <v>45537.717835648145</v>
      </c>
    </row>
    <row r="11" ht="12.0" customHeight="1">
      <c r="A11" s="6" t="s">
        <v>625</v>
      </c>
      <c r="B11" s="7" t="s">
        <v>514</v>
      </c>
      <c r="C11" s="7" t="s">
        <v>626</v>
      </c>
      <c r="D11" s="7" t="s">
        <v>627</v>
      </c>
      <c r="E11" s="7" t="s">
        <v>66</v>
      </c>
      <c r="F11" s="7" t="s">
        <v>628</v>
      </c>
      <c r="G11" s="7" t="s">
        <v>540</v>
      </c>
      <c r="H11" s="7" t="s">
        <v>39</v>
      </c>
      <c r="I11" s="7" t="s">
        <v>40</v>
      </c>
      <c r="J11" s="7">
        <v>116.37212271201186</v>
      </c>
      <c r="K11" s="7">
        <v>-25.592857276859547</v>
      </c>
      <c r="L11" s="7" t="s">
        <v>41</v>
      </c>
      <c r="M11" s="7" t="s">
        <v>629</v>
      </c>
      <c r="N11" s="7" t="s">
        <v>630</v>
      </c>
      <c r="O11" s="7" t="s">
        <v>630</v>
      </c>
      <c r="P11" s="7"/>
      <c r="Q11" s="7"/>
      <c r="R11" s="7" t="s">
        <v>631</v>
      </c>
      <c r="S11" s="7" t="s">
        <v>58</v>
      </c>
      <c r="T11" s="8">
        <v>50400.0</v>
      </c>
      <c r="U11" s="7" t="s">
        <v>632</v>
      </c>
      <c r="V11" s="7" t="s">
        <v>633</v>
      </c>
      <c r="W11" s="7"/>
      <c r="X11" s="7"/>
      <c r="Y11" s="7" t="s">
        <v>634</v>
      </c>
      <c r="Z11" s="7"/>
      <c r="AA11" s="7">
        <f>AB11+AC11</f>
        <v>1375000</v>
      </c>
      <c r="AB11" s="7">
        <v>55000.0</v>
      </c>
      <c r="AC11" s="7">
        <v>1320000.0</v>
      </c>
      <c r="AD11" s="7"/>
      <c r="AE11" s="7">
        <f t="shared" si="1"/>
        <v>55000</v>
      </c>
      <c r="AF11" s="7"/>
      <c r="AG11" s="10">
        <f t="shared" si="2"/>
        <v>55000</v>
      </c>
      <c r="AH11" s="10">
        <f t="shared" si="3"/>
        <v>0</v>
      </c>
      <c r="AI11" s="7"/>
      <c r="AJ11" s="7">
        <v>0.0804</v>
      </c>
      <c r="AK11" s="7">
        <v>2.0</v>
      </c>
      <c r="AL11" s="11">
        <v>45622.70893518519</v>
      </c>
    </row>
    <row r="12" ht="12.0" customHeight="1">
      <c r="A12" s="6" t="s">
        <v>287</v>
      </c>
      <c r="B12" s="7" t="s">
        <v>635</v>
      </c>
      <c r="C12" s="7" t="s">
        <v>636</v>
      </c>
      <c r="D12" s="7" t="s">
        <v>637</v>
      </c>
      <c r="E12" s="7" t="s">
        <v>66</v>
      </c>
      <c r="F12" s="7" t="s">
        <v>638</v>
      </c>
      <c r="G12" s="7" t="s">
        <v>540</v>
      </c>
      <c r="H12" s="7" t="s">
        <v>39</v>
      </c>
      <c r="I12" s="7" t="s">
        <v>40</v>
      </c>
      <c r="J12" s="7">
        <v>119.62598950827164</v>
      </c>
      <c r="K12" s="7">
        <v>-29.649508166259928</v>
      </c>
      <c r="L12" s="7" t="s">
        <v>41</v>
      </c>
      <c r="M12" s="7" t="s">
        <v>639</v>
      </c>
      <c r="N12" s="7" t="s">
        <v>293</v>
      </c>
      <c r="O12" s="7" t="s">
        <v>293</v>
      </c>
      <c r="P12" s="7"/>
      <c r="Q12" s="7"/>
      <c r="R12" s="7" t="s">
        <v>640</v>
      </c>
      <c r="S12" s="7" t="s">
        <v>58</v>
      </c>
      <c r="T12" s="8">
        <v>65000.0</v>
      </c>
      <c r="U12" s="7" t="s">
        <v>641</v>
      </c>
      <c r="V12" s="7" t="s">
        <v>296</v>
      </c>
      <c r="W12" s="7"/>
      <c r="X12" s="9">
        <v>1.0</v>
      </c>
      <c r="Y12" s="7" t="s">
        <v>642</v>
      </c>
      <c r="Z12" s="7"/>
      <c r="AA12" s="10">
        <f>AB12+AF12</f>
        <v>461075</v>
      </c>
      <c r="AB12" s="7">
        <v>412500.0</v>
      </c>
      <c r="AC12" s="7"/>
      <c r="AD12" s="7"/>
      <c r="AE12" s="10">
        <f t="shared" si="1"/>
        <v>461075</v>
      </c>
      <c r="AF12" s="10">
        <v>48575.0</v>
      </c>
      <c r="AG12" s="10">
        <f t="shared" si="2"/>
        <v>461075</v>
      </c>
      <c r="AH12" s="10">
        <f t="shared" si="3"/>
        <v>48575</v>
      </c>
      <c r="AI12" s="7">
        <f>72500000/2</f>
        <v>36250000</v>
      </c>
      <c r="AJ12" s="7">
        <v>0.00134</v>
      </c>
      <c r="AK12" s="7">
        <v>1.0</v>
      </c>
      <c r="AL12" s="11">
        <v>45636.656122685185</v>
      </c>
    </row>
    <row r="13" ht="12.0" customHeight="1">
      <c r="A13" s="6" t="s">
        <v>513</v>
      </c>
      <c r="B13" s="7" t="s">
        <v>643</v>
      </c>
      <c r="C13" s="7" t="s">
        <v>644</v>
      </c>
      <c r="D13" s="7" t="s">
        <v>645</v>
      </c>
      <c r="E13" s="7" t="s">
        <v>66</v>
      </c>
      <c r="F13" s="7"/>
      <c r="G13" s="7" t="s">
        <v>540</v>
      </c>
      <c r="H13" s="7" t="s">
        <v>39</v>
      </c>
      <c r="I13" s="7" t="s">
        <v>79</v>
      </c>
      <c r="J13" s="7">
        <v>143.6138406</v>
      </c>
      <c r="K13" s="7">
        <v>-37.80227619999999</v>
      </c>
      <c r="L13" s="7" t="s">
        <v>41</v>
      </c>
      <c r="M13" s="7" t="s">
        <v>41</v>
      </c>
      <c r="N13" s="7" t="s">
        <v>518</v>
      </c>
      <c r="O13" s="7" t="s">
        <v>519</v>
      </c>
      <c r="P13" s="7"/>
      <c r="Q13" s="7" t="s">
        <v>520</v>
      </c>
      <c r="R13" s="7" t="s">
        <v>646</v>
      </c>
      <c r="S13" s="7" t="s">
        <v>58</v>
      </c>
      <c r="T13" s="8">
        <v>9200.0</v>
      </c>
      <c r="U13" s="7" t="s">
        <v>647</v>
      </c>
      <c r="V13" s="7" t="s">
        <v>523</v>
      </c>
      <c r="W13" s="7"/>
      <c r="X13" s="9">
        <v>0.51</v>
      </c>
      <c r="Y13" s="7" t="s">
        <v>648</v>
      </c>
      <c r="Z13" s="7"/>
      <c r="AA13" s="7">
        <f t="shared" ref="AA13:AA24" si="4">AB13+AC13+AF13</f>
        <v>140000</v>
      </c>
      <c r="AB13" s="7"/>
      <c r="AC13" s="7">
        <v>140000.0</v>
      </c>
      <c r="AD13" s="7"/>
      <c r="AE13" s="7">
        <f t="shared" si="1"/>
        <v>0</v>
      </c>
      <c r="AF13" s="7"/>
      <c r="AG13" s="10">
        <f t="shared" si="2"/>
        <v>0</v>
      </c>
      <c r="AH13" s="10">
        <f t="shared" si="3"/>
        <v>0</v>
      </c>
      <c r="AI13" s="7"/>
      <c r="AJ13" s="7">
        <v>0.1407</v>
      </c>
      <c r="AK13" s="7">
        <v>2.0</v>
      </c>
      <c r="AL13" s="11">
        <v>45711.62615740741</v>
      </c>
    </row>
    <row r="14" ht="12.0" customHeight="1">
      <c r="A14" s="6" t="s">
        <v>649</v>
      </c>
      <c r="B14" s="7" t="s">
        <v>650</v>
      </c>
      <c r="C14" s="7" t="s">
        <v>651</v>
      </c>
      <c r="D14" s="7" t="s">
        <v>652</v>
      </c>
      <c r="E14" s="7" t="s">
        <v>66</v>
      </c>
      <c r="F14" s="7"/>
      <c r="G14" s="7" t="s">
        <v>540</v>
      </c>
      <c r="H14" s="7" t="s">
        <v>39</v>
      </c>
      <c r="I14" s="7" t="s">
        <v>79</v>
      </c>
      <c r="J14" s="7">
        <v>145.8642701279479</v>
      </c>
      <c r="K14" s="7">
        <v>-36.94504501523892</v>
      </c>
      <c r="L14" s="7" t="s">
        <v>41</v>
      </c>
      <c r="M14" s="7" t="s">
        <v>653</v>
      </c>
      <c r="N14" s="7" t="s">
        <v>654</v>
      </c>
      <c r="O14" s="7" t="s">
        <v>654</v>
      </c>
      <c r="P14" s="7" t="s">
        <v>655</v>
      </c>
      <c r="Q14" s="7" t="s">
        <v>655</v>
      </c>
      <c r="R14" s="7" t="s">
        <v>656</v>
      </c>
      <c r="S14" s="7" t="s">
        <v>58</v>
      </c>
      <c r="T14" s="8">
        <v>0.0</v>
      </c>
      <c r="U14" s="15" t="s">
        <v>657</v>
      </c>
      <c r="V14" s="7" t="s">
        <v>658</v>
      </c>
      <c r="W14" s="7"/>
      <c r="X14" s="7"/>
      <c r="Y14" s="7"/>
      <c r="Z14" s="7"/>
      <c r="AA14" s="7">
        <f t="shared" si="4"/>
        <v>469000</v>
      </c>
      <c r="AB14" s="7">
        <v>234500.0</v>
      </c>
      <c r="AC14" s="7"/>
      <c r="AD14" s="7"/>
      <c r="AE14" s="7">
        <f t="shared" si="1"/>
        <v>469000</v>
      </c>
      <c r="AF14" s="7">
        <v>234500.0</v>
      </c>
      <c r="AG14" s="10">
        <f t="shared" si="2"/>
        <v>234500</v>
      </c>
      <c r="AH14" s="10">
        <f t="shared" si="3"/>
        <v>0</v>
      </c>
      <c r="AI14" s="7"/>
      <c r="AJ14" s="7">
        <v>0.0</v>
      </c>
      <c r="AK14" s="7">
        <v>2.0</v>
      </c>
      <c r="AL14" s="11">
        <v>45700.64583333333</v>
      </c>
    </row>
    <row r="15" ht="12.0" customHeight="1">
      <c r="A15" s="6" t="s">
        <v>659</v>
      </c>
      <c r="B15" s="7" t="s">
        <v>660</v>
      </c>
      <c r="C15" s="7" t="s">
        <v>661</v>
      </c>
      <c r="D15" s="7" t="s">
        <v>662</v>
      </c>
      <c r="E15" s="7" t="s">
        <v>66</v>
      </c>
      <c r="F15" s="7"/>
      <c r="G15" s="7" t="s">
        <v>540</v>
      </c>
      <c r="H15" s="7" t="s">
        <v>39</v>
      </c>
      <c r="I15" s="7" t="s">
        <v>40</v>
      </c>
      <c r="J15" s="7">
        <v>121.62418036776266</v>
      </c>
      <c r="K15" s="7">
        <v>-32.27254095578781</v>
      </c>
      <c r="L15" s="7" t="s">
        <v>41</v>
      </c>
      <c r="M15" s="7" t="s">
        <v>663</v>
      </c>
      <c r="N15" s="7" t="s">
        <v>664</v>
      </c>
      <c r="O15" s="7" t="s">
        <v>664</v>
      </c>
      <c r="P15" s="7"/>
      <c r="Q15" s="7"/>
      <c r="R15" s="7" t="s">
        <v>665</v>
      </c>
      <c r="S15" s="7" t="s">
        <v>58</v>
      </c>
      <c r="T15" s="8">
        <v>18000.0</v>
      </c>
      <c r="U15" s="7" t="s">
        <v>666</v>
      </c>
      <c r="V15" s="7" t="s">
        <v>667</v>
      </c>
      <c r="W15" s="7"/>
      <c r="X15" s="9">
        <v>1.0</v>
      </c>
      <c r="Y15" s="7" t="s">
        <v>668</v>
      </c>
      <c r="Z15" s="7"/>
      <c r="AA15" s="10">
        <f t="shared" si="4"/>
        <v>26800</v>
      </c>
      <c r="AB15" s="7"/>
      <c r="AC15" s="7"/>
      <c r="AD15" s="7"/>
      <c r="AE15" s="10">
        <f t="shared" si="1"/>
        <v>26800</v>
      </c>
      <c r="AF15" s="10">
        <f>AH15</f>
        <v>26800</v>
      </c>
      <c r="AG15" s="10">
        <f t="shared" si="2"/>
        <v>26800</v>
      </c>
      <c r="AH15" s="10">
        <f t="shared" si="3"/>
        <v>26800</v>
      </c>
      <c r="AI15" s="7">
        <v>125000.0</v>
      </c>
      <c r="AJ15" s="7">
        <v>0.2144</v>
      </c>
      <c r="AK15" s="7"/>
      <c r="AL15" s="11">
        <v>45698.63479166667</v>
      </c>
    </row>
    <row r="16" ht="12.0" customHeight="1">
      <c r="A16" s="6" t="s">
        <v>317</v>
      </c>
      <c r="B16" s="7" t="s">
        <v>669</v>
      </c>
      <c r="C16" s="7" t="s">
        <v>670</v>
      </c>
      <c r="D16" s="7" t="s">
        <v>671</v>
      </c>
      <c r="E16" s="7" t="s">
        <v>66</v>
      </c>
      <c r="F16" s="7" t="s">
        <v>672</v>
      </c>
      <c r="G16" s="7" t="s">
        <v>540</v>
      </c>
      <c r="H16" s="7" t="s">
        <v>39</v>
      </c>
      <c r="I16" s="7" t="s">
        <v>40</v>
      </c>
      <c r="J16" s="7">
        <v>121.19353480367707</v>
      </c>
      <c r="K16" s="7">
        <v>-30.008636237329657</v>
      </c>
      <c r="L16" s="7" t="s">
        <v>41</v>
      </c>
      <c r="M16" s="7" t="s">
        <v>673</v>
      </c>
      <c r="N16" s="7" t="s">
        <v>323</v>
      </c>
      <c r="O16" s="7" t="s">
        <v>323</v>
      </c>
      <c r="P16" s="7"/>
      <c r="Q16" s="7"/>
      <c r="R16" s="7" t="s">
        <v>674</v>
      </c>
      <c r="S16" s="7" t="s">
        <v>58</v>
      </c>
      <c r="T16" s="8">
        <v>7000.0</v>
      </c>
      <c r="U16" s="7" t="s">
        <v>675</v>
      </c>
      <c r="V16" s="7" t="s">
        <v>326</v>
      </c>
      <c r="W16" s="7"/>
      <c r="X16" s="7"/>
      <c r="Y16" s="7" t="s">
        <v>676</v>
      </c>
      <c r="Z16" s="7"/>
      <c r="AA16" s="13">
        <f t="shared" si="4"/>
        <v>2100000</v>
      </c>
      <c r="AB16" s="16"/>
      <c r="AC16" s="7">
        <v>2100000.0</v>
      </c>
      <c r="AD16" s="7"/>
      <c r="AE16" s="7">
        <f t="shared" si="1"/>
        <v>0</v>
      </c>
      <c r="AF16" s="7"/>
      <c r="AG16" s="10">
        <f t="shared" si="2"/>
        <v>0</v>
      </c>
      <c r="AH16" s="10">
        <f t="shared" si="3"/>
        <v>0</v>
      </c>
      <c r="AI16" s="7"/>
      <c r="AJ16" s="7">
        <v>0.41875</v>
      </c>
      <c r="AK16" s="7"/>
      <c r="AL16" s="11">
        <v>45740.73452546296</v>
      </c>
    </row>
    <row r="17" ht="12.0" customHeight="1">
      <c r="A17" s="6" t="s">
        <v>584</v>
      </c>
      <c r="B17" s="7" t="s">
        <v>677</v>
      </c>
      <c r="C17" s="7" t="s">
        <v>678</v>
      </c>
      <c r="D17" s="7" t="s">
        <v>679</v>
      </c>
      <c r="E17" s="7" t="s">
        <v>66</v>
      </c>
      <c r="F17" s="7"/>
      <c r="G17" s="7" t="s">
        <v>540</v>
      </c>
      <c r="H17" s="7" t="s">
        <v>39</v>
      </c>
      <c r="I17" s="7" t="s">
        <v>40</v>
      </c>
      <c r="J17" s="7">
        <v>119.3276160491987</v>
      </c>
      <c r="K17" s="7">
        <v>-31.32447562048516</v>
      </c>
      <c r="L17" s="7" t="s">
        <v>41</v>
      </c>
      <c r="M17" s="7" t="s">
        <v>41</v>
      </c>
      <c r="N17" s="7" t="s">
        <v>589</v>
      </c>
      <c r="O17" s="7" t="s">
        <v>589</v>
      </c>
      <c r="P17" s="7" t="s">
        <v>590</v>
      </c>
      <c r="Q17" s="7" t="s">
        <v>590</v>
      </c>
      <c r="R17" s="7" t="s">
        <v>680</v>
      </c>
      <c r="S17" s="7" t="s">
        <v>58</v>
      </c>
      <c r="T17" s="8">
        <v>170.0</v>
      </c>
      <c r="U17" s="7" t="s">
        <v>681</v>
      </c>
      <c r="V17" s="7" t="s">
        <v>593</v>
      </c>
      <c r="W17" s="7"/>
      <c r="X17" s="7"/>
      <c r="Y17" s="7"/>
      <c r="Z17" s="7"/>
      <c r="AA17" s="7">
        <f t="shared" si="4"/>
        <v>201250</v>
      </c>
      <c r="AB17" s="7">
        <v>83750.0</v>
      </c>
      <c r="AC17" s="7"/>
      <c r="AD17" s="7"/>
      <c r="AE17" s="7">
        <f t="shared" si="1"/>
        <v>201250</v>
      </c>
      <c r="AF17" s="7">
        <v>117500.0</v>
      </c>
      <c r="AG17" s="10">
        <f t="shared" si="2"/>
        <v>83750</v>
      </c>
      <c r="AH17" s="10">
        <f t="shared" si="3"/>
        <v>0</v>
      </c>
      <c r="AI17" s="7"/>
      <c r="AJ17" s="7">
        <v>0.33165</v>
      </c>
      <c r="AK17" s="7"/>
      <c r="AL17" s="11">
        <v>45576.361805555556</v>
      </c>
    </row>
    <row r="18" ht="12.0" customHeight="1">
      <c r="A18" s="6" t="s">
        <v>86</v>
      </c>
      <c r="B18" s="7" t="s">
        <v>595</v>
      </c>
      <c r="C18" s="7" t="s">
        <v>682</v>
      </c>
      <c r="D18" s="7" t="s">
        <v>683</v>
      </c>
      <c r="E18" s="7" t="s">
        <v>66</v>
      </c>
      <c r="F18" s="7" t="s">
        <v>684</v>
      </c>
      <c r="G18" s="7" t="s">
        <v>540</v>
      </c>
      <c r="H18" s="7" t="s">
        <v>39</v>
      </c>
      <c r="I18" s="7" t="s">
        <v>68</v>
      </c>
      <c r="J18" s="7">
        <v>152.43316462380332</v>
      </c>
      <c r="K18" s="7">
        <v>-29.500586843506387</v>
      </c>
      <c r="L18" s="7" t="s">
        <v>41</v>
      </c>
      <c r="M18" s="7" t="s">
        <v>685</v>
      </c>
      <c r="N18" s="7" t="s">
        <v>686</v>
      </c>
      <c r="O18" s="7" t="s">
        <v>90</v>
      </c>
      <c r="P18" s="7"/>
      <c r="Q18" s="7" t="s">
        <v>91</v>
      </c>
      <c r="R18" s="7" t="s">
        <v>687</v>
      </c>
      <c r="S18" s="7" t="s">
        <v>58</v>
      </c>
      <c r="T18" s="8">
        <v>66200.0</v>
      </c>
      <c r="U18" s="7" t="s">
        <v>688</v>
      </c>
      <c r="V18" s="7" t="s">
        <v>94</v>
      </c>
      <c r="W18" s="7"/>
      <c r="X18" s="9">
        <v>0.7</v>
      </c>
      <c r="Y18" s="7" t="s">
        <v>689</v>
      </c>
      <c r="Z18" s="7"/>
      <c r="AA18" s="7">
        <f t="shared" si="4"/>
        <v>935000</v>
      </c>
      <c r="AB18" s="7"/>
      <c r="AC18" s="7">
        <v>600000.0</v>
      </c>
      <c r="AD18" s="7"/>
      <c r="AE18" s="7">
        <f t="shared" si="1"/>
        <v>335000</v>
      </c>
      <c r="AF18" s="7">
        <v>335000.0</v>
      </c>
      <c r="AG18" s="10">
        <f t="shared" si="2"/>
        <v>0</v>
      </c>
      <c r="AH18" s="10">
        <f t="shared" si="3"/>
        <v>0</v>
      </c>
      <c r="AI18" s="7"/>
      <c r="AJ18" s="7">
        <v>0.067</v>
      </c>
      <c r="AK18" s="7"/>
      <c r="AL18" s="11">
        <v>45641.67487268518</v>
      </c>
    </row>
    <row r="19" ht="12.0" customHeight="1">
      <c r="A19" s="6" t="s">
        <v>690</v>
      </c>
      <c r="B19" s="7" t="s">
        <v>691</v>
      </c>
      <c r="C19" s="7" t="s">
        <v>692</v>
      </c>
      <c r="D19" s="7" t="s">
        <v>693</v>
      </c>
      <c r="E19" s="7" t="s">
        <v>66</v>
      </c>
      <c r="F19" s="7" t="s">
        <v>694</v>
      </c>
      <c r="G19" s="7" t="s">
        <v>540</v>
      </c>
      <c r="H19" s="7" t="s">
        <v>39</v>
      </c>
      <c r="I19" s="7" t="s">
        <v>40</v>
      </c>
      <c r="J19" s="7">
        <v>117.94179415704174</v>
      </c>
      <c r="K19" s="7">
        <v>-26.82764393675954</v>
      </c>
      <c r="L19" s="7" t="s">
        <v>41</v>
      </c>
      <c r="M19" s="7" t="s">
        <v>695</v>
      </c>
      <c r="N19" s="7" t="s">
        <v>696</v>
      </c>
      <c r="O19" s="7" t="s">
        <v>697</v>
      </c>
      <c r="P19" s="7"/>
      <c r="Q19" s="7"/>
      <c r="R19" s="7" t="s">
        <v>698</v>
      </c>
      <c r="S19" s="7" t="s">
        <v>58</v>
      </c>
      <c r="T19" s="8">
        <v>70000.0</v>
      </c>
      <c r="U19" s="7" t="s">
        <v>699</v>
      </c>
      <c r="V19" s="7" t="s">
        <v>700</v>
      </c>
      <c r="W19" s="7"/>
      <c r="X19" s="7"/>
      <c r="Y19" s="7" t="s">
        <v>701</v>
      </c>
      <c r="Z19" s="7"/>
      <c r="AA19" s="7">
        <f t="shared" si="4"/>
        <v>5631000</v>
      </c>
      <c r="AB19" s="7">
        <v>67000.0</v>
      </c>
      <c r="AC19" s="7">
        <v>2000000.0</v>
      </c>
      <c r="AD19" s="7"/>
      <c r="AE19" s="7">
        <f t="shared" si="1"/>
        <v>3631000</v>
      </c>
      <c r="AF19" s="7">
        <v>3564000.0</v>
      </c>
      <c r="AG19" s="10">
        <f t="shared" si="2"/>
        <v>67000</v>
      </c>
      <c r="AH19" s="10">
        <f t="shared" si="3"/>
        <v>0</v>
      </c>
      <c r="AI19" s="7"/>
      <c r="AJ19" s="7">
        <v>0.01139</v>
      </c>
      <c r="AK19" s="7"/>
      <c r="AL19" s="11">
        <v>45701.70967592593</v>
      </c>
    </row>
    <row r="20" ht="12.0" customHeight="1">
      <c r="A20" s="6" t="s">
        <v>139</v>
      </c>
      <c r="B20" s="7" t="s">
        <v>702</v>
      </c>
      <c r="C20" s="7" t="s">
        <v>350</v>
      </c>
      <c r="D20" s="7" t="s">
        <v>703</v>
      </c>
      <c r="E20" s="7" t="s">
        <v>66</v>
      </c>
      <c r="F20" s="7"/>
      <c r="G20" s="7" t="s">
        <v>540</v>
      </c>
      <c r="H20" s="7" t="s">
        <v>39</v>
      </c>
      <c r="I20" s="7" t="s">
        <v>40</v>
      </c>
      <c r="J20" s="7">
        <v>117.26593709713929</v>
      </c>
      <c r="K20" s="7">
        <v>-29.263333315722562</v>
      </c>
      <c r="L20" s="7" t="s">
        <v>41</v>
      </c>
      <c r="M20" s="7" t="s">
        <v>704</v>
      </c>
      <c r="N20" s="7" t="s">
        <v>144</v>
      </c>
      <c r="O20" s="7" t="s">
        <v>144</v>
      </c>
      <c r="P20" s="7"/>
      <c r="Q20" s="7"/>
      <c r="R20" s="7" t="s">
        <v>705</v>
      </c>
      <c r="S20" s="7" t="s">
        <v>58</v>
      </c>
      <c r="T20" s="8">
        <v>5400.0</v>
      </c>
      <c r="U20" s="7" t="s">
        <v>706</v>
      </c>
      <c r="V20" s="7" t="s">
        <v>147</v>
      </c>
      <c r="W20" s="7"/>
      <c r="X20" s="9">
        <v>1.0</v>
      </c>
      <c r="Y20" s="7" t="s">
        <v>707</v>
      </c>
      <c r="Z20" s="7"/>
      <c r="AA20" s="7">
        <f t="shared" si="4"/>
        <v>1005000</v>
      </c>
      <c r="AB20" s="7">
        <v>67000.0</v>
      </c>
      <c r="AC20" s="7"/>
      <c r="AD20" s="7">
        <f>AF20+AB20</f>
        <v>1005000</v>
      </c>
      <c r="AE20" s="7">
        <f t="shared" si="1"/>
        <v>1005000</v>
      </c>
      <c r="AF20" s="7">
        <v>938000.0</v>
      </c>
      <c r="AG20" s="10">
        <f t="shared" si="2"/>
        <v>67000</v>
      </c>
      <c r="AH20" s="10">
        <f t="shared" si="3"/>
        <v>0</v>
      </c>
      <c r="AI20" s="7"/>
      <c r="AJ20" s="7">
        <v>6.284600000000001</v>
      </c>
      <c r="AK20" s="7">
        <v>1.0</v>
      </c>
      <c r="AL20" s="11">
        <v>45728.69010416667</v>
      </c>
    </row>
    <row r="21" ht="12.0" customHeight="1">
      <c r="A21" s="6" t="s">
        <v>708</v>
      </c>
      <c r="B21" s="7" t="s">
        <v>709</v>
      </c>
      <c r="C21" s="7" t="s">
        <v>710</v>
      </c>
      <c r="D21" s="7" t="s">
        <v>711</v>
      </c>
      <c r="E21" s="7" t="s">
        <v>66</v>
      </c>
      <c r="F21" s="7"/>
      <c r="G21" s="7" t="s">
        <v>540</v>
      </c>
      <c r="H21" s="7" t="s">
        <v>39</v>
      </c>
      <c r="I21" s="7" t="s">
        <v>40</v>
      </c>
      <c r="J21" s="7">
        <v>121.29869774188525</v>
      </c>
      <c r="K21" s="7">
        <v>-29.31471962076922</v>
      </c>
      <c r="L21" s="7" t="s">
        <v>41</v>
      </c>
      <c r="M21" s="7" t="s">
        <v>712</v>
      </c>
      <c r="N21" s="7" t="s">
        <v>293</v>
      </c>
      <c r="O21" s="7"/>
      <c r="P21" s="7"/>
      <c r="Q21" s="7"/>
      <c r="R21" s="7" t="s">
        <v>713</v>
      </c>
      <c r="S21" s="7" t="s">
        <v>58</v>
      </c>
      <c r="T21" s="8">
        <v>0.0</v>
      </c>
      <c r="U21" s="7" t="s">
        <v>714</v>
      </c>
      <c r="V21" s="7" t="s">
        <v>715</v>
      </c>
      <c r="W21" s="7"/>
      <c r="X21" s="9">
        <v>1.0</v>
      </c>
      <c r="Y21" s="7" t="s">
        <v>716</v>
      </c>
      <c r="Z21" s="7"/>
      <c r="AA21" s="7">
        <f t="shared" si="4"/>
        <v>550000</v>
      </c>
      <c r="AB21" s="7">
        <v>550000.0</v>
      </c>
      <c r="AC21" s="7"/>
      <c r="AD21" s="7"/>
      <c r="AE21" s="7">
        <f t="shared" si="1"/>
        <v>550000</v>
      </c>
      <c r="AF21" s="7"/>
      <c r="AG21" s="10">
        <f t="shared" si="2"/>
        <v>550000</v>
      </c>
      <c r="AH21" s="10">
        <f t="shared" si="3"/>
        <v>0</v>
      </c>
      <c r="AI21" s="7"/>
      <c r="AJ21" s="7">
        <v>0.0</v>
      </c>
      <c r="AK21" s="7">
        <v>1.0</v>
      </c>
      <c r="AL21" s="11">
        <v>45599.676412037035</v>
      </c>
    </row>
    <row r="22" ht="12.0" customHeight="1">
      <c r="A22" s="6" t="s">
        <v>717</v>
      </c>
      <c r="B22" s="7" t="s">
        <v>718</v>
      </c>
      <c r="C22" s="7" t="s">
        <v>719</v>
      </c>
      <c r="D22" s="7" t="s">
        <v>720</v>
      </c>
      <c r="E22" s="7" t="s">
        <v>66</v>
      </c>
      <c r="F22" s="7" t="s">
        <v>721</v>
      </c>
      <c r="G22" s="7" t="s">
        <v>540</v>
      </c>
      <c r="H22" s="7" t="s">
        <v>39</v>
      </c>
      <c r="I22" s="7" t="s">
        <v>40</v>
      </c>
      <c r="J22" s="7">
        <v>120.56143219877018</v>
      </c>
      <c r="K22" s="7">
        <v>-29.9759478507118</v>
      </c>
      <c r="L22" s="7" t="s">
        <v>41</v>
      </c>
      <c r="M22" s="7" t="s">
        <v>722</v>
      </c>
      <c r="N22" s="7" t="s">
        <v>723</v>
      </c>
      <c r="O22" s="7"/>
      <c r="P22" s="7"/>
      <c r="Q22" s="7"/>
      <c r="R22" s="7" t="s">
        <v>724</v>
      </c>
      <c r="S22" s="7" t="s">
        <v>58</v>
      </c>
      <c r="T22" s="8">
        <v>0.0</v>
      </c>
      <c r="U22" s="7" t="s">
        <v>725</v>
      </c>
      <c r="V22" s="7" t="s">
        <v>726</v>
      </c>
      <c r="W22" s="7"/>
      <c r="X22" s="9">
        <v>1.0</v>
      </c>
      <c r="Y22" s="7" t="s">
        <v>727</v>
      </c>
      <c r="Z22" s="7"/>
      <c r="AA22" s="7">
        <f t="shared" si="4"/>
        <v>905500</v>
      </c>
      <c r="AB22" s="7">
        <f>150000*0.67</f>
        <v>100500</v>
      </c>
      <c r="AC22" s="7"/>
      <c r="AD22" s="7"/>
      <c r="AE22" s="7"/>
      <c r="AF22" s="7">
        <v>805000.0</v>
      </c>
      <c r="AG22" s="10">
        <f t="shared" si="2"/>
        <v>100500</v>
      </c>
      <c r="AH22" s="10">
        <f t="shared" si="3"/>
        <v>0</v>
      </c>
      <c r="AI22" s="7"/>
      <c r="AJ22" s="7">
        <v>0.0</v>
      </c>
      <c r="AK22" s="7"/>
      <c r="AL22" s="11">
        <v>45629.63607638889</v>
      </c>
    </row>
    <row r="23" ht="12.0" customHeight="1">
      <c r="A23" s="6" t="s">
        <v>728</v>
      </c>
      <c r="B23" s="7" t="s">
        <v>34</v>
      </c>
      <c r="C23" s="7" t="s">
        <v>729</v>
      </c>
      <c r="D23" s="7" t="s">
        <v>730</v>
      </c>
      <c r="E23" s="7" t="s">
        <v>66</v>
      </c>
      <c r="F23" s="7" t="s">
        <v>731</v>
      </c>
      <c r="G23" s="7" t="s">
        <v>540</v>
      </c>
      <c r="H23" s="7" t="s">
        <v>39</v>
      </c>
      <c r="I23" s="7" t="s">
        <v>79</v>
      </c>
      <c r="J23" s="7">
        <v>146.78358418870755</v>
      </c>
      <c r="K23" s="7">
        <v>-36.4869996816946</v>
      </c>
      <c r="L23" s="7" t="s">
        <v>41</v>
      </c>
      <c r="M23" s="7" t="s">
        <v>732</v>
      </c>
      <c r="N23" s="7" t="s">
        <v>733</v>
      </c>
      <c r="O23" s="7" t="s">
        <v>734</v>
      </c>
      <c r="P23" s="7"/>
      <c r="Q23" s="7" t="s">
        <v>735</v>
      </c>
      <c r="R23" s="7" t="s">
        <v>736</v>
      </c>
      <c r="S23" s="7" t="s">
        <v>58</v>
      </c>
      <c r="T23" s="8">
        <v>41800.0</v>
      </c>
      <c r="U23" s="7" t="s">
        <v>737</v>
      </c>
      <c r="V23" s="7" t="s">
        <v>738</v>
      </c>
      <c r="W23" s="7"/>
      <c r="X23" s="9">
        <v>0.8</v>
      </c>
      <c r="Y23" s="7" t="s">
        <v>739</v>
      </c>
      <c r="Z23" s="7"/>
      <c r="AA23" s="7">
        <f t="shared" si="4"/>
        <v>6036000</v>
      </c>
      <c r="AB23" s="7">
        <v>26000.0</v>
      </c>
      <c r="AC23" s="7">
        <v>4000000.0</v>
      </c>
      <c r="AD23" s="7">
        <f>AB23+AF23</f>
        <v>2036000</v>
      </c>
      <c r="AE23" s="7">
        <f t="shared" ref="AE23:AE47" si="5">AB23+AF23</f>
        <v>2036000</v>
      </c>
      <c r="AF23" s="7">
        <v>2010000.0</v>
      </c>
      <c r="AG23" s="10">
        <f t="shared" si="2"/>
        <v>26000</v>
      </c>
      <c r="AH23" s="10">
        <f t="shared" si="3"/>
        <v>0</v>
      </c>
      <c r="AI23" s="7"/>
      <c r="AJ23" s="7">
        <v>0.0</v>
      </c>
      <c r="AK23" s="7">
        <v>1.0</v>
      </c>
      <c r="AL23" s="11">
        <v>45662.68817129629</v>
      </c>
    </row>
    <row r="24" ht="12.0" customHeight="1">
      <c r="A24" s="6" t="s">
        <v>740</v>
      </c>
      <c r="B24" s="7" t="s">
        <v>368</v>
      </c>
      <c r="C24" s="7" t="s">
        <v>741</v>
      </c>
      <c r="D24" s="7" t="s">
        <v>742</v>
      </c>
      <c r="E24" s="7" t="s">
        <v>66</v>
      </c>
      <c r="F24" s="7"/>
      <c r="G24" s="7" t="s">
        <v>540</v>
      </c>
      <c r="H24" s="7" t="s">
        <v>39</v>
      </c>
      <c r="I24" s="7" t="s">
        <v>40</v>
      </c>
      <c r="J24" s="7">
        <v>123.80277777797225</v>
      </c>
      <c r="K24" s="7">
        <v>-31.518055555465285</v>
      </c>
      <c r="L24" s="7" t="s">
        <v>41</v>
      </c>
      <c r="M24" s="7" t="s">
        <v>743</v>
      </c>
      <c r="N24" s="7" t="s">
        <v>744</v>
      </c>
      <c r="O24" s="7" t="s">
        <v>744</v>
      </c>
      <c r="P24" s="7"/>
      <c r="Q24" s="7"/>
      <c r="R24" s="7" t="s">
        <v>745</v>
      </c>
      <c r="S24" s="7" t="s">
        <v>58</v>
      </c>
      <c r="T24" s="8">
        <v>23500.0</v>
      </c>
      <c r="U24" s="7" t="s">
        <v>746</v>
      </c>
      <c r="V24" s="7" t="s">
        <v>747</v>
      </c>
      <c r="W24" s="7"/>
      <c r="X24" s="9">
        <v>1.0</v>
      </c>
      <c r="Y24" s="7" t="s">
        <v>748</v>
      </c>
      <c r="Z24" s="7"/>
      <c r="AA24" s="10">
        <f t="shared" si="4"/>
        <v>100500</v>
      </c>
      <c r="AB24" s="7"/>
      <c r="AC24" s="7"/>
      <c r="AD24" s="7"/>
      <c r="AE24" s="10">
        <f t="shared" si="5"/>
        <v>100500</v>
      </c>
      <c r="AF24" s="10">
        <f>AH24</f>
        <v>100500</v>
      </c>
      <c r="AG24" s="10">
        <f t="shared" si="2"/>
        <v>100500</v>
      </c>
      <c r="AH24" s="10">
        <f t="shared" si="3"/>
        <v>100500</v>
      </c>
      <c r="AI24" s="7">
        <v>1.0E7</v>
      </c>
      <c r="AJ24" s="7">
        <v>0.01005</v>
      </c>
      <c r="AK24" s="7">
        <v>1.5</v>
      </c>
      <c r="AL24" s="11">
        <v>45720.713749999995</v>
      </c>
    </row>
    <row r="25" ht="12.0" customHeight="1">
      <c r="A25" s="6" t="s">
        <v>749</v>
      </c>
      <c r="B25" s="7" t="s">
        <v>691</v>
      </c>
      <c r="C25" s="7" t="s">
        <v>750</v>
      </c>
      <c r="D25" s="7" t="s">
        <v>751</v>
      </c>
      <c r="E25" s="7" t="s">
        <v>66</v>
      </c>
      <c r="F25" s="7" t="s">
        <v>752</v>
      </c>
      <c r="G25" s="7" t="s">
        <v>540</v>
      </c>
      <c r="H25" s="7" t="s">
        <v>39</v>
      </c>
      <c r="I25" s="7" t="s">
        <v>40</v>
      </c>
      <c r="J25" s="7">
        <v>119.80725276706082</v>
      </c>
      <c r="K25" s="7">
        <v>-31.798414602671613</v>
      </c>
      <c r="L25" s="7" t="s">
        <v>41</v>
      </c>
      <c r="M25" s="7" t="s">
        <v>753</v>
      </c>
      <c r="N25" s="7" t="s">
        <v>754</v>
      </c>
      <c r="O25" s="7" t="s">
        <v>754</v>
      </c>
      <c r="P25" s="7"/>
      <c r="Q25" s="7"/>
      <c r="R25" s="7" t="s">
        <v>755</v>
      </c>
      <c r="S25" s="7" t="s">
        <v>58</v>
      </c>
      <c r="T25" s="8">
        <v>0.0</v>
      </c>
      <c r="U25" s="7" t="s">
        <v>756</v>
      </c>
      <c r="V25" s="7" t="s">
        <v>757</v>
      </c>
      <c r="W25" s="7"/>
      <c r="X25" s="9">
        <v>1.0</v>
      </c>
      <c r="Y25" s="7" t="s">
        <v>758</v>
      </c>
      <c r="Z25" s="7"/>
      <c r="AA25" s="7"/>
      <c r="AB25" s="7"/>
      <c r="AC25" s="7"/>
      <c r="AD25" s="7"/>
      <c r="AE25" s="7">
        <f t="shared" si="5"/>
        <v>0</v>
      </c>
      <c r="AF25" s="7"/>
      <c r="AG25" s="10">
        <f t="shared" si="2"/>
        <v>0</v>
      </c>
      <c r="AH25" s="10">
        <f t="shared" si="3"/>
        <v>0</v>
      </c>
      <c r="AI25" s="7"/>
      <c r="AJ25" s="7">
        <v>0.17755</v>
      </c>
      <c r="AK25" s="7"/>
      <c r="AL25" s="11">
        <v>45644.636666666665</v>
      </c>
    </row>
    <row r="26" ht="12.0" customHeight="1">
      <c r="A26" s="6" t="s">
        <v>759</v>
      </c>
      <c r="B26" s="7" t="s">
        <v>760</v>
      </c>
      <c r="C26" s="7" t="s">
        <v>761</v>
      </c>
      <c r="D26" s="7" t="s">
        <v>762</v>
      </c>
      <c r="E26" s="7" t="s">
        <v>66</v>
      </c>
      <c r="F26" s="7" t="s">
        <v>763</v>
      </c>
      <c r="G26" s="7" t="s">
        <v>540</v>
      </c>
      <c r="H26" s="7" t="s">
        <v>39</v>
      </c>
      <c r="I26" s="7" t="s">
        <v>68</v>
      </c>
      <c r="J26" s="7">
        <v>148.19637110162523</v>
      </c>
      <c r="K26" s="7">
        <v>-32.995161262203986</v>
      </c>
      <c r="L26" s="7" t="s">
        <v>41</v>
      </c>
      <c r="M26" s="7" t="s">
        <v>764</v>
      </c>
      <c r="N26" s="7" t="s">
        <v>765</v>
      </c>
      <c r="O26" s="7" t="s">
        <v>765</v>
      </c>
      <c r="P26" s="7"/>
      <c r="Q26" s="7"/>
      <c r="R26" s="7" t="s">
        <v>766</v>
      </c>
      <c r="S26" s="7" t="s">
        <v>767</v>
      </c>
      <c r="T26" s="8">
        <v>35415.0</v>
      </c>
      <c r="U26" s="7" t="s">
        <v>768</v>
      </c>
      <c r="V26" s="7" t="s">
        <v>769</v>
      </c>
      <c r="W26" s="7"/>
      <c r="X26" s="9">
        <v>0.73</v>
      </c>
      <c r="Y26" s="7" t="s">
        <v>770</v>
      </c>
      <c r="Z26" s="7"/>
      <c r="AA26" s="7">
        <f t="shared" ref="AA26:AA27" si="6">AB26+AC26+AF26</f>
        <v>1149999</v>
      </c>
      <c r="AB26" s="7"/>
      <c r="AC26" s="7"/>
      <c r="AD26" s="7"/>
      <c r="AE26" s="7">
        <f t="shared" si="5"/>
        <v>1149999</v>
      </c>
      <c r="AF26" s="7">
        <v>1149999.0</v>
      </c>
      <c r="AG26" s="10">
        <f t="shared" si="2"/>
        <v>0</v>
      </c>
      <c r="AH26" s="10">
        <f t="shared" si="3"/>
        <v>0</v>
      </c>
      <c r="AI26" s="7">
        <v>3.83333333E8</v>
      </c>
      <c r="AJ26" s="7">
        <v>0.0</v>
      </c>
      <c r="AK26" s="7">
        <v>2.5</v>
      </c>
      <c r="AL26" s="11">
        <v>45684.68309027777</v>
      </c>
    </row>
    <row r="27" ht="12.0" customHeight="1">
      <c r="A27" s="6" t="s">
        <v>771</v>
      </c>
      <c r="B27" s="7" t="s">
        <v>546</v>
      </c>
      <c r="C27" s="7" t="s">
        <v>772</v>
      </c>
      <c r="D27" s="7" t="s">
        <v>773</v>
      </c>
      <c r="E27" s="7" t="s">
        <v>66</v>
      </c>
      <c r="F27" s="7" t="s">
        <v>774</v>
      </c>
      <c r="G27" s="7" t="s">
        <v>540</v>
      </c>
      <c r="H27" s="7" t="s">
        <v>39</v>
      </c>
      <c r="I27" s="7" t="s">
        <v>40</v>
      </c>
      <c r="J27" s="7">
        <v>118.81715937976564</v>
      </c>
      <c r="K27" s="7">
        <v>-28.869137033663716</v>
      </c>
      <c r="L27" s="7" t="s">
        <v>41</v>
      </c>
      <c r="M27" s="7" t="s">
        <v>775</v>
      </c>
      <c r="N27" s="7" t="s">
        <v>776</v>
      </c>
      <c r="O27" s="7" t="s">
        <v>776</v>
      </c>
      <c r="P27" s="7"/>
      <c r="Q27" s="7"/>
      <c r="R27" s="7" t="s">
        <v>777</v>
      </c>
      <c r="S27" s="7" t="s">
        <v>58</v>
      </c>
      <c r="T27" s="8">
        <v>995.0</v>
      </c>
      <c r="U27" s="7" t="s">
        <v>778</v>
      </c>
      <c r="V27" s="7" t="s">
        <v>779</v>
      </c>
      <c r="W27" s="7"/>
      <c r="X27" s="9">
        <v>1.0</v>
      </c>
      <c r="Y27" s="7" t="s">
        <v>780</v>
      </c>
      <c r="Z27" s="7"/>
      <c r="AA27" s="7">
        <f t="shared" si="6"/>
        <v>100000</v>
      </c>
      <c r="AB27" s="7">
        <v>40000.0</v>
      </c>
      <c r="AC27" s="7"/>
      <c r="AD27" s="7">
        <v>100000.0</v>
      </c>
      <c r="AE27" s="7">
        <f t="shared" si="5"/>
        <v>100000</v>
      </c>
      <c r="AF27" s="7">
        <v>60000.0</v>
      </c>
      <c r="AG27" s="10">
        <f t="shared" si="2"/>
        <v>80200</v>
      </c>
      <c r="AH27" s="10">
        <f t="shared" si="3"/>
        <v>40200</v>
      </c>
      <c r="AI27" s="7">
        <v>3000000.0</v>
      </c>
      <c r="AJ27" s="7">
        <v>0.0134</v>
      </c>
      <c r="AK27" s="7"/>
      <c r="AL27" s="11">
        <v>45533.71807870371</v>
      </c>
    </row>
    <row r="28" ht="12.0" customHeight="1">
      <c r="A28" s="6" t="s">
        <v>781</v>
      </c>
      <c r="B28" s="7" t="s">
        <v>782</v>
      </c>
      <c r="C28" s="7" t="s">
        <v>783</v>
      </c>
      <c r="D28" s="7" t="s">
        <v>784</v>
      </c>
      <c r="E28" s="7" t="s">
        <v>66</v>
      </c>
      <c r="F28" s="7"/>
      <c r="G28" s="7" t="s">
        <v>540</v>
      </c>
      <c r="H28" s="7" t="s">
        <v>39</v>
      </c>
      <c r="I28" s="7" t="s">
        <v>79</v>
      </c>
      <c r="J28" s="7">
        <v>143.6711878639889</v>
      </c>
      <c r="K28" s="7">
        <v>-36.79137290415662</v>
      </c>
      <c r="L28" s="7" t="s">
        <v>41</v>
      </c>
      <c r="M28" s="7" t="s">
        <v>785</v>
      </c>
      <c r="N28" s="7" t="s">
        <v>786</v>
      </c>
      <c r="O28" s="7" t="s">
        <v>786</v>
      </c>
      <c r="P28" s="7" t="s">
        <v>787</v>
      </c>
      <c r="Q28" s="7" t="s">
        <v>787</v>
      </c>
      <c r="R28" s="7" t="s">
        <v>788</v>
      </c>
      <c r="S28" s="7" t="s">
        <v>58</v>
      </c>
      <c r="T28" s="8">
        <v>1900.0</v>
      </c>
      <c r="U28" s="12" t="s">
        <v>789</v>
      </c>
      <c r="V28" s="7" t="s">
        <v>790</v>
      </c>
      <c r="W28" s="7"/>
      <c r="X28" s="7"/>
      <c r="Y28" s="7"/>
      <c r="Z28" s="7"/>
      <c r="AA28" s="7"/>
      <c r="AB28" s="7"/>
      <c r="AC28" s="7"/>
      <c r="AD28" s="7"/>
      <c r="AE28" s="7">
        <f t="shared" si="5"/>
        <v>0</v>
      </c>
      <c r="AF28" s="7"/>
      <c r="AG28" s="10">
        <f t="shared" si="2"/>
        <v>0</v>
      </c>
      <c r="AH28" s="10">
        <f t="shared" si="3"/>
        <v>0</v>
      </c>
      <c r="AI28" s="7"/>
      <c r="AJ28" s="7">
        <v>0.0</v>
      </c>
      <c r="AK28" s="7"/>
      <c r="AL28" s="11">
        <v>45169.27083333333</v>
      </c>
    </row>
    <row r="29" ht="12.0" customHeight="1">
      <c r="A29" s="6" t="s">
        <v>442</v>
      </c>
      <c r="B29" s="7" t="s">
        <v>791</v>
      </c>
      <c r="C29" s="7" t="s">
        <v>444</v>
      </c>
      <c r="D29" s="7" t="s">
        <v>792</v>
      </c>
      <c r="E29" s="7" t="s">
        <v>66</v>
      </c>
      <c r="F29" s="7" t="s">
        <v>793</v>
      </c>
      <c r="G29" s="7" t="s">
        <v>540</v>
      </c>
      <c r="H29" s="7" t="s">
        <v>39</v>
      </c>
      <c r="I29" s="7" t="s">
        <v>132</v>
      </c>
      <c r="J29" s="7">
        <v>150.7834421282538</v>
      </c>
      <c r="K29" s="7">
        <v>-23.772338272250146</v>
      </c>
      <c r="L29" s="7" t="s">
        <v>41</v>
      </c>
      <c r="M29" s="7" t="s">
        <v>794</v>
      </c>
      <c r="N29" s="7" t="s">
        <v>448</v>
      </c>
      <c r="O29" s="7" t="s">
        <v>448</v>
      </c>
      <c r="P29" s="7"/>
      <c r="Q29" s="7"/>
      <c r="R29" s="7" t="s">
        <v>795</v>
      </c>
      <c r="S29" s="7" t="s">
        <v>58</v>
      </c>
      <c r="T29" s="8">
        <v>19200.0</v>
      </c>
      <c r="U29" s="7" t="s">
        <v>796</v>
      </c>
      <c r="V29" s="7" t="s">
        <v>451</v>
      </c>
      <c r="W29" s="7"/>
      <c r="X29" s="9">
        <v>1.0</v>
      </c>
      <c r="Y29" s="7" t="s">
        <v>797</v>
      </c>
      <c r="Z29" s="7"/>
      <c r="AA29" s="7"/>
      <c r="AB29" s="7"/>
      <c r="AC29" s="7"/>
      <c r="AD29" s="7"/>
      <c r="AE29" s="7">
        <f t="shared" si="5"/>
        <v>0</v>
      </c>
      <c r="AF29" s="7"/>
      <c r="AG29" s="10">
        <f t="shared" si="2"/>
        <v>0</v>
      </c>
      <c r="AH29" s="10">
        <f t="shared" si="3"/>
        <v>0</v>
      </c>
      <c r="AI29" s="7"/>
      <c r="AJ29" s="7">
        <v>0.00268</v>
      </c>
      <c r="AK29" s="7"/>
      <c r="AL29" s="11">
        <v>45691.708645833336</v>
      </c>
    </row>
    <row r="30" ht="12.0" customHeight="1">
      <c r="A30" s="6" t="s">
        <v>798</v>
      </c>
      <c r="B30" s="7" t="s">
        <v>799</v>
      </c>
      <c r="C30" s="7" t="s">
        <v>800</v>
      </c>
      <c r="D30" s="7" t="s">
        <v>801</v>
      </c>
      <c r="E30" s="7" t="s">
        <v>66</v>
      </c>
      <c r="F30" s="7"/>
      <c r="G30" s="7" t="s">
        <v>540</v>
      </c>
      <c r="H30" s="7" t="s">
        <v>39</v>
      </c>
      <c r="I30" s="7" t="s">
        <v>40</v>
      </c>
      <c r="J30" s="7">
        <v>122.10638143383116</v>
      </c>
      <c r="K30" s="7">
        <v>-30.76809308776978</v>
      </c>
      <c r="L30" s="7" t="s">
        <v>41</v>
      </c>
      <c r="M30" s="7" t="s">
        <v>802</v>
      </c>
      <c r="N30" s="7" t="s">
        <v>803</v>
      </c>
      <c r="O30" s="7" t="s">
        <v>803</v>
      </c>
      <c r="P30" s="7"/>
      <c r="Q30" s="7"/>
      <c r="R30" s="7" t="s">
        <v>804</v>
      </c>
      <c r="S30" s="7" t="s">
        <v>58</v>
      </c>
      <c r="T30" s="8">
        <v>0.0</v>
      </c>
      <c r="U30" s="7" t="s">
        <v>805</v>
      </c>
      <c r="V30" s="7" t="s">
        <v>806</v>
      </c>
      <c r="W30" s="7"/>
      <c r="X30" s="9">
        <v>1.0</v>
      </c>
      <c r="Y30" s="7" t="s">
        <v>807</v>
      </c>
      <c r="Z30" s="7"/>
      <c r="AA30" s="7"/>
      <c r="AB30" s="7"/>
      <c r="AC30" s="7"/>
      <c r="AD30" s="7"/>
      <c r="AE30" s="7">
        <f t="shared" si="5"/>
        <v>0</v>
      </c>
      <c r="AF30" s="7"/>
      <c r="AG30" s="10">
        <f t="shared" si="2"/>
        <v>0</v>
      </c>
      <c r="AH30" s="10">
        <f t="shared" si="3"/>
        <v>0</v>
      </c>
      <c r="AI30" s="7"/>
      <c r="AJ30" s="7">
        <v>0.00201</v>
      </c>
      <c r="AK30" s="7"/>
      <c r="AL30" s="11">
        <v>45720.63961805556</v>
      </c>
    </row>
    <row r="31" ht="12.0" customHeight="1">
      <c r="A31" s="6" t="s">
        <v>808</v>
      </c>
      <c r="B31" s="7" t="s">
        <v>809</v>
      </c>
      <c r="C31" s="7" t="s">
        <v>810</v>
      </c>
      <c r="D31" s="7" t="s">
        <v>811</v>
      </c>
      <c r="E31" s="7" t="s">
        <v>66</v>
      </c>
      <c r="F31" s="7"/>
      <c r="G31" s="7" t="s">
        <v>540</v>
      </c>
      <c r="H31" s="7" t="s">
        <v>39</v>
      </c>
      <c r="I31" s="7" t="s">
        <v>79</v>
      </c>
      <c r="J31" s="7">
        <v>145.19348330445075</v>
      </c>
      <c r="K31" s="7">
        <v>-37.276489449444384</v>
      </c>
      <c r="L31" s="7" t="s">
        <v>41</v>
      </c>
      <c r="M31" s="7" t="s">
        <v>812</v>
      </c>
      <c r="N31" s="7" t="s">
        <v>654</v>
      </c>
      <c r="O31" s="7"/>
      <c r="P31" s="7" t="s">
        <v>655</v>
      </c>
      <c r="Q31" s="7"/>
      <c r="R31" s="7" t="s">
        <v>813</v>
      </c>
      <c r="S31" s="7" t="s">
        <v>58</v>
      </c>
      <c r="T31" s="8">
        <v>359.6</v>
      </c>
      <c r="U31" s="7" t="s">
        <v>814</v>
      </c>
      <c r="V31" s="7" t="s">
        <v>815</v>
      </c>
      <c r="W31" s="7"/>
      <c r="X31" s="9">
        <v>1.0</v>
      </c>
      <c r="Y31" s="7" t="s">
        <v>816</v>
      </c>
      <c r="Z31" s="7"/>
      <c r="AA31" s="7">
        <f t="shared" ref="AA31:AA39" si="7">AB31+AC31+AF31</f>
        <v>1795600</v>
      </c>
      <c r="AB31" s="7">
        <v>1795600.0</v>
      </c>
      <c r="AC31" s="7"/>
      <c r="AD31" s="7"/>
      <c r="AE31" s="7">
        <f t="shared" si="5"/>
        <v>1795600</v>
      </c>
      <c r="AF31" s="7"/>
      <c r="AG31" s="10">
        <f t="shared" si="2"/>
        <v>1827760</v>
      </c>
      <c r="AH31" s="10">
        <f t="shared" si="3"/>
        <v>32160</v>
      </c>
      <c r="AI31" s="7">
        <v>6000000.0</v>
      </c>
      <c r="AJ31" s="7">
        <v>0.00536</v>
      </c>
      <c r="AK31" s="7">
        <v>2.0</v>
      </c>
      <c r="AL31" s="11">
        <v>45629.64583333333</v>
      </c>
    </row>
    <row r="32" ht="12.0" customHeight="1">
      <c r="A32" s="6" t="s">
        <v>139</v>
      </c>
      <c r="B32" s="7" t="s">
        <v>817</v>
      </c>
      <c r="C32" s="7" t="s">
        <v>818</v>
      </c>
      <c r="D32" s="7" t="s">
        <v>819</v>
      </c>
      <c r="E32" s="7" t="s">
        <v>66</v>
      </c>
      <c r="F32" s="7" t="s">
        <v>820</v>
      </c>
      <c r="G32" s="7" t="s">
        <v>540</v>
      </c>
      <c r="H32" s="7" t="s">
        <v>39</v>
      </c>
      <c r="I32" s="7" t="s">
        <v>40</v>
      </c>
      <c r="J32" s="7">
        <v>119.2216021639802</v>
      </c>
      <c r="K32" s="7">
        <v>-23.623745269993215</v>
      </c>
      <c r="L32" s="7" t="s">
        <v>41</v>
      </c>
      <c r="M32" s="7" t="s">
        <v>821</v>
      </c>
      <c r="N32" s="7" t="s">
        <v>144</v>
      </c>
      <c r="O32" s="7" t="s">
        <v>144</v>
      </c>
      <c r="P32" s="7"/>
      <c r="Q32" s="7"/>
      <c r="R32" s="7" t="s">
        <v>822</v>
      </c>
      <c r="S32" s="7" t="s">
        <v>58</v>
      </c>
      <c r="T32" s="8">
        <v>174000.0</v>
      </c>
      <c r="U32" s="7" t="s">
        <v>823</v>
      </c>
      <c r="V32" s="7" t="s">
        <v>147</v>
      </c>
      <c r="W32" s="7"/>
      <c r="X32" s="9">
        <v>1.0</v>
      </c>
      <c r="Y32" s="7" t="s">
        <v>824</v>
      </c>
      <c r="Z32" s="7"/>
      <c r="AA32" s="7">
        <f t="shared" si="7"/>
        <v>2505000</v>
      </c>
      <c r="AB32" s="7">
        <v>1005000.0000000001</v>
      </c>
      <c r="AC32" s="7"/>
      <c r="AD32" s="7"/>
      <c r="AE32" s="7">
        <f t="shared" si="5"/>
        <v>2505000</v>
      </c>
      <c r="AF32" s="7">
        <v>1500000.0</v>
      </c>
      <c r="AG32" s="10">
        <f t="shared" si="2"/>
        <v>1005000</v>
      </c>
      <c r="AH32" s="10">
        <f t="shared" si="3"/>
        <v>0</v>
      </c>
      <c r="AI32" s="7"/>
      <c r="AJ32" s="7">
        <v>6.284600000000001</v>
      </c>
      <c r="AK32" s="7">
        <v>1.0</v>
      </c>
      <c r="AL32" s="11">
        <v>45634.63998842593</v>
      </c>
    </row>
    <row r="33" ht="12.0" customHeight="1">
      <c r="A33" s="6" t="s">
        <v>825</v>
      </c>
      <c r="B33" s="7" t="s">
        <v>496</v>
      </c>
      <c r="C33" s="7" t="s">
        <v>826</v>
      </c>
      <c r="D33" s="7" t="s">
        <v>827</v>
      </c>
      <c r="E33" s="7" t="s">
        <v>66</v>
      </c>
      <c r="F33" s="7"/>
      <c r="G33" s="7" t="s">
        <v>540</v>
      </c>
      <c r="H33" s="7" t="s">
        <v>39</v>
      </c>
      <c r="I33" s="7" t="s">
        <v>40</v>
      </c>
      <c r="J33" s="7">
        <v>123.87275913306298</v>
      </c>
      <c r="K33" s="7">
        <v>-31.456932475059997</v>
      </c>
      <c r="L33" s="7" t="s">
        <v>41</v>
      </c>
      <c r="M33" s="7" t="s">
        <v>828</v>
      </c>
      <c r="N33" s="7" t="s">
        <v>829</v>
      </c>
      <c r="O33" s="7" t="s">
        <v>829</v>
      </c>
      <c r="P33" s="7"/>
      <c r="Q33" s="7"/>
      <c r="R33" s="7" t="s">
        <v>830</v>
      </c>
      <c r="S33" s="7" t="s">
        <v>58</v>
      </c>
      <c r="T33" s="8">
        <v>34800.0</v>
      </c>
      <c r="U33" s="7" t="s">
        <v>831</v>
      </c>
      <c r="V33" s="7" t="s">
        <v>832</v>
      </c>
      <c r="W33" s="7"/>
      <c r="X33" s="9">
        <v>0.7</v>
      </c>
      <c r="Y33" s="7" t="s">
        <v>833</v>
      </c>
      <c r="Z33" s="7"/>
      <c r="AA33" s="7">
        <f t="shared" si="7"/>
        <v>300000</v>
      </c>
      <c r="AB33" s="7">
        <v>0.0</v>
      </c>
      <c r="AC33" s="7"/>
      <c r="AD33" s="7"/>
      <c r="AE33" s="7">
        <f t="shared" si="5"/>
        <v>300000</v>
      </c>
      <c r="AF33" s="7">
        <v>300000.0</v>
      </c>
      <c r="AG33" s="10">
        <f t="shared" si="2"/>
        <v>0</v>
      </c>
      <c r="AH33" s="10">
        <f t="shared" si="3"/>
        <v>0</v>
      </c>
      <c r="AI33" s="7"/>
      <c r="AJ33" s="7">
        <v>0.01675</v>
      </c>
      <c r="AK33" s="7">
        <v>1.05</v>
      </c>
      <c r="AL33" s="11">
        <v>45753.64333333333</v>
      </c>
    </row>
    <row r="34" ht="12.0" customHeight="1">
      <c r="A34" s="6" t="s">
        <v>86</v>
      </c>
      <c r="B34" s="7" t="s">
        <v>834</v>
      </c>
      <c r="C34" s="7" t="s">
        <v>835</v>
      </c>
      <c r="D34" s="7" t="s">
        <v>836</v>
      </c>
      <c r="E34" s="7" t="s">
        <v>66</v>
      </c>
      <c r="F34" s="7" t="s">
        <v>837</v>
      </c>
      <c r="G34" s="7" t="s">
        <v>540</v>
      </c>
      <c r="H34" s="7" t="s">
        <v>39</v>
      </c>
      <c r="I34" s="7" t="s">
        <v>68</v>
      </c>
      <c r="J34" s="7">
        <v>141.81840647161673</v>
      </c>
      <c r="K34" s="7">
        <v>-29.70643390962222</v>
      </c>
      <c r="L34" s="7" t="s">
        <v>41</v>
      </c>
      <c r="M34" s="7" t="s">
        <v>838</v>
      </c>
      <c r="N34" s="7" t="s">
        <v>839</v>
      </c>
      <c r="O34" s="7" t="s">
        <v>90</v>
      </c>
      <c r="P34" s="7"/>
      <c r="Q34" s="7" t="s">
        <v>91</v>
      </c>
      <c r="R34" s="7" t="s">
        <v>840</v>
      </c>
      <c r="S34" s="7" t="s">
        <v>58</v>
      </c>
      <c r="T34" s="8">
        <v>63100.0</v>
      </c>
      <c r="U34" s="7" t="s">
        <v>841</v>
      </c>
      <c r="V34" s="7" t="s">
        <v>94</v>
      </c>
      <c r="W34" s="7"/>
      <c r="X34" s="9">
        <v>0.8</v>
      </c>
      <c r="Y34" s="7" t="s">
        <v>842</v>
      </c>
      <c r="Z34" s="7"/>
      <c r="AA34" s="7">
        <f t="shared" si="7"/>
        <v>1473350</v>
      </c>
      <c r="AB34" s="7">
        <v>673350.0</v>
      </c>
      <c r="AC34" s="7">
        <v>800000.0</v>
      </c>
      <c r="AD34" s="7"/>
      <c r="AE34" s="7">
        <f t="shared" si="5"/>
        <v>673350</v>
      </c>
      <c r="AF34" s="7"/>
      <c r="AG34" s="10">
        <f t="shared" si="2"/>
        <v>773850</v>
      </c>
      <c r="AH34" s="10">
        <f t="shared" si="3"/>
        <v>100500</v>
      </c>
      <c r="AI34" s="7">
        <v>1500000.0</v>
      </c>
      <c r="AJ34" s="7">
        <v>0.067</v>
      </c>
      <c r="AK34" s="7"/>
      <c r="AL34" s="11">
        <v>45639.13506944444</v>
      </c>
    </row>
    <row r="35" ht="12.0" customHeight="1">
      <c r="A35" s="6" t="s">
        <v>86</v>
      </c>
      <c r="B35" s="7" t="s">
        <v>514</v>
      </c>
      <c r="C35" s="7" t="s">
        <v>88</v>
      </c>
      <c r="D35" s="7" t="s">
        <v>843</v>
      </c>
      <c r="E35" s="7" t="s">
        <v>66</v>
      </c>
      <c r="F35" s="7" t="s">
        <v>844</v>
      </c>
      <c r="G35" s="7" t="s">
        <v>540</v>
      </c>
      <c r="H35" s="7" t="s">
        <v>39</v>
      </c>
      <c r="I35" s="7" t="s">
        <v>40</v>
      </c>
      <c r="J35" s="7">
        <v>115.48104165279675</v>
      </c>
      <c r="K35" s="7">
        <v>-22.133402479192274</v>
      </c>
      <c r="L35" s="7" t="s">
        <v>41</v>
      </c>
      <c r="M35" s="7" t="s">
        <v>845</v>
      </c>
      <c r="N35" s="7" t="s">
        <v>90</v>
      </c>
      <c r="O35" s="7" t="s">
        <v>90</v>
      </c>
      <c r="P35" s="7" t="s">
        <v>91</v>
      </c>
      <c r="Q35" s="7" t="s">
        <v>91</v>
      </c>
      <c r="R35" s="7" t="s">
        <v>846</v>
      </c>
      <c r="S35" s="7" t="s">
        <v>58</v>
      </c>
      <c r="T35" s="8">
        <v>89000.0</v>
      </c>
      <c r="U35" s="7" t="s">
        <v>847</v>
      </c>
      <c r="V35" s="7" t="s">
        <v>94</v>
      </c>
      <c r="W35" s="7"/>
      <c r="X35" s="9">
        <v>0.7</v>
      </c>
      <c r="Y35" s="7" t="s">
        <v>848</v>
      </c>
      <c r="Z35" s="7"/>
      <c r="AA35" s="7">
        <f t="shared" si="7"/>
        <v>111890</v>
      </c>
      <c r="AB35" s="7">
        <v>44890.0</v>
      </c>
      <c r="AC35" s="7"/>
      <c r="AD35" s="7"/>
      <c r="AE35" s="7">
        <f t="shared" si="5"/>
        <v>111890</v>
      </c>
      <c r="AF35" s="7">
        <v>67000.0</v>
      </c>
      <c r="AG35" s="10">
        <f t="shared" si="2"/>
        <v>44890</v>
      </c>
      <c r="AH35" s="10">
        <f t="shared" si="3"/>
        <v>0</v>
      </c>
      <c r="AI35" s="7"/>
      <c r="AJ35" s="7">
        <v>0.0</v>
      </c>
      <c r="AK35" s="7"/>
      <c r="AL35" s="11">
        <v>45636.35208333333</v>
      </c>
    </row>
    <row r="36" ht="12.0" customHeight="1">
      <c r="A36" s="6" t="s">
        <v>849</v>
      </c>
      <c r="B36" s="7" t="s">
        <v>850</v>
      </c>
      <c r="C36" s="7" t="s">
        <v>851</v>
      </c>
      <c r="D36" s="7" t="s">
        <v>852</v>
      </c>
      <c r="E36" s="7" t="s">
        <v>66</v>
      </c>
      <c r="F36" s="7" t="s">
        <v>853</v>
      </c>
      <c r="G36" s="7" t="s">
        <v>540</v>
      </c>
      <c r="H36" s="7" t="s">
        <v>39</v>
      </c>
      <c r="I36" s="7" t="s">
        <v>40</v>
      </c>
      <c r="J36" s="7">
        <v>120.78000996461235</v>
      </c>
      <c r="K36" s="7">
        <v>-26.921652656623174</v>
      </c>
      <c r="L36" s="7" t="s">
        <v>41</v>
      </c>
      <c r="M36" s="7" t="s">
        <v>854</v>
      </c>
      <c r="N36" s="7" t="s">
        <v>855</v>
      </c>
      <c r="O36" s="7" t="s">
        <v>855</v>
      </c>
      <c r="P36" s="7"/>
      <c r="Q36" s="7"/>
      <c r="R36" s="7" t="s">
        <v>856</v>
      </c>
      <c r="S36" s="7" t="s">
        <v>58</v>
      </c>
      <c r="T36" s="8">
        <v>6100.0</v>
      </c>
      <c r="U36" s="7" t="s">
        <v>857</v>
      </c>
      <c r="V36" s="7" t="s">
        <v>858</v>
      </c>
      <c r="W36" s="7"/>
      <c r="X36" s="9">
        <v>0.8</v>
      </c>
      <c r="Y36" s="7" t="s">
        <v>859</v>
      </c>
      <c r="Z36" s="7"/>
      <c r="AA36" s="7">
        <f t="shared" si="7"/>
        <v>1000000</v>
      </c>
      <c r="AB36" s="7">
        <v>0.0</v>
      </c>
      <c r="AC36" s="7"/>
      <c r="AD36" s="7"/>
      <c r="AE36" s="7">
        <f t="shared" si="5"/>
        <v>1000000</v>
      </c>
      <c r="AF36" s="7">
        <v>1000000.0</v>
      </c>
      <c r="AG36" s="10">
        <f t="shared" si="2"/>
        <v>744444.437</v>
      </c>
      <c r="AH36" s="10">
        <f t="shared" si="3"/>
        <v>744444.437</v>
      </c>
      <c r="AI36" s="7">
        <v>2.2222222E7</v>
      </c>
      <c r="AJ36" s="7">
        <v>0.0335</v>
      </c>
      <c r="AK36" s="7"/>
      <c r="AL36" s="11">
        <v>45623.70385416667</v>
      </c>
    </row>
    <row r="37" ht="12.0" customHeight="1">
      <c r="A37" s="6" t="s">
        <v>860</v>
      </c>
      <c r="B37" s="7" t="s">
        <v>50</v>
      </c>
      <c r="C37" s="7" t="s">
        <v>861</v>
      </c>
      <c r="D37" s="7" t="s">
        <v>862</v>
      </c>
      <c r="E37" s="7" t="s">
        <v>66</v>
      </c>
      <c r="F37" s="7"/>
      <c r="G37" s="7" t="s">
        <v>540</v>
      </c>
      <c r="H37" s="7" t="s">
        <v>39</v>
      </c>
      <c r="I37" s="7" t="s">
        <v>40</v>
      </c>
      <c r="J37" s="7">
        <v>122.64395392581905</v>
      </c>
      <c r="K37" s="7">
        <v>-31.921731872654785</v>
      </c>
      <c r="L37" s="7" t="s">
        <v>41</v>
      </c>
      <c r="M37" s="7" t="s">
        <v>863</v>
      </c>
      <c r="N37" s="7" t="s">
        <v>864</v>
      </c>
      <c r="O37" s="7" t="s">
        <v>864</v>
      </c>
      <c r="P37" s="7"/>
      <c r="Q37" s="7"/>
      <c r="R37" s="7" t="s">
        <v>865</v>
      </c>
      <c r="S37" s="7" t="s">
        <v>58</v>
      </c>
      <c r="T37" s="8">
        <v>15000.0</v>
      </c>
      <c r="U37" s="7" t="s">
        <v>866</v>
      </c>
      <c r="V37" s="7" t="s">
        <v>867</v>
      </c>
      <c r="W37" s="7"/>
      <c r="X37" s="9">
        <v>0.9</v>
      </c>
      <c r="Y37" s="7" t="s">
        <v>868</v>
      </c>
      <c r="Z37" s="7"/>
      <c r="AA37" s="7">
        <f t="shared" si="7"/>
        <v>16750</v>
      </c>
      <c r="AB37" s="7">
        <v>16750.0</v>
      </c>
      <c r="AC37" s="7"/>
      <c r="AD37" s="7"/>
      <c r="AE37" s="7">
        <f t="shared" si="5"/>
        <v>16750</v>
      </c>
      <c r="AF37" s="7"/>
      <c r="AG37" s="10">
        <f t="shared" si="2"/>
        <v>16750</v>
      </c>
      <c r="AH37" s="10">
        <f t="shared" si="3"/>
        <v>0</v>
      </c>
      <c r="AI37" s="7"/>
      <c r="AJ37" s="7">
        <v>0.00268</v>
      </c>
      <c r="AK37" s="7">
        <v>1.5</v>
      </c>
      <c r="AL37" s="11">
        <v>45623.67224537037</v>
      </c>
    </row>
    <row r="38" ht="12.0" customHeight="1">
      <c r="A38" s="6" t="s">
        <v>287</v>
      </c>
      <c r="B38" s="7" t="s">
        <v>869</v>
      </c>
      <c r="C38" s="7" t="s">
        <v>636</v>
      </c>
      <c r="D38" s="7" t="s">
        <v>870</v>
      </c>
      <c r="E38" s="7" t="s">
        <v>66</v>
      </c>
      <c r="F38" s="7" t="s">
        <v>871</v>
      </c>
      <c r="G38" s="7" t="s">
        <v>540</v>
      </c>
      <c r="H38" s="7" t="s">
        <v>39</v>
      </c>
      <c r="I38" s="7" t="s">
        <v>40</v>
      </c>
      <c r="J38" s="7">
        <v>120.05513483631155</v>
      </c>
      <c r="K38" s="7">
        <v>-30.080053434857668</v>
      </c>
      <c r="L38" s="7" t="s">
        <v>41</v>
      </c>
      <c r="M38" s="7" t="s">
        <v>872</v>
      </c>
      <c r="N38" s="7" t="s">
        <v>293</v>
      </c>
      <c r="O38" s="7" t="s">
        <v>293</v>
      </c>
      <c r="P38" s="7"/>
      <c r="Q38" s="7"/>
      <c r="R38" s="7" t="s">
        <v>873</v>
      </c>
      <c r="S38" s="7" t="s">
        <v>58</v>
      </c>
      <c r="T38" s="8">
        <v>65000.0</v>
      </c>
      <c r="U38" s="7" t="s">
        <v>874</v>
      </c>
      <c r="V38" s="7" t="s">
        <v>296</v>
      </c>
      <c r="W38" s="7"/>
      <c r="X38" s="9">
        <v>1.0</v>
      </c>
      <c r="Y38" s="7" t="s">
        <v>875</v>
      </c>
      <c r="Z38" s="7"/>
      <c r="AA38" s="13">
        <f t="shared" si="7"/>
        <v>1167500</v>
      </c>
      <c r="AB38" s="13">
        <v>167500.0</v>
      </c>
      <c r="AC38" s="7"/>
      <c r="AD38" s="7"/>
      <c r="AE38" s="7">
        <f t="shared" si="5"/>
        <v>1167500</v>
      </c>
      <c r="AF38" s="7">
        <v>1000000.0</v>
      </c>
      <c r="AG38" s="10">
        <f t="shared" si="2"/>
        <v>264650</v>
      </c>
      <c r="AH38" s="10">
        <f t="shared" si="3"/>
        <v>97150</v>
      </c>
      <c r="AI38" s="7">
        <v>7.25E7</v>
      </c>
      <c r="AJ38" s="7">
        <v>0.00134</v>
      </c>
      <c r="AK38" s="7">
        <v>1.0</v>
      </c>
      <c r="AL38" s="11">
        <v>45636.637083333335</v>
      </c>
    </row>
    <row r="39">
      <c r="A39" s="51" t="s">
        <v>545</v>
      </c>
      <c r="B39" s="52" t="s">
        <v>936</v>
      </c>
      <c r="C39" s="52" t="s">
        <v>547</v>
      </c>
      <c r="D39" s="52" t="s">
        <v>937</v>
      </c>
      <c r="E39" s="52" t="s">
        <v>938</v>
      </c>
      <c r="F39" s="52"/>
      <c r="G39" s="52" t="s">
        <v>540</v>
      </c>
      <c r="H39" s="52" t="s">
        <v>39</v>
      </c>
      <c r="I39" s="52" t="s">
        <v>79</v>
      </c>
      <c r="J39" s="53">
        <v>144.69923396694256</v>
      </c>
      <c r="K39" s="53">
        <v>-36.80603672304909</v>
      </c>
      <c r="L39" s="52" t="s">
        <v>41</v>
      </c>
      <c r="M39" s="52" t="s">
        <v>939</v>
      </c>
      <c r="N39" s="52" t="s">
        <v>519</v>
      </c>
      <c r="O39" s="52" t="s">
        <v>518</v>
      </c>
      <c r="P39" s="52" t="s">
        <v>520</v>
      </c>
      <c r="Q39" s="52"/>
      <c r="R39" s="52" t="s">
        <v>940</v>
      </c>
      <c r="S39" s="52" t="s">
        <v>58</v>
      </c>
      <c r="T39" s="54">
        <v>0.0</v>
      </c>
      <c r="U39" s="52" t="s">
        <v>941</v>
      </c>
      <c r="V39" s="52" t="s">
        <v>523</v>
      </c>
      <c r="W39" s="52"/>
      <c r="X39" s="52"/>
      <c r="Y39" s="52"/>
      <c r="Z39" s="52"/>
      <c r="AA39" s="53">
        <f t="shared" si="7"/>
        <v>187600</v>
      </c>
      <c r="AB39" s="52"/>
      <c r="AC39" s="53">
        <v>187600.0</v>
      </c>
      <c r="AD39" s="52"/>
      <c r="AE39" s="53">
        <f t="shared" si="5"/>
        <v>0</v>
      </c>
      <c r="AF39" s="52"/>
      <c r="AG39" s="56">
        <f t="shared" si="2"/>
        <v>0</v>
      </c>
      <c r="AH39" s="56">
        <f t="shared" si="3"/>
        <v>0</v>
      </c>
      <c r="AI39" s="52"/>
      <c r="AJ39" s="53">
        <v>0.0</v>
      </c>
      <c r="AK39" s="53">
        <v>2.0</v>
      </c>
      <c r="AL39" s="57">
        <v>45076.25</v>
      </c>
    </row>
    <row r="40">
      <c r="A40" s="44" t="s">
        <v>965</v>
      </c>
      <c r="B40" s="45" t="s">
        <v>966</v>
      </c>
      <c r="C40" s="45" t="s">
        <v>967</v>
      </c>
      <c r="D40" s="45" t="s">
        <v>968</v>
      </c>
      <c r="E40" s="45" t="s">
        <v>946</v>
      </c>
      <c r="F40" s="45"/>
      <c r="G40" s="45" t="s">
        <v>540</v>
      </c>
      <c r="H40" s="45" t="s">
        <v>39</v>
      </c>
      <c r="I40" s="45" t="s">
        <v>40</v>
      </c>
      <c r="J40" s="46">
        <v>119.79818838562639</v>
      </c>
      <c r="K40" s="46">
        <v>-32.42644951239689</v>
      </c>
      <c r="L40" s="45" t="s">
        <v>41</v>
      </c>
      <c r="M40" s="45" t="s">
        <v>969</v>
      </c>
      <c r="N40" s="45" t="s">
        <v>970</v>
      </c>
      <c r="O40" s="45" t="s">
        <v>970</v>
      </c>
      <c r="P40" s="45"/>
      <c r="Q40" s="45"/>
      <c r="R40" s="45" t="s">
        <v>971</v>
      </c>
      <c r="S40" s="45" t="s">
        <v>58</v>
      </c>
      <c r="T40" s="47">
        <v>6670.0</v>
      </c>
      <c r="U40" s="45" t="s">
        <v>972</v>
      </c>
      <c r="V40" s="45" t="s">
        <v>973</v>
      </c>
      <c r="W40" s="45"/>
      <c r="X40" s="48">
        <v>1.0</v>
      </c>
      <c r="Y40" s="45" t="s">
        <v>974</v>
      </c>
      <c r="Z40" s="45"/>
      <c r="AA40" s="45"/>
      <c r="AB40" s="45"/>
      <c r="AC40" s="45"/>
      <c r="AD40" s="45"/>
      <c r="AE40" s="46">
        <f t="shared" si="5"/>
        <v>0</v>
      </c>
      <c r="AF40" s="45"/>
      <c r="AG40" s="49">
        <f t="shared" si="2"/>
        <v>0</v>
      </c>
      <c r="AH40" s="49">
        <f t="shared" si="3"/>
        <v>0</v>
      </c>
      <c r="AI40" s="45"/>
      <c r="AJ40" s="46">
        <v>0.054270000000000006</v>
      </c>
      <c r="AK40" s="45"/>
      <c r="AL40" s="50">
        <v>45543.71024305555</v>
      </c>
    </row>
    <row r="41">
      <c r="A41" s="51" t="s">
        <v>453</v>
      </c>
      <c r="B41" s="52" t="s">
        <v>975</v>
      </c>
      <c r="C41" s="52" t="s">
        <v>976</v>
      </c>
      <c r="D41" s="52" t="s">
        <v>977</v>
      </c>
      <c r="E41" s="52" t="s">
        <v>946</v>
      </c>
      <c r="F41" s="52" t="s">
        <v>978</v>
      </c>
      <c r="G41" s="52" t="s">
        <v>540</v>
      </c>
      <c r="H41" s="52" t="s">
        <v>39</v>
      </c>
      <c r="I41" s="52" t="s">
        <v>132</v>
      </c>
      <c r="J41" s="53">
        <v>150.38316534005085</v>
      </c>
      <c r="K41" s="53">
        <v>-23.655318306211466</v>
      </c>
      <c r="L41" s="52" t="s">
        <v>41</v>
      </c>
      <c r="M41" s="52" t="s">
        <v>979</v>
      </c>
      <c r="N41" s="52" t="s">
        <v>459</v>
      </c>
      <c r="O41" s="52" t="s">
        <v>459</v>
      </c>
      <c r="P41" s="52"/>
      <c r="Q41" s="52"/>
      <c r="R41" s="52" t="s">
        <v>980</v>
      </c>
      <c r="S41" s="52" t="s">
        <v>58</v>
      </c>
      <c r="T41" s="54">
        <v>100551.1</v>
      </c>
      <c r="U41" s="52" t="s">
        <v>981</v>
      </c>
      <c r="V41" s="52" t="s">
        <v>462</v>
      </c>
      <c r="W41" s="52"/>
      <c r="X41" s="55">
        <v>1.0</v>
      </c>
      <c r="Y41" s="52" t="s">
        <v>982</v>
      </c>
      <c r="Z41" s="52"/>
      <c r="AA41" s="53">
        <f>AB41+AC41+AF41</f>
        <v>5200000</v>
      </c>
      <c r="AB41" s="53">
        <v>1400000.0</v>
      </c>
      <c r="AC41" s="53">
        <v>2700000.0</v>
      </c>
      <c r="AD41" s="52"/>
      <c r="AE41" s="53">
        <f t="shared" si="5"/>
        <v>2500000</v>
      </c>
      <c r="AF41" s="53">
        <v>1100000.0</v>
      </c>
      <c r="AG41" s="56">
        <f t="shared" si="2"/>
        <v>1400000</v>
      </c>
      <c r="AH41" s="56">
        <f t="shared" si="3"/>
        <v>0</v>
      </c>
      <c r="AI41" s="52"/>
      <c r="AJ41" s="53">
        <v>0.0</v>
      </c>
      <c r="AK41" s="53">
        <v>1.33</v>
      </c>
      <c r="AL41" s="57">
        <v>45728.738483796296</v>
      </c>
    </row>
    <row r="42">
      <c r="A42" s="51" t="s">
        <v>994</v>
      </c>
      <c r="B42" s="52" t="s">
        <v>995</v>
      </c>
      <c r="C42" s="52" t="s">
        <v>996</v>
      </c>
      <c r="D42" s="52" t="s">
        <v>997</v>
      </c>
      <c r="E42" s="52" t="s">
        <v>998</v>
      </c>
      <c r="F42" s="52" t="s">
        <v>999</v>
      </c>
      <c r="G42" s="52" t="s">
        <v>540</v>
      </c>
      <c r="H42" s="52" t="s">
        <v>39</v>
      </c>
      <c r="I42" s="52" t="s">
        <v>68</v>
      </c>
      <c r="J42" s="53">
        <v>145.89471153863352</v>
      </c>
      <c r="K42" s="53">
        <v>-31.702724360042538</v>
      </c>
      <c r="L42" s="52" t="s">
        <v>41</v>
      </c>
      <c r="M42" s="52" t="s">
        <v>1000</v>
      </c>
      <c r="N42" s="52" t="s">
        <v>1001</v>
      </c>
      <c r="O42" s="52" t="s">
        <v>1002</v>
      </c>
      <c r="P42" s="52"/>
      <c r="Q42" s="52"/>
      <c r="R42" s="52" t="s">
        <v>1003</v>
      </c>
      <c r="S42" s="52" t="s">
        <v>58</v>
      </c>
      <c r="T42" s="54">
        <v>30800.0</v>
      </c>
      <c r="U42" s="52" t="s">
        <v>1004</v>
      </c>
      <c r="V42" s="52" t="s">
        <v>1005</v>
      </c>
      <c r="W42" s="52"/>
      <c r="X42" s="55">
        <v>0.8</v>
      </c>
      <c r="Y42" s="52" t="s">
        <v>1006</v>
      </c>
      <c r="Z42" s="52"/>
      <c r="AA42" s="53">
        <f>AC42</f>
        <v>1960000</v>
      </c>
      <c r="AB42" s="52"/>
      <c r="AC42" s="53">
        <v>1960000.0</v>
      </c>
      <c r="AD42" s="52"/>
      <c r="AE42" s="53">
        <f t="shared" si="5"/>
        <v>0</v>
      </c>
      <c r="AF42" s="52"/>
      <c r="AG42" s="56">
        <f t="shared" si="2"/>
        <v>0</v>
      </c>
      <c r="AH42" s="56">
        <f t="shared" si="3"/>
        <v>0</v>
      </c>
      <c r="AI42" s="52"/>
      <c r="AJ42" s="53">
        <v>0.00134</v>
      </c>
      <c r="AK42" s="53">
        <v>2.0</v>
      </c>
      <c r="AL42" s="57">
        <v>45522.68009259259</v>
      </c>
    </row>
    <row r="43">
      <c r="A43" s="44" t="s">
        <v>1034</v>
      </c>
      <c r="B43" s="45" t="s">
        <v>1035</v>
      </c>
      <c r="C43" s="45" t="s">
        <v>1036</v>
      </c>
      <c r="D43" s="45" t="s">
        <v>1037</v>
      </c>
      <c r="E43" s="45" t="s">
        <v>1038</v>
      </c>
      <c r="F43" s="45"/>
      <c r="G43" s="45" t="s">
        <v>540</v>
      </c>
      <c r="H43" s="45" t="s">
        <v>39</v>
      </c>
      <c r="I43" s="45" t="s">
        <v>40</v>
      </c>
      <c r="J43" s="46">
        <v>121.70853670952759</v>
      </c>
      <c r="K43" s="46">
        <v>-30.55692271736836</v>
      </c>
      <c r="L43" s="45" t="s">
        <v>41</v>
      </c>
      <c r="M43" s="45" t="s">
        <v>1039</v>
      </c>
      <c r="N43" s="45" t="s">
        <v>1040</v>
      </c>
      <c r="O43" s="45" t="s">
        <v>1041</v>
      </c>
      <c r="P43" s="45"/>
      <c r="Q43" s="45"/>
      <c r="R43" s="45" t="s">
        <v>1042</v>
      </c>
      <c r="S43" s="45" t="s">
        <v>58</v>
      </c>
      <c r="T43" s="47">
        <v>7624.0</v>
      </c>
      <c r="U43" s="45" t="s">
        <v>1043</v>
      </c>
      <c r="V43" s="45" t="s">
        <v>1044</v>
      </c>
      <c r="W43" s="45"/>
      <c r="X43" s="48">
        <v>0.7</v>
      </c>
      <c r="Y43" s="45" t="s">
        <v>1045</v>
      </c>
      <c r="Z43" s="45"/>
      <c r="AA43" s="46">
        <f t="shared" ref="AA43:AA44" si="8">AB43+AC43+AF43</f>
        <v>16750</v>
      </c>
      <c r="AB43" s="46">
        <v>16750.0</v>
      </c>
      <c r="AC43" s="45"/>
      <c r="AD43" s="45"/>
      <c r="AE43" s="46">
        <f t="shared" si="5"/>
        <v>16750</v>
      </c>
      <c r="AF43" s="45"/>
      <c r="AG43" s="49">
        <f t="shared" si="2"/>
        <v>16750</v>
      </c>
      <c r="AH43" s="49">
        <f t="shared" si="3"/>
        <v>0</v>
      </c>
      <c r="AI43" s="45"/>
      <c r="AJ43" s="46">
        <v>0.31155000000000005</v>
      </c>
      <c r="AK43" s="46">
        <v>2.0</v>
      </c>
      <c r="AL43" s="50">
        <v>45680.78099537037</v>
      </c>
    </row>
    <row r="44">
      <c r="A44" s="51" t="s">
        <v>1046</v>
      </c>
      <c r="B44" s="52" t="s">
        <v>1047</v>
      </c>
      <c r="C44" s="52" t="s">
        <v>1048</v>
      </c>
      <c r="D44" s="52" t="s">
        <v>1049</v>
      </c>
      <c r="E44" s="52" t="s">
        <v>1038</v>
      </c>
      <c r="F44" s="52" t="s">
        <v>1050</v>
      </c>
      <c r="G44" s="52" t="s">
        <v>540</v>
      </c>
      <c r="H44" s="52" t="s">
        <v>39</v>
      </c>
      <c r="I44" s="52" t="s">
        <v>40</v>
      </c>
      <c r="J44" s="53">
        <v>121.69933435706743</v>
      </c>
      <c r="K44" s="53">
        <v>-30.226694596481277</v>
      </c>
      <c r="L44" s="52" t="s">
        <v>41</v>
      </c>
      <c r="M44" s="52" t="s">
        <v>1051</v>
      </c>
      <c r="N44" s="52" t="s">
        <v>430</v>
      </c>
      <c r="O44" s="52"/>
      <c r="P44" s="52"/>
      <c r="Q44" s="52"/>
      <c r="R44" s="52" t="s">
        <v>1052</v>
      </c>
      <c r="S44" s="52" t="s">
        <v>58</v>
      </c>
      <c r="T44" s="54">
        <v>0.0</v>
      </c>
      <c r="U44" s="52" t="s">
        <v>1053</v>
      </c>
      <c r="V44" s="52" t="s">
        <v>409</v>
      </c>
      <c r="W44" s="52"/>
      <c r="X44" s="55">
        <v>1.0</v>
      </c>
      <c r="Y44" s="52" t="s">
        <v>1054</v>
      </c>
      <c r="Z44" s="52"/>
      <c r="AA44" s="53">
        <f t="shared" si="8"/>
        <v>1367500</v>
      </c>
      <c r="AB44" s="53">
        <v>167500.0</v>
      </c>
      <c r="AC44" s="52"/>
      <c r="AD44" s="52"/>
      <c r="AE44" s="53">
        <f t="shared" si="5"/>
        <v>1367500</v>
      </c>
      <c r="AF44" s="53">
        <v>1200000.0</v>
      </c>
      <c r="AG44" s="56">
        <f t="shared" si="2"/>
        <v>971500</v>
      </c>
      <c r="AH44" s="56">
        <f t="shared" si="3"/>
        <v>804000</v>
      </c>
      <c r="AI44" s="53">
        <v>6000000.0</v>
      </c>
      <c r="AJ44" s="53">
        <v>0.134</v>
      </c>
      <c r="AK44" s="52"/>
      <c r="AL44" s="57">
        <v>45616.637349537035</v>
      </c>
    </row>
    <row r="45" ht="12.0" customHeight="1">
      <c r="A45" s="6" t="s">
        <v>442</v>
      </c>
      <c r="B45" s="7" t="s">
        <v>443</v>
      </c>
      <c r="C45" s="7" t="s">
        <v>1097</v>
      </c>
      <c r="D45" s="7" t="s">
        <v>1098</v>
      </c>
      <c r="E45" s="7" t="s">
        <v>1099</v>
      </c>
      <c r="F45" s="7" t="s">
        <v>1100</v>
      </c>
      <c r="G45" s="7" t="s">
        <v>540</v>
      </c>
      <c r="H45" s="7" t="s">
        <v>39</v>
      </c>
      <c r="I45" s="7" t="s">
        <v>132</v>
      </c>
      <c r="J45" s="7">
        <v>150.8380842110854</v>
      </c>
      <c r="K45" s="7">
        <v>-25.466175096049074</v>
      </c>
      <c r="L45" s="7" t="s">
        <v>41</v>
      </c>
      <c r="M45" s="7" t="s">
        <v>1101</v>
      </c>
      <c r="N45" s="7" t="s">
        <v>448</v>
      </c>
      <c r="O45" s="7" t="s">
        <v>448</v>
      </c>
      <c r="P45" s="7"/>
      <c r="Q45" s="7"/>
      <c r="R45" s="7" t="s">
        <v>1102</v>
      </c>
      <c r="S45" s="7" t="s">
        <v>58</v>
      </c>
      <c r="T45" s="8">
        <v>28200.0</v>
      </c>
      <c r="U45" s="7" t="s">
        <v>1103</v>
      </c>
      <c r="V45" s="7" t="s">
        <v>451</v>
      </c>
      <c r="W45" s="7"/>
      <c r="X45" s="7"/>
      <c r="Y45" s="7" t="s">
        <v>1104</v>
      </c>
      <c r="Z45" s="7"/>
      <c r="AA45" s="7">
        <f>AB45+AC45</f>
        <v>967500</v>
      </c>
      <c r="AB45" s="7">
        <f>250000*0.67</f>
        <v>167500</v>
      </c>
      <c r="AC45" s="7">
        <v>800000.0</v>
      </c>
      <c r="AD45" s="7"/>
      <c r="AE45" s="7">
        <f t="shared" si="5"/>
        <v>167500</v>
      </c>
      <c r="AF45" s="7"/>
      <c r="AG45" s="10">
        <f t="shared" si="2"/>
        <v>167500</v>
      </c>
      <c r="AH45" s="10">
        <f t="shared" si="3"/>
        <v>0</v>
      </c>
      <c r="AI45" s="7"/>
      <c r="AJ45" s="7">
        <v>0.00268</v>
      </c>
      <c r="AK45" s="7"/>
      <c r="AL45" s="11">
        <v>45728.000173611115</v>
      </c>
    </row>
    <row r="46" ht="12.0" customHeight="1">
      <c r="A46" s="6" t="s">
        <v>75</v>
      </c>
      <c r="B46" s="7" t="s">
        <v>76</v>
      </c>
      <c r="C46" s="7" t="s">
        <v>1105</v>
      </c>
      <c r="D46" s="7" t="s">
        <v>1106</v>
      </c>
      <c r="E46" s="7" t="s">
        <v>1099</v>
      </c>
      <c r="F46" s="7" t="s">
        <v>1107</v>
      </c>
      <c r="G46" s="7" t="s">
        <v>540</v>
      </c>
      <c r="H46" s="7" t="s">
        <v>39</v>
      </c>
      <c r="I46" s="7" t="s">
        <v>79</v>
      </c>
      <c r="J46" s="7">
        <v>144.67363152535546</v>
      </c>
      <c r="K46" s="7">
        <v>-36.764363979188886</v>
      </c>
      <c r="L46" s="7" t="s">
        <v>41</v>
      </c>
      <c r="M46" s="7" t="s">
        <v>1108</v>
      </c>
      <c r="N46" s="7" t="s">
        <v>81</v>
      </c>
      <c r="O46" s="7" t="s">
        <v>81</v>
      </c>
      <c r="P46" s="7"/>
      <c r="Q46" s="7"/>
      <c r="R46" s="7" t="s">
        <v>1109</v>
      </c>
      <c r="S46" s="7" t="s">
        <v>58</v>
      </c>
      <c r="T46" s="8">
        <v>100000.0</v>
      </c>
      <c r="U46" s="7" t="s">
        <v>1110</v>
      </c>
      <c r="V46" s="7" t="s">
        <v>84</v>
      </c>
      <c r="W46" s="7"/>
      <c r="X46" s="9">
        <v>1.0</v>
      </c>
      <c r="Y46" s="7" t="s">
        <v>1111</v>
      </c>
      <c r="Z46" s="7"/>
      <c r="AA46" s="7">
        <f>AB46+AF46</f>
        <v>1940000</v>
      </c>
      <c r="AB46" s="7">
        <f>2400000*0.67</f>
        <v>1608000</v>
      </c>
      <c r="AC46" s="7"/>
      <c r="AD46" s="7">
        <v>351900.0</v>
      </c>
      <c r="AE46" s="7">
        <f t="shared" si="5"/>
        <v>1940000</v>
      </c>
      <c r="AF46" s="7">
        <v>332000.0</v>
      </c>
      <c r="AG46" s="10">
        <f t="shared" si="2"/>
        <v>1986420</v>
      </c>
      <c r="AH46" s="10">
        <f t="shared" si="3"/>
        <v>378420</v>
      </c>
      <c r="AI46" s="7">
        <v>5406000.0</v>
      </c>
      <c r="AJ46" s="7">
        <v>0.07</v>
      </c>
      <c r="AK46" s="7">
        <v>1.5</v>
      </c>
      <c r="AL46" s="11">
        <v>45637.65325231482</v>
      </c>
    </row>
    <row r="47" ht="12.0" customHeight="1">
      <c r="A47" s="6" t="s">
        <v>1112</v>
      </c>
      <c r="B47" s="7" t="s">
        <v>1113</v>
      </c>
      <c r="C47" s="7" t="s">
        <v>1114</v>
      </c>
      <c r="D47" s="7" t="s">
        <v>1115</v>
      </c>
      <c r="E47" s="7" t="s">
        <v>1099</v>
      </c>
      <c r="F47" s="7" t="s">
        <v>1116</v>
      </c>
      <c r="G47" s="7" t="s">
        <v>540</v>
      </c>
      <c r="H47" s="7" t="s">
        <v>39</v>
      </c>
      <c r="I47" s="7" t="s">
        <v>132</v>
      </c>
      <c r="J47" s="7">
        <v>144.67609198143379</v>
      </c>
      <c r="K47" s="7">
        <v>-16.72014857560992</v>
      </c>
      <c r="L47" s="7" t="s">
        <v>41</v>
      </c>
      <c r="M47" s="7" t="s">
        <v>1117</v>
      </c>
      <c r="N47" s="7" t="s">
        <v>1118</v>
      </c>
      <c r="O47" s="7" t="s">
        <v>1118</v>
      </c>
      <c r="P47" s="7"/>
      <c r="Q47" s="7"/>
      <c r="R47" s="7" t="s">
        <v>1119</v>
      </c>
      <c r="S47" s="7" t="s">
        <v>58</v>
      </c>
      <c r="T47" s="8">
        <v>29965.0</v>
      </c>
      <c r="U47" s="7" t="s">
        <v>1120</v>
      </c>
      <c r="V47" s="7" t="s">
        <v>1121</v>
      </c>
      <c r="W47" s="7"/>
      <c r="X47" s="9">
        <v>1.0</v>
      </c>
      <c r="Y47" s="7" t="s">
        <v>1122</v>
      </c>
      <c r="Z47" s="7"/>
      <c r="AA47" s="10">
        <f>AB47+AC47+AF47</f>
        <v>1005000</v>
      </c>
      <c r="AB47" s="7"/>
      <c r="AC47" s="7"/>
      <c r="AD47" s="7"/>
      <c r="AE47" s="10">
        <f t="shared" si="5"/>
        <v>1005000</v>
      </c>
      <c r="AF47" s="10">
        <f>AH47</f>
        <v>1005000</v>
      </c>
      <c r="AG47" s="10">
        <f t="shared" si="2"/>
        <v>1005000</v>
      </c>
      <c r="AH47" s="10">
        <f t="shared" si="3"/>
        <v>1005000</v>
      </c>
      <c r="AI47" s="7">
        <v>3.0E8</v>
      </c>
      <c r="AJ47" s="7">
        <v>0.00335</v>
      </c>
      <c r="AK47" s="7"/>
      <c r="AL47" s="11">
        <v>45693.67899305555</v>
      </c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40" t="s">
        <v>2439</v>
      </c>
      <c r="AA48" s="43">
        <f>AVERAGE(AA2:AA47)</f>
        <v>1203695.105</v>
      </c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40" t="s">
        <v>2441</v>
      </c>
      <c r="AA49" s="40">
        <v>38.0</v>
      </c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</sheetData>
  <dataValidations>
    <dataValidation type="custom" allowBlank="1" showDropDown="1" sqref="AL2:AL47">
      <formula1>OR(NOT(ISERROR(DATEVALUE(AL2))), AND(ISNUMBER(AL2), LEFT(CELL("format", AL2))="D"))</formula1>
    </dataValidation>
    <dataValidation type="custom" allowBlank="1" showDropDown="1" sqref="T2:T47">
      <formula1>AND(ISNUMBER(T2),(NOT(OR(NOT(ISERROR(DATEVALUE(T2))), AND(ISNUMBER(T2), LEFT(CELL("format", T2))="D")))))</formula1>
    </dataValidation>
  </dataValidations>
  <hyperlinks>
    <hyperlink r:id="rId1" ref="U2"/>
    <hyperlink r:id="rId2" ref="U14"/>
    <hyperlink r:id="rId3" ref="U28"/>
  </hyperlinks>
  <drawing r:id="rId4"/>
  <tableParts count="3">
    <tablePart r:id="rId8"/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2" max="22" width="68.57"/>
    <col customWidth="1" min="23" max="23" width="22.0"/>
    <col customWidth="1" min="24" max="24" width="17.71"/>
    <col customWidth="1" min="25" max="25" width="150.14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>
      <c r="A2" s="6" t="s">
        <v>62</v>
      </c>
      <c r="B2" s="7" t="s">
        <v>63</v>
      </c>
      <c r="C2" s="7" t="s">
        <v>64</v>
      </c>
      <c r="D2" s="7" t="s">
        <v>65</v>
      </c>
      <c r="E2" s="7" t="s">
        <v>66</v>
      </c>
      <c r="F2" s="7" t="s">
        <v>67</v>
      </c>
      <c r="G2" s="7" t="s">
        <v>38</v>
      </c>
      <c r="H2" s="7" t="s">
        <v>39</v>
      </c>
      <c r="I2" s="7" t="s">
        <v>68</v>
      </c>
      <c r="J2" s="7">
        <v>148.06433333358567</v>
      </c>
      <c r="K2" s="7">
        <v>-35.284333330000074</v>
      </c>
      <c r="L2" s="7" t="s">
        <v>41</v>
      </c>
      <c r="M2" s="7" t="s">
        <v>69</v>
      </c>
      <c r="N2" s="7" t="s">
        <v>70</v>
      </c>
      <c r="O2" s="7" t="s">
        <v>70</v>
      </c>
      <c r="P2" s="7"/>
      <c r="Q2" s="7"/>
      <c r="R2" s="7" t="s">
        <v>71</v>
      </c>
      <c r="S2" s="7" t="s">
        <v>58</v>
      </c>
      <c r="T2" s="8">
        <v>7000.0</v>
      </c>
      <c r="U2" s="12" t="s">
        <v>72</v>
      </c>
      <c r="V2" s="7" t="s">
        <v>73</v>
      </c>
      <c r="W2" s="7"/>
      <c r="X2" s="9">
        <v>0.51</v>
      </c>
      <c r="Y2" s="7" t="s">
        <v>74</v>
      </c>
      <c r="Z2" s="7"/>
      <c r="AA2" s="7">
        <f>AB2+AC2+AF2</f>
        <v>810000</v>
      </c>
      <c r="AB2" s="7">
        <v>300000.0</v>
      </c>
      <c r="AC2" s="7">
        <v>210000.0</v>
      </c>
      <c r="AD2" s="7"/>
      <c r="AE2" s="7">
        <f>AB2+AF2</f>
        <v>600000</v>
      </c>
      <c r="AF2" s="7">
        <v>300000.0</v>
      </c>
      <c r="AG2" s="10">
        <f t="shared" ref="AG2:AG62" si="1">AB2+AH2</f>
        <v>300000</v>
      </c>
      <c r="AH2" s="10">
        <f t="shared" ref="AH2:AH62" si="2">AI2*AJ2</f>
        <v>0</v>
      </c>
      <c r="AI2" s="7"/>
      <c r="AJ2" s="7">
        <v>0.004690000000000001</v>
      </c>
      <c r="AK2" s="7"/>
      <c r="AL2" s="11">
        <v>45727.6965625</v>
      </c>
    </row>
    <row r="3">
      <c r="A3" s="6" t="s">
        <v>75</v>
      </c>
      <c r="B3" s="7" t="s">
        <v>76</v>
      </c>
      <c r="C3" s="7" t="s">
        <v>77</v>
      </c>
      <c r="D3" s="7" t="s">
        <v>78</v>
      </c>
      <c r="E3" s="7" t="s">
        <v>66</v>
      </c>
      <c r="F3" s="7"/>
      <c r="G3" s="7" t="s">
        <v>38</v>
      </c>
      <c r="H3" s="7" t="s">
        <v>39</v>
      </c>
      <c r="I3" s="7" t="s">
        <v>79</v>
      </c>
      <c r="J3" s="7">
        <v>142.93134286686063</v>
      </c>
      <c r="K3" s="7">
        <v>-36.59741028861784</v>
      </c>
      <c r="L3" s="7" t="s">
        <v>41</v>
      </c>
      <c r="M3" s="7" t="s">
        <v>80</v>
      </c>
      <c r="N3" s="7" t="s">
        <v>81</v>
      </c>
      <c r="O3" s="7" t="s">
        <v>81</v>
      </c>
      <c r="P3" s="7"/>
      <c r="Q3" s="7"/>
      <c r="R3" s="7" t="s">
        <v>82</v>
      </c>
      <c r="S3" s="7" t="s">
        <v>58</v>
      </c>
      <c r="T3" s="8">
        <v>106300.0</v>
      </c>
      <c r="U3" s="7" t="s">
        <v>83</v>
      </c>
      <c r="V3" s="7" t="s">
        <v>84</v>
      </c>
      <c r="W3" s="7"/>
      <c r="X3" s="9">
        <v>1.0</v>
      </c>
      <c r="Y3" s="7" t="s">
        <v>85</v>
      </c>
      <c r="Z3" s="7"/>
      <c r="AA3" s="10">
        <f>AB3+AC3+AH3</f>
        <v>1145170</v>
      </c>
      <c r="AB3" s="7">
        <f>1225000*0.67</f>
        <v>820750</v>
      </c>
      <c r="AC3" s="7">
        <v>240000.0</v>
      </c>
      <c r="AD3" s="7"/>
      <c r="AE3" s="7"/>
      <c r="AF3" s="7"/>
      <c r="AG3" s="10">
        <f t="shared" si="1"/>
        <v>905170</v>
      </c>
      <c r="AH3" s="10">
        <f t="shared" si="2"/>
        <v>84420</v>
      </c>
      <c r="AI3" s="7">
        <v>700000.0</v>
      </c>
      <c r="AJ3" s="7">
        <v>0.1206</v>
      </c>
      <c r="AK3" s="7"/>
      <c r="AL3" s="11">
        <v>45742.725011574075</v>
      </c>
    </row>
    <row r="4">
      <c r="A4" s="6" t="s">
        <v>86</v>
      </c>
      <c r="B4" s="7" t="s">
        <v>87</v>
      </c>
      <c r="C4" s="7" t="s">
        <v>88</v>
      </c>
      <c r="D4" s="7" t="s">
        <v>89</v>
      </c>
      <c r="E4" s="7" t="s">
        <v>66</v>
      </c>
      <c r="F4" s="13"/>
      <c r="G4" s="7" t="s">
        <v>38</v>
      </c>
      <c r="H4" s="7" t="s">
        <v>39</v>
      </c>
      <c r="I4" s="7" t="s">
        <v>40</v>
      </c>
      <c r="J4" s="7">
        <v>120.2145678368543</v>
      </c>
      <c r="K4" s="7">
        <v>-20.77727192049473</v>
      </c>
      <c r="L4" s="7" t="s">
        <v>41</v>
      </c>
      <c r="M4" s="7" t="s">
        <v>41</v>
      </c>
      <c r="N4" s="7" t="s">
        <v>90</v>
      </c>
      <c r="O4" s="7" t="s">
        <v>90</v>
      </c>
      <c r="P4" s="7" t="s">
        <v>91</v>
      </c>
      <c r="Q4" s="7" t="s">
        <v>91</v>
      </c>
      <c r="R4" s="7" t="s">
        <v>92</v>
      </c>
      <c r="S4" s="7" t="s">
        <v>58</v>
      </c>
      <c r="T4" s="8">
        <v>0.0</v>
      </c>
      <c r="U4" s="12" t="s">
        <v>93</v>
      </c>
      <c r="V4" s="7" t="s">
        <v>94</v>
      </c>
      <c r="W4" s="7"/>
      <c r="X4" s="7"/>
      <c r="Y4" s="7"/>
      <c r="Z4" s="7"/>
      <c r="AA4" s="7"/>
      <c r="AB4" s="7"/>
      <c r="AC4" s="7"/>
      <c r="AD4" s="7"/>
      <c r="AE4" s="7">
        <f t="shared" ref="AE4:AE53" si="3">AB4+AF4</f>
        <v>0</v>
      </c>
      <c r="AF4" s="7"/>
      <c r="AG4" s="10">
        <f t="shared" si="1"/>
        <v>0</v>
      </c>
      <c r="AH4" s="10">
        <f t="shared" si="2"/>
        <v>0</v>
      </c>
      <c r="AI4" s="7">
        <v>8431.0</v>
      </c>
      <c r="AJ4" s="7">
        <v>0.0</v>
      </c>
      <c r="AK4" s="7"/>
      <c r="AL4" s="11">
        <v>44946.339583333334</v>
      </c>
    </row>
    <row r="5">
      <c r="A5" s="6" t="s">
        <v>95</v>
      </c>
      <c r="B5" s="7" t="s">
        <v>96</v>
      </c>
      <c r="C5" s="7" t="s">
        <v>97</v>
      </c>
      <c r="D5" s="7" t="s">
        <v>98</v>
      </c>
      <c r="E5" s="7" t="s">
        <v>66</v>
      </c>
      <c r="F5" s="7" t="s">
        <v>99</v>
      </c>
      <c r="G5" s="7" t="s">
        <v>38</v>
      </c>
      <c r="H5" s="7" t="s">
        <v>39</v>
      </c>
      <c r="I5" s="7" t="s">
        <v>100</v>
      </c>
      <c r="J5" s="7">
        <v>146.82795010315473</v>
      </c>
      <c r="K5" s="7">
        <v>-41.223397352881435</v>
      </c>
      <c r="L5" s="7" t="s">
        <v>41</v>
      </c>
      <c r="M5" s="7" t="s">
        <v>101</v>
      </c>
      <c r="N5" s="7" t="s">
        <v>102</v>
      </c>
      <c r="O5" s="7" t="s">
        <v>102</v>
      </c>
      <c r="P5" s="7"/>
      <c r="Q5" s="7"/>
      <c r="R5" s="7" t="s">
        <v>103</v>
      </c>
      <c r="S5" s="7" t="s">
        <v>58</v>
      </c>
      <c r="T5" s="8">
        <v>4000.0</v>
      </c>
      <c r="U5" s="7" t="s">
        <v>104</v>
      </c>
      <c r="V5" s="7" t="s">
        <v>105</v>
      </c>
      <c r="W5" s="7"/>
      <c r="X5" s="9">
        <v>1.0</v>
      </c>
      <c r="Y5" s="7" t="s">
        <v>106</v>
      </c>
      <c r="Z5" s="7"/>
      <c r="AA5" s="7"/>
      <c r="AB5" s="7"/>
      <c r="AC5" s="7"/>
      <c r="AD5" s="7"/>
      <c r="AE5" s="7">
        <f t="shared" si="3"/>
        <v>0</v>
      </c>
      <c r="AF5" s="7"/>
      <c r="AG5" s="10">
        <f t="shared" si="1"/>
        <v>0</v>
      </c>
      <c r="AH5" s="10">
        <f t="shared" si="2"/>
        <v>0</v>
      </c>
      <c r="AI5" s="7"/>
      <c r="AJ5" s="7">
        <v>0.0201</v>
      </c>
      <c r="AK5" s="7"/>
      <c r="AL5" s="11">
        <v>45526.72162037037</v>
      </c>
    </row>
    <row r="6">
      <c r="A6" s="6" t="s">
        <v>107</v>
      </c>
      <c r="B6" s="7" t="s">
        <v>108</v>
      </c>
      <c r="C6" s="7" t="s">
        <v>109</v>
      </c>
      <c r="D6" s="7" t="s">
        <v>110</v>
      </c>
      <c r="E6" s="7" t="s">
        <v>66</v>
      </c>
      <c r="F6" s="7" t="s">
        <v>111</v>
      </c>
      <c r="G6" s="7" t="s">
        <v>38</v>
      </c>
      <c r="H6" s="7" t="s">
        <v>39</v>
      </c>
      <c r="I6" s="7" t="s">
        <v>40</v>
      </c>
      <c r="J6" s="7">
        <v>120.9678697303101</v>
      </c>
      <c r="K6" s="7">
        <v>-31.07768054545167</v>
      </c>
      <c r="L6" s="7" t="s">
        <v>41</v>
      </c>
      <c r="M6" s="7" t="s">
        <v>112</v>
      </c>
      <c r="N6" s="7" t="s">
        <v>113</v>
      </c>
      <c r="O6" s="7"/>
      <c r="P6" s="7"/>
      <c r="Q6" s="7"/>
      <c r="R6" s="7" t="s">
        <v>114</v>
      </c>
      <c r="S6" s="7" t="s">
        <v>58</v>
      </c>
      <c r="T6" s="8">
        <v>29300.0</v>
      </c>
      <c r="U6" s="12" t="s">
        <v>115</v>
      </c>
      <c r="V6" s="7" t="s">
        <v>116</v>
      </c>
      <c r="W6" s="7"/>
      <c r="X6" s="9">
        <v>1.0</v>
      </c>
      <c r="Y6" s="7"/>
      <c r="Z6" s="7"/>
      <c r="AA6" s="7">
        <f>AB6+AC6+AF6</f>
        <v>125600000</v>
      </c>
      <c r="AB6" s="7">
        <v>1.03E8</v>
      </c>
      <c r="AC6" s="7">
        <v>1.6E7</v>
      </c>
      <c r="AD6" s="7">
        <f>AB6+AF6</f>
        <v>109600000</v>
      </c>
      <c r="AE6" s="7">
        <f t="shared" si="3"/>
        <v>109600000</v>
      </c>
      <c r="AF6" s="7">
        <v>6600000.0</v>
      </c>
      <c r="AG6" s="10">
        <f t="shared" si="1"/>
        <v>103000000</v>
      </c>
      <c r="AH6" s="10">
        <f t="shared" si="2"/>
        <v>0</v>
      </c>
      <c r="AI6" s="7"/>
      <c r="AJ6" s="7">
        <v>0.08710000000000001</v>
      </c>
      <c r="AK6" s="7"/>
      <c r="AL6" s="11">
        <v>45753.68025462963</v>
      </c>
    </row>
    <row r="7">
      <c r="A7" s="6" t="s">
        <v>117</v>
      </c>
      <c r="B7" s="7" t="s">
        <v>118</v>
      </c>
      <c r="C7" s="7" t="s">
        <v>119</v>
      </c>
      <c r="D7" s="7" t="s">
        <v>120</v>
      </c>
      <c r="E7" s="7" t="s">
        <v>66</v>
      </c>
      <c r="F7" s="7"/>
      <c r="G7" s="7" t="s">
        <v>38</v>
      </c>
      <c r="H7" s="7" t="s">
        <v>39</v>
      </c>
      <c r="I7" s="7" t="s">
        <v>40</v>
      </c>
      <c r="J7" s="7">
        <v>127.81368776161271</v>
      </c>
      <c r="K7" s="7">
        <v>-18.43174191898515</v>
      </c>
      <c r="L7" s="7" t="s">
        <v>41</v>
      </c>
      <c r="M7" s="7" t="s">
        <v>121</v>
      </c>
      <c r="N7" s="7" t="s">
        <v>122</v>
      </c>
      <c r="O7" s="7" t="s">
        <v>123</v>
      </c>
      <c r="P7" s="7"/>
      <c r="Q7" s="7"/>
      <c r="R7" s="7" t="s">
        <v>124</v>
      </c>
      <c r="S7" s="7" t="s">
        <v>58</v>
      </c>
      <c r="T7" s="8">
        <v>0.0</v>
      </c>
      <c r="U7" s="12" t="s">
        <v>125</v>
      </c>
      <c r="V7" s="7" t="s">
        <v>126</v>
      </c>
      <c r="W7" s="7"/>
      <c r="X7" s="9">
        <v>1.0</v>
      </c>
      <c r="Y7" s="7" t="s">
        <v>127</v>
      </c>
      <c r="Z7" s="7"/>
      <c r="AA7" s="7">
        <f>AB7+AF7</f>
        <v>3350000</v>
      </c>
      <c r="AB7" s="7">
        <f>3250000*0.67</f>
        <v>2177500</v>
      </c>
      <c r="AC7" s="7"/>
      <c r="AD7" s="7">
        <v>5000000.0</v>
      </c>
      <c r="AE7" s="7">
        <f t="shared" si="3"/>
        <v>3350000</v>
      </c>
      <c r="AF7" s="7">
        <f>1750000*0.67</f>
        <v>1172500</v>
      </c>
      <c r="AG7" s="10">
        <f t="shared" si="1"/>
        <v>2177500</v>
      </c>
      <c r="AH7" s="10">
        <f t="shared" si="2"/>
        <v>0</v>
      </c>
      <c r="AI7" s="7"/>
      <c r="AJ7" s="7">
        <v>0.0</v>
      </c>
      <c r="AK7" s="7"/>
      <c r="AL7" s="11">
        <v>45616.87666666666</v>
      </c>
    </row>
    <row r="8">
      <c r="A8" s="6" t="s">
        <v>128</v>
      </c>
      <c r="B8" s="7" t="s">
        <v>129</v>
      </c>
      <c r="C8" s="7" t="s">
        <v>130</v>
      </c>
      <c r="D8" s="7" t="s">
        <v>131</v>
      </c>
      <c r="E8" s="7" t="s">
        <v>66</v>
      </c>
      <c r="F8" s="7"/>
      <c r="G8" s="7" t="s">
        <v>38</v>
      </c>
      <c r="H8" s="7" t="s">
        <v>39</v>
      </c>
      <c r="I8" s="7" t="s">
        <v>132</v>
      </c>
      <c r="J8" s="7">
        <v>140.69573934269576</v>
      </c>
      <c r="K8" s="7">
        <v>-20.943669634395675</v>
      </c>
      <c r="L8" s="7" t="s">
        <v>41</v>
      </c>
      <c r="M8" s="7" t="s">
        <v>133</v>
      </c>
      <c r="N8" s="7" t="s">
        <v>134</v>
      </c>
      <c r="O8" s="7"/>
      <c r="P8" s="7"/>
      <c r="Q8" s="7"/>
      <c r="R8" s="7" t="s">
        <v>135</v>
      </c>
      <c r="S8" s="7" t="s">
        <v>58</v>
      </c>
      <c r="T8" s="8">
        <v>44700.0</v>
      </c>
      <c r="U8" s="7" t="s">
        <v>136</v>
      </c>
      <c r="V8" s="7" t="s">
        <v>137</v>
      </c>
      <c r="W8" s="7"/>
      <c r="X8" s="9">
        <v>0.5</v>
      </c>
      <c r="Y8" s="7" t="s">
        <v>138</v>
      </c>
      <c r="Z8" s="7"/>
      <c r="AA8" s="7">
        <f>AC8</f>
        <v>3300000</v>
      </c>
      <c r="AB8" s="7"/>
      <c r="AC8" s="7">
        <v>3300000.0</v>
      </c>
      <c r="AD8" s="7"/>
      <c r="AE8" s="7">
        <f t="shared" si="3"/>
        <v>0</v>
      </c>
      <c r="AF8" s="7"/>
      <c r="AG8" s="10">
        <f t="shared" si="1"/>
        <v>0</v>
      </c>
      <c r="AH8" s="10">
        <f t="shared" si="2"/>
        <v>0</v>
      </c>
      <c r="AI8" s="7"/>
      <c r="AJ8" s="7">
        <v>0.0</v>
      </c>
      <c r="AK8" s="7"/>
      <c r="AL8" s="11">
        <v>45719.6622800926</v>
      </c>
    </row>
    <row r="9">
      <c r="A9" s="6" t="s">
        <v>139</v>
      </c>
      <c r="B9" s="7" t="s">
        <v>140</v>
      </c>
      <c r="C9" s="7" t="s">
        <v>141</v>
      </c>
      <c r="D9" s="7" t="s">
        <v>142</v>
      </c>
      <c r="E9" s="7" t="s">
        <v>66</v>
      </c>
      <c r="F9" s="7"/>
      <c r="G9" s="7" t="s">
        <v>38</v>
      </c>
      <c r="H9" s="7" t="s">
        <v>39</v>
      </c>
      <c r="I9" s="7" t="s">
        <v>40</v>
      </c>
      <c r="J9" s="7">
        <v>119.4184865702663</v>
      </c>
      <c r="K9" s="7">
        <v>-23.790325655116092</v>
      </c>
      <c r="L9" s="7" t="s">
        <v>41</v>
      </c>
      <c r="M9" s="7" t="s">
        <v>143</v>
      </c>
      <c r="N9" s="7" t="s">
        <v>144</v>
      </c>
      <c r="O9" s="7" t="s">
        <v>144</v>
      </c>
      <c r="P9" s="7"/>
      <c r="Q9" s="7"/>
      <c r="R9" s="7" t="s">
        <v>145</v>
      </c>
      <c r="S9" s="7" t="s">
        <v>58</v>
      </c>
      <c r="T9" s="8">
        <v>27000.0</v>
      </c>
      <c r="U9" s="7" t="s">
        <v>146</v>
      </c>
      <c r="V9" s="7" t="s">
        <v>147</v>
      </c>
      <c r="W9" s="7"/>
      <c r="X9" s="9">
        <v>1.0</v>
      </c>
      <c r="Y9" s="7" t="s">
        <v>148</v>
      </c>
      <c r="Z9" s="7"/>
      <c r="AA9" s="7">
        <f>AB9+AF9</f>
        <v>2000000</v>
      </c>
      <c r="AB9" s="7">
        <v>1000000.0</v>
      </c>
      <c r="AC9" s="7"/>
      <c r="AD9" s="7"/>
      <c r="AE9" s="7">
        <f t="shared" si="3"/>
        <v>2000000</v>
      </c>
      <c r="AF9" s="7">
        <v>1000000.0</v>
      </c>
      <c r="AG9" s="10">
        <f t="shared" si="1"/>
        <v>1000000</v>
      </c>
      <c r="AH9" s="10">
        <f t="shared" si="2"/>
        <v>0</v>
      </c>
      <c r="AI9" s="7"/>
      <c r="AJ9" s="7">
        <v>6.284600000000001</v>
      </c>
      <c r="AK9" s="7">
        <v>1.0</v>
      </c>
      <c r="AL9" s="11">
        <v>45704.92078703704</v>
      </c>
    </row>
    <row r="10">
      <c r="A10" s="6" t="s">
        <v>149</v>
      </c>
      <c r="B10" s="7" t="s">
        <v>150</v>
      </c>
      <c r="C10" s="7" t="s">
        <v>151</v>
      </c>
      <c r="D10" s="7" t="s">
        <v>152</v>
      </c>
      <c r="E10" s="7" t="s">
        <v>66</v>
      </c>
      <c r="F10" s="7"/>
      <c r="G10" s="7" t="s">
        <v>38</v>
      </c>
      <c r="H10" s="7" t="s">
        <v>39</v>
      </c>
      <c r="I10" s="7" t="s">
        <v>132</v>
      </c>
      <c r="J10" s="7">
        <v>142.41050143918497</v>
      </c>
      <c r="K10" s="7">
        <v>-18.77952707958833</v>
      </c>
      <c r="L10" s="7" t="s">
        <v>41</v>
      </c>
      <c r="M10" s="7" t="s">
        <v>153</v>
      </c>
      <c r="N10" s="7" t="s">
        <v>154</v>
      </c>
      <c r="O10" s="7"/>
      <c r="P10" s="7"/>
      <c r="Q10" s="7"/>
      <c r="R10" s="7" t="s">
        <v>155</v>
      </c>
      <c r="S10" s="7" t="s">
        <v>58</v>
      </c>
      <c r="T10" s="8">
        <v>0.0</v>
      </c>
      <c r="U10" s="7" t="s">
        <v>156</v>
      </c>
      <c r="V10" s="7" t="s">
        <v>157</v>
      </c>
      <c r="W10" s="7"/>
      <c r="X10" s="9">
        <v>0.7</v>
      </c>
      <c r="Y10" s="7" t="s">
        <v>158</v>
      </c>
      <c r="Z10" s="7"/>
      <c r="AA10" s="7">
        <f>AB10</f>
        <v>830000</v>
      </c>
      <c r="AB10" s="7">
        <v>830000.0</v>
      </c>
      <c r="AC10" s="7"/>
      <c r="AD10" s="7"/>
      <c r="AE10" s="7">
        <f t="shared" si="3"/>
        <v>830000</v>
      </c>
      <c r="AF10" s="7"/>
      <c r="AG10" s="10">
        <f t="shared" si="1"/>
        <v>830000</v>
      </c>
      <c r="AH10" s="10">
        <f t="shared" si="2"/>
        <v>0</v>
      </c>
      <c r="AI10" s="7"/>
      <c r="AJ10" s="7">
        <v>0.0</v>
      </c>
      <c r="AK10" s="7">
        <v>1.0</v>
      </c>
      <c r="AL10" s="11">
        <v>45697.64299768519</v>
      </c>
    </row>
    <row r="11">
      <c r="A11" s="6" t="s">
        <v>159</v>
      </c>
      <c r="B11" s="7" t="s">
        <v>160</v>
      </c>
      <c r="C11" s="7" t="s">
        <v>161</v>
      </c>
      <c r="D11" s="7" t="s">
        <v>162</v>
      </c>
      <c r="E11" s="7" t="s">
        <v>66</v>
      </c>
      <c r="F11" s="7" t="s">
        <v>163</v>
      </c>
      <c r="G11" s="7" t="s">
        <v>38</v>
      </c>
      <c r="H11" s="7" t="s">
        <v>39</v>
      </c>
      <c r="I11" s="7" t="s">
        <v>40</v>
      </c>
      <c r="J11" s="7">
        <v>121.262520951808</v>
      </c>
      <c r="K11" s="7">
        <v>-30.335749803035586</v>
      </c>
      <c r="L11" s="7" t="s">
        <v>41</v>
      </c>
      <c r="M11" s="7" t="s">
        <v>164</v>
      </c>
      <c r="N11" s="7" t="s">
        <v>165</v>
      </c>
      <c r="O11" s="7" t="s">
        <v>165</v>
      </c>
      <c r="P11" s="7"/>
      <c r="Q11" s="7"/>
      <c r="R11" s="7" t="s">
        <v>166</v>
      </c>
      <c r="S11" s="7" t="s">
        <v>167</v>
      </c>
      <c r="T11" s="8">
        <v>0.0</v>
      </c>
      <c r="U11" s="7" t="s">
        <v>168</v>
      </c>
      <c r="V11" s="7" t="s">
        <v>169</v>
      </c>
      <c r="W11" s="7"/>
      <c r="X11" s="9">
        <v>1.0</v>
      </c>
      <c r="Y11" s="7" t="s">
        <v>170</v>
      </c>
      <c r="Z11" s="7"/>
      <c r="AA11" s="7"/>
      <c r="AB11" s="7"/>
      <c r="AC11" s="7"/>
      <c r="AD11" s="7"/>
      <c r="AE11" s="7">
        <f t="shared" si="3"/>
        <v>0</v>
      </c>
      <c r="AF11" s="7"/>
      <c r="AG11" s="10">
        <f t="shared" si="1"/>
        <v>0</v>
      </c>
      <c r="AH11" s="10">
        <f t="shared" si="2"/>
        <v>0</v>
      </c>
      <c r="AI11" s="7"/>
      <c r="AJ11" s="7">
        <v>0.00134</v>
      </c>
      <c r="AK11" s="7"/>
      <c r="AL11" s="11">
        <v>45638.69436342592</v>
      </c>
    </row>
    <row r="12">
      <c r="A12" s="6" t="s">
        <v>171</v>
      </c>
      <c r="B12" s="7" t="s">
        <v>172</v>
      </c>
      <c r="C12" s="7" t="s">
        <v>173</v>
      </c>
      <c r="D12" s="7" t="s">
        <v>174</v>
      </c>
      <c r="E12" s="7" t="s">
        <v>66</v>
      </c>
      <c r="F12" s="7" t="s">
        <v>175</v>
      </c>
      <c r="G12" s="7" t="s">
        <v>38</v>
      </c>
      <c r="H12" s="7" t="s">
        <v>39</v>
      </c>
      <c r="I12" s="7" t="s">
        <v>40</v>
      </c>
      <c r="J12" s="7">
        <v>116.23314207631502</v>
      </c>
      <c r="K12" s="7">
        <v>-25.340136612579794</v>
      </c>
      <c r="L12" s="7" t="s">
        <v>41</v>
      </c>
      <c r="M12" s="7" t="s">
        <v>176</v>
      </c>
      <c r="N12" s="7" t="s">
        <v>177</v>
      </c>
      <c r="O12" s="7" t="s">
        <v>177</v>
      </c>
      <c r="P12" s="7" t="s">
        <v>178</v>
      </c>
      <c r="Q12" s="7" t="s">
        <v>178</v>
      </c>
      <c r="R12" s="7" t="s">
        <v>179</v>
      </c>
      <c r="S12" s="7" t="s">
        <v>58</v>
      </c>
      <c r="T12" s="8">
        <v>89800.0</v>
      </c>
      <c r="U12" s="7" t="s">
        <v>180</v>
      </c>
      <c r="V12" s="7" t="s">
        <v>181</v>
      </c>
      <c r="W12" s="7"/>
      <c r="X12" s="9">
        <v>1.0</v>
      </c>
      <c r="Y12" s="7" t="s">
        <v>182</v>
      </c>
      <c r="Z12" s="7"/>
      <c r="AA12" s="10">
        <f t="shared" ref="AA12:AA19" si="4">AB12+AC12+AF12</f>
        <v>468225</v>
      </c>
      <c r="AB12" s="7">
        <f>670000/2</f>
        <v>335000</v>
      </c>
      <c r="AC12" s="7"/>
      <c r="AD12" s="7"/>
      <c r="AE12" s="10">
        <f t="shared" si="3"/>
        <v>468225</v>
      </c>
      <c r="AF12" s="10">
        <v>133224.99999999997</v>
      </c>
      <c r="AG12" s="10">
        <f t="shared" si="1"/>
        <v>468225</v>
      </c>
      <c r="AH12" s="10">
        <f t="shared" si="2"/>
        <v>133225</v>
      </c>
      <c r="AI12" s="7">
        <v>500000.0</v>
      </c>
      <c r="AJ12" s="7">
        <f>0.365*0.73</f>
        <v>0.26645</v>
      </c>
      <c r="AK12" s="7">
        <v>0.75</v>
      </c>
      <c r="AL12" s="11">
        <v>45701.763194444444</v>
      </c>
    </row>
    <row r="13">
      <c r="A13" s="6" t="s">
        <v>183</v>
      </c>
      <c r="B13" s="7" t="s">
        <v>184</v>
      </c>
      <c r="C13" s="7" t="s">
        <v>185</v>
      </c>
      <c r="D13" s="7" t="s">
        <v>186</v>
      </c>
      <c r="E13" s="7" t="s">
        <v>66</v>
      </c>
      <c r="F13" s="7"/>
      <c r="G13" s="7" t="s">
        <v>38</v>
      </c>
      <c r="H13" s="7" t="s">
        <v>39</v>
      </c>
      <c r="I13" s="7" t="s">
        <v>40</v>
      </c>
      <c r="J13" s="7">
        <v>116.95918789948412</v>
      </c>
      <c r="K13" s="7">
        <v>-28.95751955942712</v>
      </c>
      <c r="L13" s="7" t="s">
        <v>41</v>
      </c>
      <c r="M13" s="7" t="s">
        <v>187</v>
      </c>
      <c r="N13" s="7" t="s">
        <v>188</v>
      </c>
      <c r="O13" s="7" t="s">
        <v>188</v>
      </c>
      <c r="P13" s="7"/>
      <c r="Q13" s="7"/>
      <c r="R13" s="7" t="s">
        <v>189</v>
      </c>
      <c r="S13" s="7" t="s">
        <v>58</v>
      </c>
      <c r="T13" s="8">
        <v>0.0</v>
      </c>
      <c r="U13" s="7" t="s">
        <v>190</v>
      </c>
      <c r="V13" s="7" t="s">
        <v>191</v>
      </c>
      <c r="W13" s="7"/>
      <c r="X13" s="9">
        <v>1.0</v>
      </c>
      <c r="Y13" s="7" t="s">
        <v>192</v>
      </c>
      <c r="Z13" s="7"/>
      <c r="AA13" s="7">
        <f t="shared" si="4"/>
        <v>1340000</v>
      </c>
      <c r="AB13" s="7">
        <v>1340000.0</v>
      </c>
      <c r="AC13" s="7"/>
      <c r="AD13" s="7"/>
      <c r="AE13" s="7">
        <f t="shared" si="3"/>
        <v>1340000</v>
      </c>
      <c r="AF13" s="7"/>
      <c r="AG13" s="10">
        <f t="shared" si="1"/>
        <v>1340000</v>
      </c>
      <c r="AH13" s="10">
        <f t="shared" si="2"/>
        <v>0</v>
      </c>
      <c r="AI13" s="7"/>
      <c r="AJ13" s="7">
        <v>0.07705000000000001</v>
      </c>
      <c r="AK13" s="7"/>
      <c r="AL13" s="11">
        <v>45495.68398148148</v>
      </c>
    </row>
    <row r="14">
      <c r="A14" s="6" t="s">
        <v>193</v>
      </c>
      <c r="B14" s="7" t="s">
        <v>194</v>
      </c>
      <c r="C14" s="7" t="s">
        <v>195</v>
      </c>
      <c r="D14" s="7" t="s">
        <v>196</v>
      </c>
      <c r="E14" s="7" t="s">
        <v>66</v>
      </c>
      <c r="F14" s="7"/>
      <c r="G14" s="7" t="s">
        <v>38</v>
      </c>
      <c r="H14" s="7" t="s">
        <v>39</v>
      </c>
      <c r="I14" s="7" t="s">
        <v>40</v>
      </c>
      <c r="J14" s="7">
        <v>122.07626189405482</v>
      </c>
      <c r="K14" s="7">
        <v>-29.04137588736817</v>
      </c>
      <c r="L14" s="7" t="s">
        <v>41</v>
      </c>
      <c r="M14" s="7" t="s">
        <v>197</v>
      </c>
      <c r="N14" s="7" t="s">
        <v>198</v>
      </c>
      <c r="O14" s="7" t="s">
        <v>198</v>
      </c>
      <c r="P14" s="7"/>
      <c r="Q14" s="7"/>
      <c r="R14" s="7" t="s">
        <v>199</v>
      </c>
      <c r="S14" s="7" t="s">
        <v>58</v>
      </c>
      <c r="T14" s="8">
        <v>15400.0</v>
      </c>
      <c r="U14" s="7" t="s">
        <v>200</v>
      </c>
      <c r="V14" s="7" t="s">
        <v>201</v>
      </c>
      <c r="W14" s="7"/>
      <c r="X14" s="7"/>
      <c r="Y14" s="7" t="s">
        <v>202</v>
      </c>
      <c r="Z14" s="7"/>
      <c r="AA14" s="7">
        <f t="shared" si="4"/>
        <v>10500000</v>
      </c>
      <c r="AB14" s="7"/>
      <c r="AC14" s="7">
        <v>1.05E7</v>
      </c>
      <c r="AD14" s="7"/>
      <c r="AE14" s="7">
        <f t="shared" si="3"/>
        <v>0</v>
      </c>
      <c r="AF14" s="7"/>
      <c r="AG14" s="10">
        <f t="shared" si="1"/>
        <v>0</v>
      </c>
      <c r="AH14" s="10">
        <f t="shared" si="2"/>
        <v>0</v>
      </c>
      <c r="AI14" s="14"/>
      <c r="AJ14" s="7">
        <v>0.067</v>
      </c>
      <c r="AK14" s="7"/>
      <c r="AL14" s="11">
        <v>45643.73243055555</v>
      </c>
    </row>
    <row r="15">
      <c r="A15" s="6" t="s">
        <v>203</v>
      </c>
      <c r="B15" s="7" t="s">
        <v>204</v>
      </c>
      <c r="C15" s="7" t="s">
        <v>205</v>
      </c>
      <c r="D15" s="7" t="s">
        <v>206</v>
      </c>
      <c r="E15" s="7" t="s">
        <v>66</v>
      </c>
      <c r="F15" s="7"/>
      <c r="G15" s="7" t="s">
        <v>38</v>
      </c>
      <c r="H15" s="7" t="s">
        <v>39</v>
      </c>
      <c r="I15" s="7" t="s">
        <v>40</v>
      </c>
      <c r="J15" s="7">
        <v>121.67038494819839</v>
      </c>
      <c r="K15" s="7">
        <v>-31.75869148903366</v>
      </c>
      <c r="L15" s="7" t="s">
        <v>41</v>
      </c>
      <c r="M15" s="7" t="s">
        <v>207</v>
      </c>
      <c r="N15" s="7" t="s">
        <v>208</v>
      </c>
      <c r="O15" s="7"/>
      <c r="P15" s="7"/>
      <c r="Q15" s="7"/>
      <c r="R15" s="7" t="s">
        <v>209</v>
      </c>
      <c r="S15" s="7" t="s">
        <v>58</v>
      </c>
      <c r="T15" s="8">
        <v>0.0</v>
      </c>
      <c r="U15" s="7" t="s">
        <v>210</v>
      </c>
      <c r="V15" s="7" t="s">
        <v>211</v>
      </c>
      <c r="W15" s="7"/>
      <c r="X15" s="9">
        <v>0.8</v>
      </c>
      <c r="Y15" s="7" t="s">
        <v>212</v>
      </c>
      <c r="Z15" s="7"/>
      <c r="AA15" s="7">
        <f t="shared" si="4"/>
        <v>105000</v>
      </c>
      <c r="AB15" s="7">
        <v>105000.0</v>
      </c>
      <c r="AC15" s="7"/>
      <c r="AD15" s="7"/>
      <c r="AE15" s="7">
        <f t="shared" si="3"/>
        <v>105000</v>
      </c>
      <c r="AF15" s="7"/>
      <c r="AG15" s="10">
        <f t="shared" si="1"/>
        <v>105000</v>
      </c>
      <c r="AH15" s="10">
        <f t="shared" si="2"/>
        <v>0</v>
      </c>
      <c r="AI15" s="7"/>
      <c r="AJ15" s="7">
        <v>0.0</v>
      </c>
      <c r="AK15" s="7"/>
      <c r="AL15" s="11">
        <v>45649.79980324074</v>
      </c>
    </row>
    <row r="16">
      <c r="A16" s="6" t="s">
        <v>213</v>
      </c>
      <c r="B16" s="7" t="s">
        <v>214</v>
      </c>
      <c r="C16" s="7" t="s">
        <v>215</v>
      </c>
      <c r="D16" s="7" t="s">
        <v>216</v>
      </c>
      <c r="E16" s="7" t="s">
        <v>66</v>
      </c>
      <c r="F16" s="7" t="s">
        <v>217</v>
      </c>
      <c r="G16" s="7" t="s">
        <v>38</v>
      </c>
      <c r="H16" s="7" t="s">
        <v>39</v>
      </c>
      <c r="I16" s="7" t="s">
        <v>79</v>
      </c>
      <c r="J16" s="7">
        <v>142.91777151804936</v>
      </c>
      <c r="K16" s="7">
        <v>-37.601917869708394</v>
      </c>
      <c r="L16" s="7" t="s">
        <v>41</v>
      </c>
      <c r="M16" s="7" t="s">
        <v>218</v>
      </c>
      <c r="N16" s="7" t="s">
        <v>219</v>
      </c>
      <c r="O16" s="7" t="s">
        <v>219</v>
      </c>
      <c r="P16" s="7"/>
      <c r="Q16" s="7"/>
      <c r="R16" s="7" t="s">
        <v>220</v>
      </c>
      <c r="S16" s="7" t="s">
        <v>58</v>
      </c>
      <c r="T16" s="8">
        <v>97.0</v>
      </c>
      <c r="U16" s="7" t="s">
        <v>221</v>
      </c>
      <c r="V16" s="7" t="s">
        <v>222</v>
      </c>
      <c r="W16" s="7"/>
      <c r="X16" s="9">
        <v>1.0</v>
      </c>
      <c r="Y16" s="7" t="s">
        <v>223</v>
      </c>
      <c r="Z16" s="7"/>
      <c r="AA16" s="7">
        <f t="shared" si="4"/>
        <v>1474000</v>
      </c>
      <c r="AB16" s="7">
        <f>2200000*0.67</f>
        <v>1474000</v>
      </c>
      <c r="AC16" s="7"/>
      <c r="AD16" s="7"/>
      <c r="AE16" s="7">
        <f t="shared" si="3"/>
        <v>1474000</v>
      </c>
      <c r="AF16" s="7"/>
      <c r="AG16" s="10">
        <f t="shared" si="1"/>
        <v>1474000</v>
      </c>
      <c r="AH16" s="10">
        <f t="shared" si="2"/>
        <v>0</v>
      </c>
      <c r="AI16" s="7"/>
      <c r="AJ16" s="7">
        <v>0.0</v>
      </c>
      <c r="AK16" s="7"/>
      <c r="AL16" s="11">
        <v>45739.75099537037</v>
      </c>
    </row>
    <row r="17">
      <c r="A17" s="6" t="s">
        <v>224</v>
      </c>
      <c r="B17" s="7" t="s">
        <v>225</v>
      </c>
      <c r="C17" s="7" t="s">
        <v>226</v>
      </c>
      <c r="D17" s="7" t="s">
        <v>227</v>
      </c>
      <c r="E17" s="7" t="s">
        <v>66</v>
      </c>
      <c r="F17" s="7"/>
      <c r="G17" s="7" t="s">
        <v>38</v>
      </c>
      <c r="H17" s="7" t="s">
        <v>39</v>
      </c>
      <c r="I17" s="7" t="s">
        <v>40</v>
      </c>
      <c r="J17" s="7">
        <v>121.53005267714913</v>
      </c>
      <c r="K17" s="7">
        <v>-30.6217485711468</v>
      </c>
      <c r="L17" s="7" t="s">
        <v>41</v>
      </c>
      <c r="M17" s="7" t="s">
        <v>228</v>
      </c>
      <c r="N17" s="7" t="s">
        <v>229</v>
      </c>
      <c r="O17" s="7" t="s">
        <v>229</v>
      </c>
      <c r="P17" s="7"/>
      <c r="Q17" s="7"/>
      <c r="R17" s="7" t="s">
        <v>230</v>
      </c>
      <c r="S17" s="7" t="s">
        <v>58</v>
      </c>
      <c r="T17" s="8">
        <v>3200.0</v>
      </c>
      <c r="U17" s="7" t="s">
        <v>231</v>
      </c>
      <c r="V17" s="7" t="s">
        <v>232</v>
      </c>
      <c r="W17" s="7"/>
      <c r="X17" s="9">
        <v>1.0</v>
      </c>
      <c r="Y17" s="7" t="s">
        <v>233</v>
      </c>
      <c r="Z17" s="7"/>
      <c r="AA17" s="7">
        <f t="shared" si="4"/>
        <v>33500</v>
      </c>
      <c r="AB17" s="7"/>
      <c r="AC17" s="7"/>
      <c r="AD17" s="7"/>
      <c r="AE17" s="7">
        <f t="shared" si="3"/>
        <v>33500</v>
      </c>
      <c r="AF17" s="7">
        <v>33500.0</v>
      </c>
      <c r="AG17" s="10">
        <f t="shared" si="1"/>
        <v>0</v>
      </c>
      <c r="AH17" s="10">
        <f t="shared" si="2"/>
        <v>0</v>
      </c>
      <c r="AI17" s="7"/>
      <c r="AJ17" s="7">
        <v>0.01139</v>
      </c>
      <c r="AK17" s="7"/>
      <c r="AL17" s="11">
        <v>45522.68368055555</v>
      </c>
    </row>
    <row r="18">
      <c r="A18" s="6" t="s">
        <v>234</v>
      </c>
      <c r="B18" s="7" t="s">
        <v>235</v>
      </c>
      <c r="C18" s="7" t="s">
        <v>236</v>
      </c>
      <c r="D18" s="7" t="s">
        <v>237</v>
      </c>
      <c r="E18" s="7" t="s">
        <v>66</v>
      </c>
      <c r="F18" s="7" t="s">
        <v>238</v>
      </c>
      <c r="G18" s="7" t="s">
        <v>38</v>
      </c>
      <c r="H18" s="7" t="s">
        <v>39</v>
      </c>
      <c r="I18" s="7" t="s">
        <v>40</v>
      </c>
      <c r="J18" s="7">
        <v>117.91540900934086</v>
      </c>
      <c r="K18" s="7">
        <v>-33.32350916338009</v>
      </c>
      <c r="L18" s="7" t="s">
        <v>41</v>
      </c>
      <c r="M18" s="7" t="s">
        <v>239</v>
      </c>
      <c r="N18" s="7" t="s">
        <v>240</v>
      </c>
      <c r="O18" s="7" t="s">
        <v>240</v>
      </c>
      <c r="P18" s="7"/>
      <c r="Q18" s="7"/>
      <c r="R18" s="7" t="s">
        <v>241</v>
      </c>
      <c r="S18" s="7" t="s">
        <v>58</v>
      </c>
      <c r="T18" s="8">
        <v>1026.0</v>
      </c>
      <c r="U18" s="7" t="s">
        <v>242</v>
      </c>
      <c r="V18" s="7" t="s">
        <v>243</v>
      </c>
      <c r="W18" s="7"/>
      <c r="X18" s="9">
        <v>1.0</v>
      </c>
      <c r="Y18" s="7" t="s">
        <v>244</v>
      </c>
      <c r="Z18" s="7"/>
      <c r="AA18" s="7">
        <f t="shared" si="4"/>
        <v>7209200</v>
      </c>
      <c r="AB18" s="7">
        <f>10760000*0.67</f>
        <v>7209200</v>
      </c>
      <c r="AC18" s="7"/>
      <c r="AD18" s="7"/>
      <c r="AE18" s="7">
        <f t="shared" si="3"/>
        <v>7209200</v>
      </c>
      <c r="AF18" s="7"/>
      <c r="AG18" s="10">
        <f t="shared" si="1"/>
        <v>7209200</v>
      </c>
      <c r="AH18" s="10">
        <f t="shared" si="2"/>
        <v>0</v>
      </c>
      <c r="AI18" s="7"/>
      <c r="AJ18" s="7">
        <v>0.41540000000000005</v>
      </c>
      <c r="AK18" s="7"/>
      <c r="AL18" s="11">
        <v>45578.68099537037</v>
      </c>
    </row>
    <row r="19">
      <c r="A19" s="6" t="s">
        <v>245</v>
      </c>
      <c r="B19" s="7" t="s">
        <v>246</v>
      </c>
      <c r="C19" s="7" t="s">
        <v>247</v>
      </c>
      <c r="D19" s="7" t="s">
        <v>248</v>
      </c>
      <c r="E19" s="7" t="s">
        <v>66</v>
      </c>
      <c r="F19" s="7"/>
      <c r="G19" s="7" t="s">
        <v>38</v>
      </c>
      <c r="H19" s="7" t="s">
        <v>39</v>
      </c>
      <c r="I19" s="7" t="s">
        <v>40</v>
      </c>
      <c r="J19" s="7">
        <v>121.34513180648479</v>
      </c>
      <c r="K19" s="7">
        <v>-29.267672709757825</v>
      </c>
      <c r="L19" s="7" t="s">
        <v>41</v>
      </c>
      <c r="M19" s="7" t="s">
        <v>249</v>
      </c>
      <c r="N19" s="7" t="s">
        <v>250</v>
      </c>
      <c r="O19" s="7" t="s">
        <v>250</v>
      </c>
      <c r="P19" s="7"/>
      <c r="Q19" s="7"/>
      <c r="R19" s="7" t="s">
        <v>251</v>
      </c>
      <c r="S19" s="7" t="s">
        <v>58</v>
      </c>
      <c r="T19" s="8">
        <v>0.0</v>
      </c>
      <c r="U19" s="7" t="s">
        <v>252</v>
      </c>
      <c r="V19" s="7" t="s">
        <v>253</v>
      </c>
      <c r="W19" s="7"/>
      <c r="X19" s="9">
        <v>1.0</v>
      </c>
      <c r="Y19" s="7" t="s">
        <v>254</v>
      </c>
      <c r="Z19" s="7"/>
      <c r="AA19" s="7">
        <f t="shared" si="4"/>
        <v>271350</v>
      </c>
      <c r="AB19" s="7">
        <v>271350.0</v>
      </c>
      <c r="AC19" s="7"/>
      <c r="AD19" s="7"/>
      <c r="AE19" s="7">
        <f t="shared" si="3"/>
        <v>271350</v>
      </c>
      <c r="AF19" s="7"/>
      <c r="AG19" s="10">
        <f t="shared" si="1"/>
        <v>271350</v>
      </c>
      <c r="AH19" s="10">
        <f t="shared" si="2"/>
        <v>0</v>
      </c>
      <c r="AI19" s="7"/>
      <c r="AJ19" s="7">
        <v>0.00268</v>
      </c>
      <c r="AK19" s="7">
        <v>1.0</v>
      </c>
      <c r="AL19" s="11">
        <v>45602.08018518519</v>
      </c>
    </row>
    <row r="20">
      <c r="A20" s="6" t="s">
        <v>255</v>
      </c>
      <c r="B20" s="7" t="s">
        <v>256</v>
      </c>
      <c r="C20" s="7" t="s">
        <v>257</v>
      </c>
      <c r="D20" s="7" t="s">
        <v>258</v>
      </c>
      <c r="E20" s="7" t="s">
        <v>66</v>
      </c>
      <c r="F20" s="7"/>
      <c r="G20" s="7" t="s">
        <v>38</v>
      </c>
      <c r="H20" s="7" t="s">
        <v>39</v>
      </c>
      <c r="I20" s="7" t="s">
        <v>40</v>
      </c>
      <c r="J20" s="7">
        <v>120.70191644498657</v>
      </c>
      <c r="K20" s="7">
        <v>-30.541239710277797</v>
      </c>
      <c r="L20" s="7" t="s">
        <v>41</v>
      </c>
      <c r="M20" s="7" t="s">
        <v>259</v>
      </c>
      <c r="N20" s="7" t="s">
        <v>260</v>
      </c>
      <c r="O20" s="7" t="s">
        <v>260</v>
      </c>
      <c r="P20" s="7"/>
      <c r="Q20" s="7"/>
      <c r="R20" s="7" t="s">
        <v>261</v>
      </c>
      <c r="S20" s="7" t="s">
        <v>167</v>
      </c>
      <c r="T20" s="8">
        <v>0.0</v>
      </c>
      <c r="U20" s="7" t="s">
        <v>262</v>
      </c>
      <c r="V20" s="7" t="s">
        <v>263</v>
      </c>
      <c r="W20" s="7"/>
      <c r="X20" s="9">
        <v>0.5</v>
      </c>
      <c r="Y20" s="7" t="s">
        <v>264</v>
      </c>
      <c r="Z20" s="7"/>
      <c r="AA20" s="7"/>
      <c r="AB20" s="7"/>
      <c r="AC20" s="7"/>
      <c r="AD20" s="7"/>
      <c r="AE20" s="7">
        <f t="shared" si="3"/>
        <v>0</v>
      </c>
      <c r="AF20" s="7"/>
      <c r="AG20" s="10">
        <f t="shared" si="1"/>
        <v>0</v>
      </c>
      <c r="AH20" s="10">
        <f t="shared" si="2"/>
        <v>0</v>
      </c>
      <c r="AI20" s="7"/>
      <c r="AJ20" s="7">
        <v>0.018760000000000002</v>
      </c>
      <c r="AK20" s="7"/>
      <c r="AL20" s="11">
        <v>45538.71878472222</v>
      </c>
    </row>
    <row r="21">
      <c r="A21" s="6" t="s">
        <v>265</v>
      </c>
      <c r="B21" s="7" t="s">
        <v>266</v>
      </c>
      <c r="C21" s="7" t="s">
        <v>267</v>
      </c>
      <c r="D21" s="7" t="s">
        <v>268</v>
      </c>
      <c r="E21" s="7" t="s">
        <v>66</v>
      </c>
      <c r="F21" s="7" t="s">
        <v>269</v>
      </c>
      <c r="G21" s="7" t="s">
        <v>38</v>
      </c>
      <c r="H21" s="7" t="s">
        <v>39</v>
      </c>
      <c r="I21" s="7" t="s">
        <v>40</v>
      </c>
      <c r="J21" s="7">
        <v>122.49465906007667</v>
      </c>
      <c r="K21" s="7">
        <v>-29.236683415248603</v>
      </c>
      <c r="L21" s="7" t="s">
        <v>41</v>
      </c>
      <c r="M21" s="7" t="s">
        <v>270</v>
      </c>
      <c r="N21" s="7" t="s">
        <v>271</v>
      </c>
      <c r="O21" s="7" t="s">
        <v>271</v>
      </c>
      <c r="P21" s="7"/>
      <c r="Q21" s="7"/>
      <c r="R21" s="7" t="s">
        <v>272</v>
      </c>
      <c r="S21" s="7" t="s">
        <v>58</v>
      </c>
      <c r="T21" s="8">
        <v>0.0</v>
      </c>
      <c r="U21" s="7" t="s">
        <v>273</v>
      </c>
      <c r="V21" s="7" t="s">
        <v>274</v>
      </c>
      <c r="W21" s="7"/>
      <c r="X21" s="7"/>
      <c r="Y21" s="7" t="s">
        <v>275</v>
      </c>
      <c r="Z21" s="7"/>
      <c r="AA21" s="7">
        <f t="shared" ref="AA21:AA22" si="5">AB21+AC21+AF21</f>
        <v>5360000</v>
      </c>
      <c r="AB21" s="7">
        <v>5360000.0</v>
      </c>
      <c r="AC21" s="7"/>
      <c r="AD21" s="7"/>
      <c r="AE21" s="7">
        <f t="shared" si="3"/>
        <v>5360000</v>
      </c>
      <c r="AF21" s="7"/>
      <c r="AG21" s="10">
        <f t="shared" si="1"/>
        <v>5360000</v>
      </c>
      <c r="AH21" s="10">
        <f t="shared" si="2"/>
        <v>0</v>
      </c>
      <c r="AI21" s="7"/>
      <c r="AJ21" s="7">
        <v>0.044890000000000006</v>
      </c>
      <c r="AK21" s="7"/>
      <c r="AL21" s="11">
        <v>45714.70370370371</v>
      </c>
    </row>
    <row r="22">
      <c r="A22" s="6" t="s">
        <v>276</v>
      </c>
      <c r="B22" s="7" t="s">
        <v>277</v>
      </c>
      <c r="C22" s="7" t="s">
        <v>278</v>
      </c>
      <c r="D22" s="7" t="s">
        <v>279</v>
      </c>
      <c r="E22" s="7" t="s">
        <v>66</v>
      </c>
      <c r="F22" s="7" t="s">
        <v>280</v>
      </c>
      <c r="G22" s="7" t="s">
        <v>38</v>
      </c>
      <c r="H22" s="7" t="s">
        <v>39</v>
      </c>
      <c r="I22" s="7" t="s">
        <v>40</v>
      </c>
      <c r="J22" s="7">
        <v>122.81111326895186</v>
      </c>
      <c r="K22" s="7">
        <v>-30.448604117576693</v>
      </c>
      <c r="L22" s="7" t="s">
        <v>41</v>
      </c>
      <c r="M22" s="7" t="s">
        <v>281</v>
      </c>
      <c r="N22" s="7" t="s">
        <v>282</v>
      </c>
      <c r="O22" s="7" t="s">
        <v>282</v>
      </c>
      <c r="P22" s="7"/>
      <c r="Q22" s="7"/>
      <c r="R22" s="7" t="s">
        <v>283</v>
      </c>
      <c r="S22" s="7" t="s">
        <v>58</v>
      </c>
      <c r="T22" s="8">
        <v>50900.0</v>
      </c>
      <c r="U22" s="7" t="s">
        <v>284</v>
      </c>
      <c r="V22" s="7" t="s">
        <v>285</v>
      </c>
      <c r="W22" s="7"/>
      <c r="X22" s="7"/>
      <c r="Y22" s="7" t="s">
        <v>286</v>
      </c>
      <c r="Z22" s="7"/>
      <c r="AA22" s="7">
        <f t="shared" si="5"/>
        <v>94315</v>
      </c>
      <c r="AB22" s="7">
        <v>94315.0</v>
      </c>
      <c r="AC22" s="7"/>
      <c r="AD22" s="7"/>
      <c r="AE22" s="7">
        <f t="shared" si="3"/>
        <v>94315</v>
      </c>
      <c r="AF22" s="7"/>
      <c r="AG22" s="10">
        <f t="shared" si="1"/>
        <v>94315</v>
      </c>
      <c r="AH22" s="10">
        <f t="shared" si="2"/>
        <v>0</v>
      </c>
      <c r="AI22" s="7"/>
      <c r="AJ22" s="7">
        <v>0.04154</v>
      </c>
      <c r="AK22" s="7">
        <v>2.0</v>
      </c>
      <c r="AL22" s="11">
        <v>45721.67418981482</v>
      </c>
    </row>
    <row r="23">
      <c r="A23" s="6" t="s">
        <v>287</v>
      </c>
      <c r="B23" s="7" t="s">
        <v>288</v>
      </c>
      <c r="C23" s="7" t="s">
        <v>289</v>
      </c>
      <c r="D23" s="7" t="s">
        <v>290</v>
      </c>
      <c r="E23" s="7" t="s">
        <v>66</v>
      </c>
      <c r="F23" s="7" t="s">
        <v>291</v>
      </c>
      <c r="G23" s="7" t="s">
        <v>38</v>
      </c>
      <c r="H23" s="7" t="s">
        <v>39</v>
      </c>
      <c r="I23" s="7" t="s">
        <v>40</v>
      </c>
      <c r="J23" s="7">
        <v>122.51916262807126</v>
      </c>
      <c r="K23" s="7">
        <v>-28.80426027245791</v>
      </c>
      <c r="L23" s="7" t="s">
        <v>41</v>
      </c>
      <c r="M23" s="7" t="s">
        <v>292</v>
      </c>
      <c r="N23" s="7" t="s">
        <v>293</v>
      </c>
      <c r="O23" s="7" t="s">
        <v>293</v>
      </c>
      <c r="P23" s="7"/>
      <c r="Q23" s="7"/>
      <c r="R23" s="7" t="s">
        <v>294</v>
      </c>
      <c r="S23" s="7" t="s">
        <v>58</v>
      </c>
      <c r="T23" s="8">
        <v>0.0</v>
      </c>
      <c r="U23" s="7" t="s">
        <v>295</v>
      </c>
      <c r="V23" s="7" t="s">
        <v>296</v>
      </c>
      <c r="W23" s="7"/>
      <c r="X23" s="9">
        <v>1.0</v>
      </c>
      <c r="Y23" s="7" t="s">
        <v>297</v>
      </c>
      <c r="Z23" s="7"/>
      <c r="AA23" s="7"/>
      <c r="AB23" s="7"/>
      <c r="AC23" s="7"/>
      <c r="AD23" s="7"/>
      <c r="AE23" s="7">
        <f t="shared" si="3"/>
        <v>0</v>
      </c>
      <c r="AF23" s="7"/>
      <c r="AG23" s="10">
        <f t="shared" si="1"/>
        <v>0</v>
      </c>
      <c r="AH23" s="10">
        <f t="shared" si="2"/>
        <v>0</v>
      </c>
      <c r="AI23" s="7"/>
      <c r="AJ23" s="7">
        <v>0.00134</v>
      </c>
      <c r="AK23" s="7"/>
      <c r="AL23" s="11">
        <v>45642.634606481486</v>
      </c>
    </row>
    <row r="24">
      <c r="A24" s="6" t="s">
        <v>298</v>
      </c>
      <c r="B24" s="7" t="s">
        <v>246</v>
      </c>
      <c r="C24" s="7" t="s">
        <v>299</v>
      </c>
      <c r="D24" s="7" t="s">
        <v>300</v>
      </c>
      <c r="E24" s="7" t="s">
        <v>66</v>
      </c>
      <c r="F24" s="7" t="s">
        <v>301</v>
      </c>
      <c r="G24" s="7" t="s">
        <v>38</v>
      </c>
      <c r="H24" s="7" t="s">
        <v>39</v>
      </c>
      <c r="I24" s="7" t="s">
        <v>40</v>
      </c>
      <c r="J24" s="7">
        <v>121.70104767540562</v>
      </c>
      <c r="K24" s="7">
        <v>-30.318785236575536</v>
      </c>
      <c r="L24" s="7" t="s">
        <v>41</v>
      </c>
      <c r="M24" s="7" t="s">
        <v>302</v>
      </c>
      <c r="N24" s="7" t="s">
        <v>303</v>
      </c>
      <c r="O24" s="7"/>
      <c r="P24" s="7"/>
      <c r="Q24" s="7"/>
      <c r="R24" s="7" t="s">
        <v>304</v>
      </c>
      <c r="S24" s="7" t="s">
        <v>58</v>
      </c>
      <c r="T24" s="8">
        <v>3300.0</v>
      </c>
      <c r="U24" s="7" t="s">
        <v>305</v>
      </c>
      <c r="V24" s="7" t="s">
        <v>306</v>
      </c>
      <c r="W24" s="7"/>
      <c r="X24" s="9">
        <v>1.0</v>
      </c>
      <c r="Y24" s="7" t="s">
        <v>307</v>
      </c>
      <c r="Z24" s="7"/>
      <c r="AA24" s="7">
        <f t="shared" ref="AA24:AA31" si="6">AB24+AC24+AF24</f>
        <v>2680000</v>
      </c>
      <c r="AB24" s="7">
        <f>2000000*0.67</f>
        <v>1340000</v>
      </c>
      <c r="AC24" s="7"/>
      <c r="AD24" s="7">
        <v>4000000.0</v>
      </c>
      <c r="AE24" s="7">
        <f t="shared" si="3"/>
        <v>2680000</v>
      </c>
      <c r="AF24" s="7">
        <f>2000000*0.67</f>
        <v>1340000</v>
      </c>
      <c r="AG24" s="10">
        <f t="shared" si="1"/>
        <v>1340000</v>
      </c>
      <c r="AH24" s="10">
        <f t="shared" si="2"/>
        <v>0</v>
      </c>
      <c r="AI24" s="7"/>
      <c r="AJ24" s="7">
        <v>0.0</v>
      </c>
      <c r="AK24" s="7">
        <v>3.5</v>
      </c>
      <c r="AL24" s="11">
        <v>45714.62673611111</v>
      </c>
    </row>
    <row r="25">
      <c r="A25" s="6" t="s">
        <v>308</v>
      </c>
      <c r="B25" s="7" t="s">
        <v>309</v>
      </c>
      <c r="C25" s="7" t="s">
        <v>310</v>
      </c>
      <c r="D25" s="7" t="s">
        <v>311</v>
      </c>
      <c r="E25" s="7" t="s">
        <v>66</v>
      </c>
      <c r="F25" s="7"/>
      <c r="G25" s="7" t="s">
        <v>38</v>
      </c>
      <c r="H25" s="7" t="s">
        <v>39</v>
      </c>
      <c r="I25" s="7" t="s">
        <v>40</v>
      </c>
      <c r="J25" s="7">
        <v>121.7088250186487</v>
      </c>
      <c r="K25" s="7">
        <v>-31.789919104049783</v>
      </c>
      <c r="L25" s="7" t="s">
        <v>41</v>
      </c>
      <c r="M25" s="7" t="s">
        <v>312</v>
      </c>
      <c r="N25" s="7" t="s">
        <v>303</v>
      </c>
      <c r="O25" s="7" t="s">
        <v>303</v>
      </c>
      <c r="P25" s="7"/>
      <c r="Q25" s="7"/>
      <c r="R25" s="7" t="s">
        <v>313</v>
      </c>
      <c r="S25" s="7" t="s">
        <v>58</v>
      </c>
      <c r="T25" s="8">
        <v>11300.0</v>
      </c>
      <c r="U25" s="7" t="s">
        <v>314</v>
      </c>
      <c r="V25" s="7" t="s">
        <v>315</v>
      </c>
      <c r="W25" s="7"/>
      <c r="X25" s="9">
        <v>1.0</v>
      </c>
      <c r="Y25" s="7" t="s">
        <v>316</v>
      </c>
      <c r="Z25" s="7"/>
      <c r="AA25" s="7">
        <f t="shared" si="6"/>
        <v>725000</v>
      </c>
      <c r="AB25" s="7">
        <v>725000.0</v>
      </c>
      <c r="AC25" s="7"/>
      <c r="AD25" s="7"/>
      <c r="AE25" s="7">
        <f t="shared" si="3"/>
        <v>725000</v>
      </c>
      <c r="AF25" s="7"/>
      <c r="AG25" s="10">
        <f t="shared" si="1"/>
        <v>725000</v>
      </c>
      <c r="AH25" s="10">
        <f t="shared" si="2"/>
        <v>0</v>
      </c>
      <c r="AI25" s="7"/>
      <c r="AJ25" s="7">
        <v>0.134</v>
      </c>
      <c r="AK25" s="7">
        <v>1.5</v>
      </c>
      <c r="AL25" s="11">
        <v>45712.62670138889</v>
      </c>
    </row>
    <row r="26">
      <c r="A26" s="6" t="s">
        <v>317</v>
      </c>
      <c r="B26" s="7" t="s">
        <v>140</v>
      </c>
      <c r="C26" s="7" t="s">
        <v>318</v>
      </c>
      <c r="D26" s="7" t="s">
        <v>319</v>
      </c>
      <c r="E26" s="7" t="s">
        <v>66</v>
      </c>
      <c r="F26" s="7" t="s">
        <v>320</v>
      </c>
      <c r="G26" s="7" t="s">
        <v>38</v>
      </c>
      <c r="H26" s="7" t="s">
        <v>39</v>
      </c>
      <c r="I26" s="7" t="s">
        <v>40</v>
      </c>
      <c r="J26" s="7">
        <v>119.45148211981592</v>
      </c>
      <c r="K26" s="7">
        <v>-27.3538480601732</v>
      </c>
      <c r="L26" s="7" t="s">
        <v>41</v>
      </c>
      <c r="M26" s="7" t="s">
        <v>321</v>
      </c>
      <c r="N26" s="7" t="s">
        <v>322</v>
      </c>
      <c r="O26" s="7" t="s">
        <v>323</v>
      </c>
      <c r="P26" s="7"/>
      <c r="Q26" s="7"/>
      <c r="R26" s="7" t="s">
        <v>324</v>
      </c>
      <c r="S26" s="7" t="s">
        <v>58</v>
      </c>
      <c r="T26" s="8">
        <v>0.0</v>
      </c>
      <c r="U26" s="7" t="s">
        <v>325</v>
      </c>
      <c r="V26" s="7" t="s">
        <v>326</v>
      </c>
      <c r="W26" s="7"/>
      <c r="X26" s="7"/>
      <c r="Y26" s="7" t="s">
        <v>327</v>
      </c>
      <c r="Z26" s="7"/>
      <c r="AA26" s="10">
        <f t="shared" si="6"/>
        <v>8040000.003</v>
      </c>
      <c r="AB26" s="7">
        <f>5000000*0.67</f>
        <v>3350000</v>
      </c>
      <c r="AC26" s="7"/>
      <c r="AD26" s="10">
        <f>AF26+AB26</f>
        <v>8040000.003</v>
      </c>
      <c r="AE26" s="10">
        <f t="shared" si="3"/>
        <v>8040000.003</v>
      </c>
      <c r="AF26" s="10">
        <f t="shared" ref="AF26:AF28" si="7">AH26</f>
        <v>4690000.003</v>
      </c>
      <c r="AG26" s="10">
        <f t="shared" si="1"/>
        <v>8040000.003</v>
      </c>
      <c r="AH26" s="10">
        <f t="shared" si="2"/>
        <v>4690000.003</v>
      </c>
      <c r="AI26" s="7">
        <v>4.66666667E8</v>
      </c>
      <c r="AJ26" s="7">
        <f>0.015*0.67</f>
        <v>0.01005</v>
      </c>
      <c r="AK26" s="7"/>
      <c r="AL26" s="11">
        <v>45504.74832175926</v>
      </c>
    </row>
    <row r="27">
      <c r="A27" s="6" t="s">
        <v>171</v>
      </c>
      <c r="B27" s="7" t="s">
        <v>328</v>
      </c>
      <c r="C27" s="7" t="s">
        <v>329</v>
      </c>
      <c r="D27" s="7" t="s">
        <v>330</v>
      </c>
      <c r="E27" s="7" t="s">
        <v>66</v>
      </c>
      <c r="F27" s="7" t="s">
        <v>331</v>
      </c>
      <c r="G27" s="7" t="s">
        <v>38</v>
      </c>
      <c r="H27" s="7" t="s">
        <v>39</v>
      </c>
      <c r="I27" s="7" t="s">
        <v>40</v>
      </c>
      <c r="J27" s="7">
        <v>117.63230554767586</v>
      </c>
      <c r="K27" s="7">
        <v>-24.936643769603673</v>
      </c>
      <c r="L27" s="7" t="s">
        <v>41</v>
      </c>
      <c r="M27" s="7" t="s">
        <v>332</v>
      </c>
      <c r="N27" s="7" t="s">
        <v>333</v>
      </c>
      <c r="O27" s="7" t="s">
        <v>177</v>
      </c>
      <c r="P27" s="7"/>
      <c r="Q27" s="7" t="s">
        <v>178</v>
      </c>
      <c r="R27" s="7" t="s">
        <v>334</v>
      </c>
      <c r="S27" s="7" t="s">
        <v>58</v>
      </c>
      <c r="T27" s="8">
        <v>17959.0</v>
      </c>
      <c r="U27" s="7" t="s">
        <v>335</v>
      </c>
      <c r="V27" s="7" t="s">
        <v>181</v>
      </c>
      <c r="W27" s="7"/>
      <c r="X27" s="9">
        <v>1.0</v>
      </c>
      <c r="Y27" s="7" t="s">
        <v>336</v>
      </c>
      <c r="Z27" s="7"/>
      <c r="AA27" s="10">
        <f t="shared" si="6"/>
        <v>10561250</v>
      </c>
      <c r="AB27" s="7">
        <v>670000.0</v>
      </c>
      <c r="AC27" s="7">
        <v>1600000.0</v>
      </c>
      <c r="AD27" s="7">
        <v>4020000.0</v>
      </c>
      <c r="AE27" s="10">
        <f t="shared" si="3"/>
        <v>8961250</v>
      </c>
      <c r="AF27" s="10">
        <f t="shared" si="7"/>
        <v>8291250</v>
      </c>
      <c r="AG27" s="10">
        <f t="shared" si="1"/>
        <v>8961250</v>
      </c>
      <c r="AH27" s="10">
        <f t="shared" si="2"/>
        <v>8291250</v>
      </c>
      <c r="AI27" s="7">
        <v>3.3E7</v>
      </c>
      <c r="AJ27" s="7">
        <v>0.25125000000000003</v>
      </c>
      <c r="AK27" s="7"/>
      <c r="AL27" s="11">
        <v>45599.79325231482</v>
      </c>
    </row>
    <row r="28">
      <c r="A28" s="6" t="s">
        <v>337</v>
      </c>
      <c r="B28" s="7" t="s">
        <v>338</v>
      </c>
      <c r="C28" s="7" t="s">
        <v>339</v>
      </c>
      <c r="D28" s="7" t="s">
        <v>340</v>
      </c>
      <c r="E28" s="7" t="s">
        <v>66</v>
      </c>
      <c r="F28" s="7" t="s">
        <v>341</v>
      </c>
      <c r="G28" s="7" t="s">
        <v>38</v>
      </c>
      <c r="H28" s="7" t="s">
        <v>39</v>
      </c>
      <c r="I28" s="7" t="s">
        <v>40</v>
      </c>
      <c r="J28" s="7">
        <v>121.46173264421878</v>
      </c>
      <c r="K28" s="7">
        <v>-26.79796895133637</v>
      </c>
      <c r="L28" s="7" t="s">
        <v>41</v>
      </c>
      <c r="M28" s="7" t="s">
        <v>342</v>
      </c>
      <c r="N28" s="7" t="s">
        <v>343</v>
      </c>
      <c r="O28" s="7" t="s">
        <v>344</v>
      </c>
      <c r="P28" s="7"/>
      <c r="Q28" s="7"/>
      <c r="R28" s="7" t="s">
        <v>345</v>
      </c>
      <c r="S28" s="7" t="s">
        <v>58</v>
      </c>
      <c r="T28" s="8">
        <v>19700.0</v>
      </c>
      <c r="U28" s="7" t="s">
        <v>346</v>
      </c>
      <c r="V28" s="7" t="s">
        <v>347</v>
      </c>
      <c r="W28" s="7"/>
      <c r="X28" s="9">
        <v>1.0</v>
      </c>
      <c r="Y28" s="7" t="s">
        <v>348</v>
      </c>
      <c r="Z28" s="7"/>
      <c r="AA28" s="10">
        <f t="shared" si="6"/>
        <v>4115550</v>
      </c>
      <c r="AB28" s="7">
        <v>1005000.0</v>
      </c>
      <c r="AC28" s="7">
        <v>3000000.0</v>
      </c>
      <c r="AD28" s="7"/>
      <c r="AE28" s="10">
        <f t="shared" si="3"/>
        <v>1115550</v>
      </c>
      <c r="AF28" s="10">
        <f t="shared" si="7"/>
        <v>110550</v>
      </c>
      <c r="AG28" s="10">
        <f t="shared" si="1"/>
        <v>1115550</v>
      </c>
      <c r="AH28" s="10">
        <f t="shared" si="2"/>
        <v>110550</v>
      </c>
      <c r="AI28" s="7">
        <v>1000000.0</v>
      </c>
      <c r="AJ28" s="7">
        <v>0.11055000000000001</v>
      </c>
      <c r="AK28" s="7">
        <v>1.0</v>
      </c>
      <c r="AL28" s="11">
        <v>45711.68923611111</v>
      </c>
    </row>
    <row r="29">
      <c r="A29" s="6" t="s">
        <v>139</v>
      </c>
      <c r="B29" s="7" t="s">
        <v>349</v>
      </c>
      <c r="C29" s="7" t="s">
        <v>350</v>
      </c>
      <c r="D29" s="7" t="s">
        <v>351</v>
      </c>
      <c r="E29" s="7" t="s">
        <v>66</v>
      </c>
      <c r="F29" s="7"/>
      <c r="G29" s="7" t="s">
        <v>38</v>
      </c>
      <c r="H29" s="7" t="s">
        <v>39</v>
      </c>
      <c r="I29" s="7" t="s">
        <v>40</v>
      </c>
      <c r="J29" s="7">
        <v>117.27425969012741</v>
      </c>
      <c r="K29" s="7">
        <v>-29.53039081438914</v>
      </c>
      <c r="L29" s="7" t="s">
        <v>41</v>
      </c>
      <c r="M29" s="7" t="s">
        <v>352</v>
      </c>
      <c r="N29" s="7" t="s">
        <v>144</v>
      </c>
      <c r="O29" s="7" t="s">
        <v>144</v>
      </c>
      <c r="P29" s="7"/>
      <c r="Q29" s="7"/>
      <c r="R29" s="7" t="s">
        <v>353</v>
      </c>
      <c r="S29" s="7" t="s">
        <v>58</v>
      </c>
      <c r="T29" s="8">
        <v>21900.0</v>
      </c>
      <c r="U29" s="7" t="s">
        <v>354</v>
      </c>
      <c r="V29" s="7" t="s">
        <v>147</v>
      </c>
      <c r="W29" s="7"/>
      <c r="X29" s="9">
        <v>1.0</v>
      </c>
      <c r="Y29" s="7" t="s">
        <v>355</v>
      </c>
      <c r="Z29" s="7"/>
      <c r="AA29" s="7">
        <f t="shared" si="6"/>
        <v>2317000</v>
      </c>
      <c r="AB29" s="7">
        <v>67000.0</v>
      </c>
      <c r="AC29" s="7"/>
      <c r="AD29" s="7">
        <v>3500000.0</v>
      </c>
      <c r="AE29" s="7">
        <f t="shared" si="3"/>
        <v>2317000</v>
      </c>
      <c r="AF29" s="7">
        <v>2250000.0</v>
      </c>
      <c r="AG29" s="10">
        <f t="shared" si="1"/>
        <v>67000</v>
      </c>
      <c r="AH29" s="10">
        <f t="shared" si="2"/>
        <v>0</v>
      </c>
      <c r="AI29" s="7"/>
      <c r="AJ29" s="7">
        <v>6.284600000000001</v>
      </c>
      <c r="AK29" s="7"/>
      <c r="AL29" s="11">
        <v>45687.64384259259</v>
      </c>
    </row>
    <row r="30">
      <c r="A30" s="6" t="s">
        <v>356</v>
      </c>
      <c r="B30" s="7" t="s">
        <v>357</v>
      </c>
      <c r="C30" s="7" t="s">
        <v>358</v>
      </c>
      <c r="D30" s="7" t="s">
        <v>359</v>
      </c>
      <c r="E30" s="7" t="s">
        <v>66</v>
      </c>
      <c r="F30" s="7" t="s">
        <v>360</v>
      </c>
      <c r="G30" s="7" t="s">
        <v>38</v>
      </c>
      <c r="H30" s="7" t="s">
        <v>39</v>
      </c>
      <c r="I30" s="7" t="s">
        <v>40</v>
      </c>
      <c r="J30" s="7">
        <v>118.91855691605134</v>
      </c>
      <c r="K30" s="7">
        <v>-21.116300212872034</v>
      </c>
      <c r="L30" s="7" t="s">
        <v>41</v>
      </c>
      <c r="M30" s="7" t="s">
        <v>361</v>
      </c>
      <c r="N30" s="7" t="s">
        <v>362</v>
      </c>
      <c r="O30" s="7" t="s">
        <v>362</v>
      </c>
      <c r="P30" s="7"/>
      <c r="Q30" s="7"/>
      <c r="R30" s="7" t="s">
        <v>363</v>
      </c>
      <c r="S30" s="7" t="s">
        <v>58</v>
      </c>
      <c r="T30" s="8">
        <v>0.0</v>
      </c>
      <c r="U30" s="7" t="s">
        <v>364</v>
      </c>
      <c r="V30" s="7" t="s">
        <v>365</v>
      </c>
      <c r="W30" s="7"/>
      <c r="X30" s="9">
        <v>1.0</v>
      </c>
      <c r="Y30" s="7" t="s">
        <v>366</v>
      </c>
      <c r="Z30" s="7"/>
      <c r="AA30" s="7">
        <f t="shared" si="6"/>
        <v>20000000</v>
      </c>
      <c r="AB30" s="7">
        <v>1.0E7</v>
      </c>
      <c r="AC30" s="7"/>
      <c r="AD30" s="7">
        <v>2.0E7</v>
      </c>
      <c r="AE30" s="7">
        <f t="shared" si="3"/>
        <v>20000000</v>
      </c>
      <c r="AF30" s="7">
        <v>1.0E7</v>
      </c>
      <c r="AG30" s="10">
        <f t="shared" si="1"/>
        <v>10000000</v>
      </c>
      <c r="AH30" s="10">
        <f t="shared" si="2"/>
        <v>0</v>
      </c>
      <c r="AI30" s="7"/>
      <c r="AJ30" s="7">
        <v>0.018760000000000002</v>
      </c>
      <c r="AK30" s="7"/>
      <c r="AL30" s="11">
        <v>45539.69542824074</v>
      </c>
    </row>
    <row r="31">
      <c r="A31" s="6" t="s">
        <v>367</v>
      </c>
      <c r="B31" s="7" t="s">
        <v>368</v>
      </c>
      <c r="C31" s="7" t="s">
        <v>369</v>
      </c>
      <c r="D31" s="7" t="s">
        <v>370</v>
      </c>
      <c r="E31" s="7" t="s">
        <v>66</v>
      </c>
      <c r="F31" s="7" t="s">
        <v>371</v>
      </c>
      <c r="G31" s="7" t="s">
        <v>38</v>
      </c>
      <c r="H31" s="7" t="s">
        <v>39</v>
      </c>
      <c r="I31" s="7" t="s">
        <v>40</v>
      </c>
      <c r="J31" s="7">
        <v>121.3322229868013</v>
      </c>
      <c r="K31" s="7">
        <v>-28.336367983566664</v>
      </c>
      <c r="L31" s="7" t="s">
        <v>41</v>
      </c>
      <c r="M31" s="7" t="s">
        <v>372</v>
      </c>
      <c r="N31" s="7" t="s">
        <v>373</v>
      </c>
      <c r="O31" s="7" t="s">
        <v>373</v>
      </c>
      <c r="P31" s="7"/>
      <c r="Q31" s="7"/>
      <c r="R31" s="7" t="s">
        <v>374</v>
      </c>
      <c r="S31" s="7" t="s">
        <v>58</v>
      </c>
      <c r="T31" s="8">
        <v>134500.0</v>
      </c>
      <c r="U31" s="7" t="s">
        <v>375</v>
      </c>
      <c r="V31" s="7" t="s">
        <v>376</v>
      </c>
      <c r="W31" s="7"/>
      <c r="X31" s="9">
        <v>1.0</v>
      </c>
      <c r="Y31" s="7" t="s">
        <v>377</v>
      </c>
      <c r="Z31" s="7"/>
      <c r="AA31" s="7">
        <f t="shared" si="6"/>
        <v>184250</v>
      </c>
      <c r="AB31" s="7">
        <f>275000*0.67</f>
        <v>184250</v>
      </c>
      <c r="AC31" s="7"/>
      <c r="AD31" s="7"/>
      <c r="AE31" s="7">
        <f t="shared" si="3"/>
        <v>184250</v>
      </c>
      <c r="AF31" s="7"/>
      <c r="AG31" s="10">
        <f t="shared" si="1"/>
        <v>184250</v>
      </c>
      <c r="AH31" s="10">
        <f t="shared" si="2"/>
        <v>0</v>
      </c>
      <c r="AI31" s="7"/>
      <c r="AJ31" s="7">
        <v>0.019430000000000003</v>
      </c>
      <c r="AK31" s="7"/>
      <c r="AL31" s="11">
        <v>45600.679444444446</v>
      </c>
    </row>
    <row r="32">
      <c r="A32" s="6" t="s">
        <v>378</v>
      </c>
      <c r="B32" s="7" t="s">
        <v>379</v>
      </c>
      <c r="C32" s="7" t="s">
        <v>380</v>
      </c>
      <c r="D32" s="7" t="s">
        <v>381</v>
      </c>
      <c r="E32" s="7" t="s">
        <v>66</v>
      </c>
      <c r="F32" s="7" t="s">
        <v>382</v>
      </c>
      <c r="G32" s="7" t="s">
        <v>38</v>
      </c>
      <c r="H32" s="7" t="s">
        <v>39</v>
      </c>
      <c r="I32" s="7" t="s">
        <v>40</v>
      </c>
      <c r="J32" s="7">
        <v>119.71888311665143</v>
      </c>
      <c r="K32" s="7">
        <v>-23.53616297381163</v>
      </c>
      <c r="L32" s="7" t="s">
        <v>41</v>
      </c>
      <c r="M32" s="7" t="s">
        <v>383</v>
      </c>
      <c r="N32" s="7" t="s">
        <v>384</v>
      </c>
      <c r="O32" s="7" t="s">
        <v>384</v>
      </c>
      <c r="P32" s="7"/>
      <c r="Q32" s="7"/>
      <c r="R32" s="7" t="s">
        <v>385</v>
      </c>
      <c r="S32" s="7" t="s">
        <v>58</v>
      </c>
      <c r="T32" s="8">
        <v>0.0</v>
      </c>
      <c r="U32" s="7" t="s">
        <v>386</v>
      </c>
      <c r="V32" s="7" t="s">
        <v>387</v>
      </c>
      <c r="W32" s="7"/>
      <c r="X32" s="9">
        <v>0.6</v>
      </c>
      <c r="Y32" s="7" t="s">
        <v>388</v>
      </c>
      <c r="Z32" s="7"/>
      <c r="AA32" s="7"/>
      <c r="AB32" s="7"/>
      <c r="AC32" s="7"/>
      <c r="AD32" s="7"/>
      <c r="AE32" s="7">
        <f t="shared" si="3"/>
        <v>0</v>
      </c>
      <c r="AF32" s="7"/>
      <c r="AG32" s="10">
        <f t="shared" si="1"/>
        <v>0</v>
      </c>
      <c r="AH32" s="10">
        <f t="shared" si="2"/>
        <v>0</v>
      </c>
      <c r="AI32" s="7"/>
      <c r="AJ32" s="7">
        <v>0.09045000000000002</v>
      </c>
      <c r="AK32" s="7"/>
      <c r="AL32" s="11">
        <v>45741.85891203704</v>
      </c>
    </row>
    <row r="33">
      <c r="A33" s="6" t="s">
        <v>389</v>
      </c>
      <c r="B33" s="7" t="s">
        <v>390</v>
      </c>
      <c r="C33" s="7" t="s">
        <v>391</v>
      </c>
      <c r="D33" s="7" t="s">
        <v>392</v>
      </c>
      <c r="E33" s="7" t="s">
        <v>66</v>
      </c>
      <c r="F33" s="7" t="s">
        <v>393</v>
      </c>
      <c r="G33" s="7" t="s">
        <v>38</v>
      </c>
      <c r="H33" s="7" t="s">
        <v>39</v>
      </c>
      <c r="I33" s="7" t="s">
        <v>40</v>
      </c>
      <c r="J33" s="7">
        <v>122.66294872794758</v>
      </c>
      <c r="K33" s="7">
        <v>-30.073778769590337</v>
      </c>
      <c r="L33" s="7" t="s">
        <v>41</v>
      </c>
      <c r="M33" s="7" t="s">
        <v>394</v>
      </c>
      <c r="N33" s="7" t="s">
        <v>395</v>
      </c>
      <c r="O33" s="7" t="s">
        <v>395</v>
      </c>
      <c r="P33" s="7"/>
      <c r="Q33" s="7"/>
      <c r="R33" s="7" t="s">
        <v>396</v>
      </c>
      <c r="S33" s="7" t="s">
        <v>58</v>
      </c>
      <c r="T33" s="8">
        <v>7000.0</v>
      </c>
      <c r="U33" s="7" t="s">
        <v>397</v>
      </c>
      <c r="V33" s="7" t="s">
        <v>398</v>
      </c>
      <c r="W33" s="7"/>
      <c r="X33" s="9">
        <v>1.0</v>
      </c>
      <c r="Y33" s="7" t="s">
        <v>399</v>
      </c>
      <c r="Z33" s="7"/>
      <c r="AA33" s="7">
        <f t="shared" ref="AA33:AA46" si="8">AB33+AC33+AF33</f>
        <v>70000</v>
      </c>
      <c r="AB33" s="7"/>
      <c r="AC33" s="7"/>
      <c r="AD33" s="7"/>
      <c r="AE33" s="7">
        <f t="shared" si="3"/>
        <v>70000</v>
      </c>
      <c r="AF33" s="7">
        <v>70000.0</v>
      </c>
      <c r="AG33" s="10">
        <f t="shared" si="1"/>
        <v>0</v>
      </c>
      <c r="AH33" s="10">
        <f t="shared" si="2"/>
        <v>0</v>
      </c>
      <c r="AI33" s="7"/>
      <c r="AJ33" s="7">
        <v>0.0</v>
      </c>
      <c r="AK33" s="7">
        <v>1.0</v>
      </c>
      <c r="AL33" s="11">
        <v>45631.68826388889</v>
      </c>
    </row>
    <row r="34">
      <c r="A34" s="6" t="s">
        <v>400</v>
      </c>
      <c r="B34" s="7" t="s">
        <v>401</v>
      </c>
      <c r="C34" s="7" t="s">
        <v>402</v>
      </c>
      <c r="D34" s="7" t="s">
        <v>403</v>
      </c>
      <c r="E34" s="7" t="s">
        <v>66</v>
      </c>
      <c r="F34" s="7" t="s">
        <v>404</v>
      </c>
      <c r="G34" s="7" t="s">
        <v>38</v>
      </c>
      <c r="H34" s="7" t="s">
        <v>39</v>
      </c>
      <c r="I34" s="7" t="s">
        <v>40</v>
      </c>
      <c r="J34" s="7">
        <v>118.51802760087583</v>
      </c>
      <c r="K34" s="7">
        <v>-26.813990313756914</v>
      </c>
      <c r="L34" s="7" t="s">
        <v>41</v>
      </c>
      <c r="M34" s="7" t="s">
        <v>405</v>
      </c>
      <c r="N34" s="7" t="s">
        <v>406</v>
      </c>
      <c r="O34" s="7" t="s">
        <v>406</v>
      </c>
      <c r="P34" s="7"/>
      <c r="Q34" s="7"/>
      <c r="R34" s="7" t="s">
        <v>407</v>
      </c>
      <c r="S34" s="7" t="s">
        <v>58</v>
      </c>
      <c r="T34" s="8">
        <v>0.0</v>
      </c>
      <c r="U34" s="7" t="s">
        <v>408</v>
      </c>
      <c r="V34" s="7" t="s">
        <v>409</v>
      </c>
      <c r="W34" s="7"/>
      <c r="X34" s="9">
        <v>0.75</v>
      </c>
      <c r="Y34" s="7" t="s">
        <v>410</v>
      </c>
      <c r="Z34" s="7"/>
      <c r="AA34" s="7">
        <f t="shared" si="8"/>
        <v>700000</v>
      </c>
      <c r="AB34" s="7"/>
      <c r="AC34" s="7">
        <v>600000.0</v>
      </c>
      <c r="AD34" s="7"/>
      <c r="AE34" s="7">
        <f t="shared" si="3"/>
        <v>100000</v>
      </c>
      <c r="AF34" s="7">
        <v>100000.0</v>
      </c>
      <c r="AG34" s="10">
        <f t="shared" si="1"/>
        <v>0</v>
      </c>
      <c r="AH34" s="10">
        <f t="shared" si="2"/>
        <v>0</v>
      </c>
      <c r="AI34" s="7"/>
      <c r="AJ34" s="7">
        <v>0.06298000000000001</v>
      </c>
      <c r="AK34" s="7"/>
      <c r="AL34" s="11">
        <v>45676.68096064815</v>
      </c>
    </row>
    <row r="35">
      <c r="A35" s="6" t="s">
        <v>411</v>
      </c>
      <c r="B35" s="7" t="s">
        <v>412</v>
      </c>
      <c r="C35" s="7" t="s">
        <v>413</v>
      </c>
      <c r="D35" s="7" t="s">
        <v>414</v>
      </c>
      <c r="E35" s="7" t="s">
        <v>66</v>
      </c>
      <c r="F35" s="7" t="s">
        <v>415</v>
      </c>
      <c r="G35" s="7" t="s">
        <v>38</v>
      </c>
      <c r="H35" s="7" t="s">
        <v>39</v>
      </c>
      <c r="I35" s="7" t="s">
        <v>79</v>
      </c>
      <c r="J35" s="7">
        <v>144.7821922603948</v>
      </c>
      <c r="K35" s="7">
        <v>-36.79395562182677</v>
      </c>
      <c r="L35" s="7" t="s">
        <v>41</v>
      </c>
      <c r="M35" s="7" t="s">
        <v>416</v>
      </c>
      <c r="N35" s="7" t="s">
        <v>417</v>
      </c>
      <c r="O35" s="7" t="s">
        <v>418</v>
      </c>
      <c r="P35" s="7"/>
      <c r="Q35" s="7" t="s">
        <v>419</v>
      </c>
      <c r="R35" s="7" t="s">
        <v>420</v>
      </c>
      <c r="S35" s="7" t="s">
        <v>58</v>
      </c>
      <c r="T35" s="8">
        <v>187.0</v>
      </c>
      <c r="U35" s="7" t="s">
        <v>421</v>
      </c>
      <c r="V35" s="7" t="s">
        <v>422</v>
      </c>
      <c r="W35" s="7"/>
      <c r="X35" s="9">
        <v>1.0</v>
      </c>
      <c r="Y35" s="7" t="s">
        <v>423</v>
      </c>
      <c r="Z35" s="7"/>
      <c r="AA35" s="7">
        <f t="shared" si="8"/>
        <v>167500</v>
      </c>
      <c r="AB35" s="7">
        <v>167500.0</v>
      </c>
      <c r="AC35" s="7"/>
      <c r="AD35" s="7"/>
      <c r="AE35" s="7">
        <f t="shared" si="3"/>
        <v>167500</v>
      </c>
      <c r="AF35" s="7"/>
      <c r="AG35" s="10">
        <f t="shared" si="1"/>
        <v>167500</v>
      </c>
      <c r="AH35" s="10">
        <f t="shared" si="2"/>
        <v>0</v>
      </c>
      <c r="AI35" s="7"/>
      <c r="AJ35" s="7">
        <v>3.4505000000000003</v>
      </c>
      <c r="AK35" s="7">
        <v>1.5</v>
      </c>
      <c r="AL35" s="11">
        <v>45589.68925925926</v>
      </c>
    </row>
    <row r="36">
      <c r="A36" s="6" t="s">
        <v>424</v>
      </c>
      <c r="B36" s="7" t="s">
        <v>425</v>
      </c>
      <c r="C36" s="7" t="s">
        <v>426</v>
      </c>
      <c r="D36" s="7" t="s">
        <v>427</v>
      </c>
      <c r="E36" s="7" t="s">
        <v>66</v>
      </c>
      <c r="F36" s="7" t="s">
        <v>428</v>
      </c>
      <c r="G36" s="7" t="s">
        <v>38</v>
      </c>
      <c r="H36" s="7" t="s">
        <v>39</v>
      </c>
      <c r="I36" s="7" t="s">
        <v>40</v>
      </c>
      <c r="J36" s="7">
        <v>118.60188335404585</v>
      </c>
      <c r="K36" s="7">
        <v>-26.568851632596807</v>
      </c>
      <c r="L36" s="7" t="s">
        <v>41</v>
      </c>
      <c r="M36" s="7" t="s">
        <v>429</v>
      </c>
      <c r="N36" s="7" t="s">
        <v>430</v>
      </c>
      <c r="O36" s="7" t="s">
        <v>430</v>
      </c>
      <c r="P36" s="7"/>
      <c r="Q36" s="7"/>
      <c r="R36" s="7" t="s">
        <v>431</v>
      </c>
      <c r="S36" s="7" t="s">
        <v>58</v>
      </c>
      <c r="T36" s="8">
        <v>0.0</v>
      </c>
      <c r="U36" s="7" t="s">
        <v>432</v>
      </c>
      <c r="V36" s="7" t="s">
        <v>433</v>
      </c>
      <c r="W36" s="7"/>
      <c r="X36" s="9">
        <v>0.8</v>
      </c>
      <c r="Y36" s="7" t="s">
        <v>434</v>
      </c>
      <c r="Z36" s="7"/>
      <c r="AA36" s="7">
        <f t="shared" si="8"/>
        <v>80000</v>
      </c>
      <c r="AB36" s="7"/>
      <c r="AC36" s="7"/>
      <c r="AD36" s="7">
        <v>160000.0</v>
      </c>
      <c r="AE36" s="7">
        <f t="shared" si="3"/>
        <v>80000</v>
      </c>
      <c r="AF36" s="7">
        <v>80000.0</v>
      </c>
      <c r="AG36" s="10">
        <f t="shared" si="1"/>
        <v>0</v>
      </c>
      <c r="AH36" s="10">
        <f t="shared" si="2"/>
        <v>0</v>
      </c>
      <c r="AI36" s="7"/>
      <c r="AJ36" s="7">
        <v>0.046900000000000004</v>
      </c>
      <c r="AK36" s="7"/>
      <c r="AL36" s="11">
        <v>45558.6827662037</v>
      </c>
    </row>
    <row r="37">
      <c r="A37" s="6" t="s">
        <v>411</v>
      </c>
      <c r="B37" s="7" t="s">
        <v>435</v>
      </c>
      <c r="C37" s="7" t="s">
        <v>436</v>
      </c>
      <c r="D37" s="7" t="s">
        <v>437</v>
      </c>
      <c r="E37" s="7" t="s">
        <v>66</v>
      </c>
      <c r="F37" s="7"/>
      <c r="G37" s="7" t="s">
        <v>38</v>
      </c>
      <c r="H37" s="7" t="s">
        <v>39</v>
      </c>
      <c r="I37" s="7" t="s">
        <v>79</v>
      </c>
      <c r="J37" s="7">
        <v>145.11904867600998</v>
      </c>
      <c r="K37" s="7">
        <v>-37.30522377878056</v>
      </c>
      <c r="L37" s="7" t="s">
        <v>41</v>
      </c>
      <c r="M37" s="7" t="s">
        <v>438</v>
      </c>
      <c r="N37" s="7" t="s">
        <v>418</v>
      </c>
      <c r="O37" s="7" t="s">
        <v>418</v>
      </c>
      <c r="P37" s="7" t="s">
        <v>419</v>
      </c>
      <c r="Q37" s="7" t="s">
        <v>419</v>
      </c>
      <c r="R37" s="7" t="s">
        <v>439</v>
      </c>
      <c r="S37" s="7" t="s">
        <v>58</v>
      </c>
      <c r="T37" s="8">
        <v>0.0</v>
      </c>
      <c r="U37" s="7" t="s">
        <v>440</v>
      </c>
      <c r="V37" s="7" t="s">
        <v>441</v>
      </c>
      <c r="W37" s="7"/>
      <c r="X37" s="7"/>
      <c r="Y37" s="7"/>
      <c r="Z37" s="7"/>
      <c r="AA37" s="7">
        <f t="shared" si="8"/>
        <v>852910</v>
      </c>
      <c r="AB37" s="7">
        <v>852910.0</v>
      </c>
      <c r="AC37" s="7"/>
      <c r="AD37" s="7"/>
      <c r="AE37" s="7">
        <f t="shared" si="3"/>
        <v>852910</v>
      </c>
      <c r="AF37" s="7"/>
      <c r="AG37" s="10">
        <f t="shared" si="1"/>
        <v>1000904.089</v>
      </c>
      <c r="AH37" s="10">
        <f t="shared" si="2"/>
        <v>147994.089</v>
      </c>
      <c r="AI37" s="7">
        <v>2.208867E7</v>
      </c>
      <c r="AJ37" s="7">
        <v>0.0067</v>
      </c>
      <c r="AK37" s="7"/>
      <c r="AL37" s="11">
        <v>45569.1875</v>
      </c>
    </row>
    <row r="38">
      <c r="A38" s="6" t="s">
        <v>442</v>
      </c>
      <c r="B38" s="7" t="s">
        <v>443</v>
      </c>
      <c r="C38" s="7" t="s">
        <v>444</v>
      </c>
      <c r="D38" s="7" t="s">
        <v>445</v>
      </c>
      <c r="E38" s="7" t="s">
        <v>66</v>
      </c>
      <c r="F38" s="7" t="s">
        <v>446</v>
      </c>
      <c r="G38" s="7" t="s">
        <v>38</v>
      </c>
      <c r="H38" s="7" t="s">
        <v>39</v>
      </c>
      <c r="I38" s="7" t="s">
        <v>132</v>
      </c>
      <c r="J38" s="7">
        <v>151.3706298025289</v>
      </c>
      <c r="K38" s="7">
        <v>-24.299396998650437</v>
      </c>
      <c r="L38" s="7" t="s">
        <v>41</v>
      </c>
      <c r="M38" s="7" t="s">
        <v>447</v>
      </c>
      <c r="N38" s="7" t="s">
        <v>448</v>
      </c>
      <c r="O38" s="7" t="s">
        <v>448</v>
      </c>
      <c r="P38" s="7"/>
      <c r="Q38" s="7"/>
      <c r="R38" s="7" t="s">
        <v>449</v>
      </c>
      <c r="S38" s="7" t="s">
        <v>58</v>
      </c>
      <c r="T38" s="8">
        <v>13760.0</v>
      </c>
      <c r="U38" s="7" t="s">
        <v>450</v>
      </c>
      <c r="V38" s="7" t="s">
        <v>451</v>
      </c>
      <c r="W38" s="7"/>
      <c r="X38" s="9">
        <v>1.0</v>
      </c>
      <c r="Y38" s="7" t="s">
        <v>452</v>
      </c>
      <c r="Z38" s="7"/>
      <c r="AA38" s="7">
        <f t="shared" si="8"/>
        <v>636500</v>
      </c>
      <c r="AB38" s="7">
        <v>636500.0</v>
      </c>
      <c r="AC38" s="7"/>
      <c r="AD38" s="7"/>
      <c r="AE38" s="7">
        <f t="shared" si="3"/>
        <v>636500</v>
      </c>
      <c r="AF38" s="7"/>
      <c r="AG38" s="10">
        <f t="shared" si="1"/>
        <v>859833.3324</v>
      </c>
      <c r="AH38" s="10">
        <f t="shared" si="2"/>
        <v>223333.3324</v>
      </c>
      <c r="AI38" s="7">
        <v>8.3333333E7</v>
      </c>
      <c r="AJ38" s="7">
        <v>0.00268</v>
      </c>
      <c r="AK38" s="7"/>
      <c r="AL38" s="11">
        <v>45559.721608796295</v>
      </c>
    </row>
    <row r="39">
      <c r="A39" s="6" t="s">
        <v>453</v>
      </c>
      <c r="B39" s="7" t="s">
        <v>454</v>
      </c>
      <c r="C39" s="7" t="s">
        <v>455</v>
      </c>
      <c r="D39" s="7" t="s">
        <v>456</v>
      </c>
      <c r="E39" s="7" t="s">
        <v>66</v>
      </c>
      <c r="F39" s="7" t="s">
        <v>457</v>
      </c>
      <c r="G39" s="7" t="s">
        <v>38</v>
      </c>
      <c r="H39" s="7" t="s">
        <v>39</v>
      </c>
      <c r="I39" s="7" t="s">
        <v>132</v>
      </c>
      <c r="J39" s="7">
        <v>147.09793247262903</v>
      </c>
      <c r="K39" s="7">
        <v>-21.96495345286641</v>
      </c>
      <c r="L39" s="7" t="s">
        <v>41</v>
      </c>
      <c r="M39" s="7" t="s">
        <v>458</v>
      </c>
      <c r="N39" s="7" t="s">
        <v>459</v>
      </c>
      <c r="O39" s="7" t="s">
        <v>459</v>
      </c>
      <c r="P39" s="7"/>
      <c r="Q39" s="7"/>
      <c r="R39" s="7" t="s">
        <v>460</v>
      </c>
      <c r="S39" s="7" t="s">
        <v>58</v>
      </c>
      <c r="T39" s="8">
        <v>0.0</v>
      </c>
      <c r="U39" s="7" t="s">
        <v>461</v>
      </c>
      <c r="V39" s="7" t="s">
        <v>462</v>
      </c>
      <c r="W39" s="7"/>
      <c r="X39" s="7"/>
      <c r="Y39" s="7" t="s">
        <v>463</v>
      </c>
      <c r="Z39" s="7"/>
      <c r="AA39" s="7">
        <f t="shared" si="8"/>
        <v>8693400</v>
      </c>
      <c r="AB39" s="7">
        <v>2693400.0</v>
      </c>
      <c r="AC39" s="7">
        <v>6000000.0</v>
      </c>
      <c r="AD39" s="7"/>
      <c r="AE39" s="7">
        <f t="shared" si="3"/>
        <v>2693400</v>
      </c>
      <c r="AF39" s="7"/>
      <c r="AG39" s="10">
        <f t="shared" si="1"/>
        <v>2693400</v>
      </c>
      <c r="AH39" s="10">
        <f t="shared" si="2"/>
        <v>0</v>
      </c>
      <c r="AI39" s="7"/>
      <c r="AJ39" s="7">
        <v>0.00536</v>
      </c>
      <c r="AK39" s="7"/>
      <c r="AL39" s="11">
        <v>45585.679444444446</v>
      </c>
    </row>
    <row r="40">
      <c r="A40" s="6" t="s">
        <v>464</v>
      </c>
      <c r="B40" s="7" t="s">
        <v>465</v>
      </c>
      <c r="C40" s="7" t="s">
        <v>466</v>
      </c>
      <c r="D40" s="7" t="s">
        <v>467</v>
      </c>
      <c r="E40" s="7" t="s">
        <v>66</v>
      </c>
      <c r="F40" s="7" t="s">
        <v>468</v>
      </c>
      <c r="G40" s="7" t="s">
        <v>38</v>
      </c>
      <c r="H40" s="7" t="s">
        <v>39</v>
      </c>
      <c r="I40" s="7" t="s">
        <v>40</v>
      </c>
      <c r="J40" s="7">
        <v>119.6493865671558</v>
      </c>
      <c r="K40" s="7">
        <v>-32.15183006713117</v>
      </c>
      <c r="L40" s="7" t="s">
        <v>41</v>
      </c>
      <c r="M40" s="7" t="s">
        <v>469</v>
      </c>
      <c r="N40" s="7" t="s">
        <v>470</v>
      </c>
      <c r="O40" s="7" t="s">
        <v>470</v>
      </c>
      <c r="P40" s="7"/>
      <c r="Q40" s="7"/>
      <c r="R40" s="7" t="s">
        <v>471</v>
      </c>
      <c r="S40" s="7" t="s">
        <v>58</v>
      </c>
      <c r="T40" s="8">
        <v>0.0</v>
      </c>
      <c r="U40" s="7" t="s">
        <v>472</v>
      </c>
      <c r="V40" s="7" t="s">
        <v>473</v>
      </c>
      <c r="W40" s="7"/>
      <c r="X40" s="9">
        <v>0.8</v>
      </c>
      <c r="Y40" s="7" t="s">
        <v>474</v>
      </c>
      <c r="Z40" s="7"/>
      <c r="AA40" s="10">
        <f t="shared" si="8"/>
        <v>1785885</v>
      </c>
      <c r="AB40" s="7">
        <v>1346700.0</v>
      </c>
      <c r="AC40" s="7"/>
      <c r="AD40" s="7">
        <v>4000000.0</v>
      </c>
      <c r="AE40" s="10">
        <f t="shared" si="3"/>
        <v>1785885</v>
      </c>
      <c r="AF40" s="10">
        <f>AH40</f>
        <v>439185</v>
      </c>
      <c r="AG40" s="10">
        <f t="shared" si="1"/>
        <v>1785885</v>
      </c>
      <c r="AH40" s="10">
        <f t="shared" si="2"/>
        <v>439185</v>
      </c>
      <c r="AI40" s="7">
        <v>5700000.0</v>
      </c>
      <c r="AJ40" s="7">
        <v>0.07705000000000001</v>
      </c>
      <c r="AK40" s="7"/>
      <c r="AL40" s="11">
        <v>45721.69965277778</v>
      </c>
    </row>
    <row r="41">
      <c r="A41" s="6" t="s">
        <v>475</v>
      </c>
      <c r="B41" s="7" t="s">
        <v>476</v>
      </c>
      <c r="C41" s="7" t="s">
        <v>477</v>
      </c>
      <c r="D41" s="7" t="s">
        <v>478</v>
      </c>
      <c r="E41" s="7" t="s">
        <v>66</v>
      </c>
      <c r="F41" s="7" t="s">
        <v>479</v>
      </c>
      <c r="G41" s="7" t="s">
        <v>38</v>
      </c>
      <c r="H41" s="7" t="s">
        <v>39</v>
      </c>
      <c r="I41" s="7" t="s">
        <v>40</v>
      </c>
      <c r="J41" s="7">
        <v>121.24626995607822</v>
      </c>
      <c r="K41" s="7">
        <v>-30.343716066320184</v>
      </c>
      <c r="L41" s="7" t="s">
        <v>41</v>
      </c>
      <c r="M41" s="7" t="s">
        <v>480</v>
      </c>
      <c r="N41" s="7" t="s">
        <v>481</v>
      </c>
      <c r="O41" s="7" t="s">
        <v>481</v>
      </c>
      <c r="P41" s="7"/>
      <c r="Q41" s="7"/>
      <c r="R41" s="7" t="s">
        <v>482</v>
      </c>
      <c r="S41" s="7" t="s">
        <v>58</v>
      </c>
      <c r="T41" s="8">
        <v>0.0</v>
      </c>
      <c r="U41" s="7" t="s">
        <v>483</v>
      </c>
      <c r="V41" s="7" t="s">
        <v>484</v>
      </c>
      <c r="W41" s="7"/>
      <c r="X41" s="9">
        <v>1.0</v>
      </c>
      <c r="Y41" s="7" t="s">
        <v>485</v>
      </c>
      <c r="Z41" s="7"/>
      <c r="AA41" s="7">
        <f t="shared" si="8"/>
        <v>317000</v>
      </c>
      <c r="AB41" s="7">
        <v>67000.0</v>
      </c>
      <c r="AC41" s="7">
        <v>150000.0</v>
      </c>
      <c r="AD41" s="7">
        <v>100000.0</v>
      </c>
      <c r="AE41" s="7">
        <f t="shared" si="3"/>
        <v>167000</v>
      </c>
      <c r="AF41" s="7">
        <v>100000.0</v>
      </c>
      <c r="AG41" s="10">
        <f t="shared" si="1"/>
        <v>67000</v>
      </c>
      <c r="AH41" s="10">
        <f t="shared" si="2"/>
        <v>0</v>
      </c>
      <c r="AI41" s="7"/>
      <c r="AJ41" s="7">
        <v>0.01273</v>
      </c>
      <c r="AK41" s="7">
        <v>1.5</v>
      </c>
      <c r="AL41" s="11">
        <v>45572.71362268519</v>
      </c>
    </row>
    <row r="42">
      <c r="A42" s="6" t="s">
        <v>486</v>
      </c>
      <c r="B42" s="7" t="s">
        <v>487</v>
      </c>
      <c r="C42" s="7" t="s">
        <v>488</v>
      </c>
      <c r="D42" s="7" t="s">
        <v>489</v>
      </c>
      <c r="E42" s="7" t="s">
        <v>66</v>
      </c>
      <c r="F42" s="7"/>
      <c r="G42" s="7" t="s">
        <v>38</v>
      </c>
      <c r="H42" s="7" t="s">
        <v>39</v>
      </c>
      <c r="I42" s="7" t="s">
        <v>40</v>
      </c>
      <c r="J42" s="7">
        <v>116.64924846664269</v>
      </c>
      <c r="K42" s="7">
        <v>-28.25363596932471</v>
      </c>
      <c r="L42" s="7" t="s">
        <v>41</v>
      </c>
      <c r="M42" s="7" t="s">
        <v>490</v>
      </c>
      <c r="N42" s="7" t="s">
        <v>333</v>
      </c>
      <c r="O42" s="7" t="s">
        <v>333</v>
      </c>
      <c r="P42" s="7"/>
      <c r="Q42" s="7"/>
      <c r="R42" s="7" t="s">
        <v>491</v>
      </c>
      <c r="S42" s="7" t="s">
        <v>58</v>
      </c>
      <c r="T42" s="8">
        <v>0.0</v>
      </c>
      <c r="U42" s="7" t="s">
        <v>492</v>
      </c>
      <c r="V42" s="7" t="s">
        <v>493</v>
      </c>
      <c r="W42" s="7"/>
      <c r="X42" s="7"/>
      <c r="Y42" s="7" t="s">
        <v>494</v>
      </c>
      <c r="Z42" s="7"/>
      <c r="AA42" s="7">
        <f t="shared" si="8"/>
        <v>184250</v>
      </c>
      <c r="AB42" s="7">
        <v>184250.0</v>
      </c>
      <c r="AC42" s="7"/>
      <c r="AD42" s="7"/>
      <c r="AE42" s="7">
        <f t="shared" si="3"/>
        <v>184250</v>
      </c>
      <c r="AF42" s="7"/>
      <c r="AG42" s="10">
        <f t="shared" si="1"/>
        <v>184250</v>
      </c>
      <c r="AH42" s="10">
        <f t="shared" si="2"/>
        <v>0</v>
      </c>
      <c r="AI42" s="7"/>
      <c r="AJ42" s="7">
        <v>1.4472000000000003</v>
      </c>
      <c r="AK42" s="7"/>
      <c r="AL42" s="11">
        <v>45679.63738425926</v>
      </c>
    </row>
    <row r="43">
      <c r="A43" s="6" t="s">
        <v>495</v>
      </c>
      <c r="B43" s="7" t="s">
        <v>496</v>
      </c>
      <c r="C43" s="7" t="s">
        <v>497</v>
      </c>
      <c r="D43" s="7" t="s">
        <v>498</v>
      </c>
      <c r="E43" s="7" t="s">
        <v>66</v>
      </c>
      <c r="F43" s="7"/>
      <c r="G43" s="7" t="s">
        <v>38</v>
      </c>
      <c r="H43" s="7" t="s">
        <v>39</v>
      </c>
      <c r="I43" s="7" t="s">
        <v>40</v>
      </c>
      <c r="J43" s="7">
        <v>122.25910249384162</v>
      </c>
      <c r="K43" s="7">
        <v>-29.649740809405305</v>
      </c>
      <c r="L43" s="7" t="s">
        <v>41</v>
      </c>
      <c r="M43" s="7" t="s">
        <v>499</v>
      </c>
      <c r="N43" s="7" t="s">
        <v>500</v>
      </c>
      <c r="O43" s="7" t="s">
        <v>500</v>
      </c>
      <c r="P43" s="7"/>
      <c r="Q43" s="7"/>
      <c r="R43" s="7" t="s">
        <v>396</v>
      </c>
      <c r="S43" s="7" t="s">
        <v>58</v>
      </c>
      <c r="T43" s="8">
        <v>7000.0</v>
      </c>
      <c r="U43" s="7" t="s">
        <v>501</v>
      </c>
      <c r="V43" s="7" t="s">
        <v>502</v>
      </c>
      <c r="W43" s="7"/>
      <c r="X43" s="9">
        <v>1.0</v>
      </c>
      <c r="Y43" s="7" t="s">
        <v>503</v>
      </c>
      <c r="Z43" s="7"/>
      <c r="AA43" s="7">
        <f t="shared" si="8"/>
        <v>6770000</v>
      </c>
      <c r="AB43" s="7">
        <v>6700000.0</v>
      </c>
      <c r="AC43" s="7"/>
      <c r="AD43" s="7"/>
      <c r="AE43" s="7">
        <f t="shared" si="3"/>
        <v>6770000</v>
      </c>
      <c r="AF43" s="7">
        <v>70000.0</v>
      </c>
      <c r="AG43" s="10">
        <f t="shared" si="1"/>
        <v>6700000</v>
      </c>
      <c r="AH43" s="10">
        <f t="shared" si="2"/>
        <v>0</v>
      </c>
      <c r="AI43" s="7"/>
      <c r="AJ43" s="7">
        <v>0.0</v>
      </c>
      <c r="AK43" s="7">
        <v>1.0</v>
      </c>
      <c r="AL43" s="11">
        <v>45631.68826388889</v>
      </c>
    </row>
    <row r="44">
      <c r="A44" s="6" t="s">
        <v>504</v>
      </c>
      <c r="B44" s="7" t="s">
        <v>505</v>
      </c>
      <c r="C44" s="7" t="s">
        <v>506</v>
      </c>
      <c r="D44" s="7" t="s">
        <v>507</v>
      </c>
      <c r="E44" s="7" t="s">
        <v>66</v>
      </c>
      <c r="F44" s="7"/>
      <c r="G44" s="7" t="s">
        <v>38</v>
      </c>
      <c r="H44" s="7" t="s">
        <v>39</v>
      </c>
      <c r="I44" s="7" t="s">
        <v>132</v>
      </c>
      <c r="J44" s="7">
        <v>151.3509543759145</v>
      </c>
      <c r="K44" s="7">
        <v>-24.98187892957048</v>
      </c>
      <c r="L44" s="7" t="s">
        <v>41</v>
      </c>
      <c r="M44" s="7" t="s">
        <v>41</v>
      </c>
      <c r="N44" s="7" t="s">
        <v>508</v>
      </c>
      <c r="O44" s="7" t="s">
        <v>508</v>
      </c>
      <c r="P44" s="7" t="s">
        <v>509</v>
      </c>
      <c r="Q44" s="7" t="s">
        <v>509</v>
      </c>
      <c r="R44" s="7" t="s">
        <v>510</v>
      </c>
      <c r="S44" s="7" t="s">
        <v>58</v>
      </c>
      <c r="T44" s="8">
        <v>59520.0</v>
      </c>
      <c r="U44" s="7" t="s">
        <v>511</v>
      </c>
      <c r="V44" s="7" t="s">
        <v>512</v>
      </c>
      <c r="W44" s="7"/>
      <c r="X44" s="7"/>
      <c r="Y44" s="7"/>
      <c r="Z44" s="7"/>
      <c r="AA44" s="7">
        <f t="shared" si="8"/>
        <v>121222.5</v>
      </c>
      <c r="AB44" s="7">
        <v>11222.5</v>
      </c>
      <c r="AC44" s="7"/>
      <c r="AD44" s="13"/>
      <c r="AE44" s="7">
        <f t="shared" si="3"/>
        <v>121222.5</v>
      </c>
      <c r="AF44" s="7">
        <v>110000.0</v>
      </c>
      <c r="AG44" s="10">
        <f t="shared" si="1"/>
        <v>6979222.5</v>
      </c>
      <c r="AH44" s="10">
        <f t="shared" si="2"/>
        <v>6968000</v>
      </c>
      <c r="AI44" s="7">
        <v>1.6E7</v>
      </c>
      <c r="AJ44" s="7">
        <v>0.43550000000000005</v>
      </c>
      <c r="AK44" s="7">
        <v>2.5</v>
      </c>
      <c r="AL44" s="11">
        <v>45597.27083333333</v>
      </c>
    </row>
    <row r="45">
      <c r="A45" s="6" t="s">
        <v>513</v>
      </c>
      <c r="B45" s="7" t="s">
        <v>514</v>
      </c>
      <c r="C45" s="7" t="s">
        <v>515</v>
      </c>
      <c r="D45" s="7" t="s">
        <v>516</v>
      </c>
      <c r="E45" s="7" t="s">
        <v>66</v>
      </c>
      <c r="F45" s="7"/>
      <c r="G45" s="7" t="s">
        <v>38</v>
      </c>
      <c r="H45" s="7" t="s">
        <v>39</v>
      </c>
      <c r="I45" s="7" t="s">
        <v>79</v>
      </c>
      <c r="J45" s="7">
        <v>143.41737333667797</v>
      </c>
      <c r="K45" s="7">
        <v>-36.31737217600417</v>
      </c>
      <c r="L45" s="7" t="s">
        <v>41</v>
      </c>
      <c r="M45" s="7" t="s">
        <v>517</v>
      </c>
      <c r="N45" s="7" t="s">
        <v>518</v>
      </c>
      <c r="O45" s="7" t="s">
        <v>519</v>
      </c>
      <c r="P45" s="7"/>
      <c r="Q45" s="7" t="s">
        <v>520</v>
      </c>
      <c r="R45" s="7" t="s">
        <v>521</v>
      </c>
      <c r="S45" s="7" t="s">
        <v>58</v>
      </c>
      <c r="T45" s="8">
        <v>72800.0</v>
      </c>
      <c r="U45" s="7" t="s">
        <v>522</v>
      </c>
      <c r="V45" s="7" t="s">
        <v>523</v>
      </c>
      <c r="W45" s="7"/>
      <c r="X45" s="9">
        <v>0.8</v>
      </c>
      <c r="Y45" s="7" t="s">
        <v>524</v>
      </c>
      <c r="Z45" s="7"/>
      <c r="AA45" s="7">
        <f t="shared" si="8"/>
        <v>326200</v>
      </c>
      <c r="AB45" s="7">
        <v>0.0</v>
      </c>
      <c r="AC45" s="7">
        <v>326200.0</v>
      </c>
      <c r="AD45" s="7"/>
      <c r="AE45" s="7">
        <f t="shared" si="3"/>
        <v>0</v>
      </c>
      <c r="AF45" s="7"/>
      <c r="AG45" s="10">
        <f t="shared" si="1"/>
        <v>0</v>
      </c>
      <c r="AH45" s="10">
        <f t="shared" si="2"/>
        <v>0</v>
      </c>
      <c r="AI45" s="7"/>
      <c r="AJ45" s="7">
        <v>0.1407</v>
      </c>
      <c r="AK45" s="7">
        <v>2.0</v>
      </c>
      <c r="AL45" s="11">
        <v>45629.63665509259</v>
      </c>
    </row>
    <row r="46">
      <c r="A46" s="6" t="s">
        <v>525</v>
      </c>
      <c r="B46" s="7" t="s">
        <v>526</v>
      </c>
      <c r="C46" s="7" t="s">
        <v>527</v>
      </c>
      <c r="D46" s="7" t="s">
        <v>528</v>
      </c>
      <c r="E46" s="7" t="s">
        <v>66</v>
      </c>
      <c r="F46" s="7" t="s">
        <v>529</v>
      </c>
      <c r="G46" s="7" t="s">
        <v>530</v>
      </c>
      <c r="H46" s="7" t="s">
        <v>39</v>
      </c>
      <c r="I46" s="7" t="s">
        <v>40</v>
      </c>
      <c r="J46" s="7">
        <v>119.82930449064972</v>
      </c>
      <c r="K46" s="7">
        <v>-32.77493808418429</v>
      </c>
      <c r="L46" s="7" t="s">
        <v>41</v>
      </c>
      <c r="M46" s="7" t="s">
        <v>531</v>
      </c>
      <c r="N46" s="7" t="s">
        <v>532</v>
      </c>
      <c r="O46" s="7"/>
      <c r="P46" s="7"/>
      <c r="Q46" s="7"/>
      <c r="R46" s="7" t="s">
        <v>533</v>
      </c>
      <c r="S46" s="7" t="s">
        <v>58</v>
      </c>
      <c r="T46" s="8">
        <v>0.0</v>
      </c>
      <c r="U46" s="7" t="s">
        <v>534</v>
      </c>
      <c r="V46" s="7" t="s">
        <v>535</v>
      </c>
      <c r="W46" s="7"/>
      <c r="X46" s="9">
        <v>1.0</v>
      </c>
      <c r="Y46" s="7" t="s">
        <v>536</v>
      </c>
      <c r="Z46" s="7"/>
      <c r="AA46" s="7">
        <f t="shared" si="8"/>
        <v>4690000</v>
      </c>
      <c r="AB46" s="7">
        <v>4690000.0</v>
      </c>
      <c r="AC46" s="7"/>
      <c r="AD46" s="7"/>
      <c r="AE46" s="7">
        <f t="shared" si="3"/>
        <v>4690000</v>
      </c>
      <c r="AF46" s="7"/>
      <c r="AG46" s="10">
        <f t="shared" si="1"/>
        <v>4690000</v>
      </c>
      <c r="AH46" s="10">
        <f t="shared" si="2"/>
        <v>0</v>
      </c>
      <c r="AI46" s="7"/>
      <c r="AJ46" s="7">
        <v>0.0</v>
      </c>
      <c r="AK46" s="7"/>
      <c r="AL46" s="11">
        <v>45740.014328703706</v>
      </c>
    </row>
    <row r="47">
      <c r="A47" s="6" t="s">
        <v>876</v>
      </c>
      <c r="B47" s="7" t="s">
        <v>702</v>
      </c>
      <c r="C47" s="7" t="s">
        <v>877</v>
      </c>
      <c r="D47" s="7" t="s">
        <v>878</v>
      </c>
      <c r="E47" s="7" t="s">
        <v>66</v>
      </c>
      <c r="F47" s="7"/>
      <c r="G47" s="7" t="s">
        <v>879</v>
      </c>
      <c r="H47" s="7" t="s">
        <v>39</v>
      </c>
      <c r="I47" s="7" t="s">
        <v>40</v>
      </c>
      <c r="J47" s="7">
        <v>128.8089581144471</v>
      </c>
      <c r="K47" s="7">
        <v>-19.65870153200122</v>
      </c>
      <c r="L47" s="7" t="s">
        <v>41</v>
      </c>
      <c r="M47" s="7" t="s">
        <v>880</v>
      </c>
      <c r="N47" s="7" t="s">
        <v>881</v>
      </c>
      <c r="O47" s="7" t="s">
        <v>881</v>
      </c>
      <c r="P47" s="7"/>
      <c r="Q47" s="7"/>
      <c r="R47" s="7" t="s">
        <v>882</v>
      </c>
      <c r="S47" s="7" t="s">
        <v>58</v>
      </c>
      <c r="T47" s="8">
        <v>0.0</v>
      </c>
      <c r="U47" s="7" t="s">
        <v>883</v>
      </c>
      <c r="V47" s="7" t="s">
        <v>884</v>
      </c>
      <c r="W47" s="7"/>
      <c r="X47" s="9">
        <v>1.0</v>
      </c>
      <c r="Y47" s="7" t="s">
        <v>885</v>
      </c>
      <c r="Z47" s="7"/>
      <c r="AA47" s="7">
        <f>AB47</f>
        <v>14685000</v>
      </c>
      <c r="AB47" s="7">
        <v>1.4685E7</v>
      </c>
      <c r="AC47" s="7"/>
      <c r="AD47" s="7"/>
      <c r="AE47" s="7">
        <f t="shared" si="3"/>
        <v>14685000</v>
      </c>
      <c r="AF47" s="7"/>
      <c r="AG47" s="10">
        <f t="shared" si="1"/>
        <v>14685000</v>
      </c>
      <c r="AH47" s="10">
        <f t="shared" si="2"/>
        <v>0</v>
      </c>
      <c r="AI47" s="7"/>
      <c r="AJ47" s="7">
        <v>0.5494</v>
      </c>
      <c r="AK47" s="7"/>
      <c r="AL47" s="11">
        <v>45740.6778587963</v>
      </c>
    </row>
    <row r="48">
      <c r="A48" s="6" t="s">
        <v>886</v>
      </c>
      <c r="B48" s="7" t="s">
        <v>887</v>
      </c>
      <c r="C48" s="7" t="s">
        <v>888</v>
      </c>
      <c r="D48" s="7" t="s">
        <v>889</v>
      </c>
      <c r="E48" s="7" t="s">
        <v>66</v>
      </c>
      <c r="F48" s="7" t="s">
        <v>890</v>
      </c>
      <c r="G48" s="7" t="s">
        <v>879</v>
      </c>
      <c r="H48" s="7" t="s">
        <v>39</v>
      </c>
      <c r="I48" s="7" t="s">
        <v>100</v>
      </c>
      <c r="J48" s="7">
        <v>145.57801330522813</v>
      </c>
      <c r="K48" s="7">
        <v>-41.8538102230484</v>
      </c>
      <c r="L48" s="7" t="s">
        <v>41</v>
      </c>
      <c r="M48" s="7" t="s">
        <v>891</v>
      </c>
      <c r="N48" s="7" t="s">
        <v>892</v>
      </c>
      <c r="O48" s="7" t="s">
        <v>893</v>
      </c>
      <c r="P48" s="7"/>
      <c r="Q48" s="7"/>
      <c r="R48" s="7" t="s">
        <v>894</v>
      </c>
      <c r="S48" s="7" t="s">
        <v>58</v>
      </c>
      <c r="T48" s="8">
        <v>0.0</v>
      </c>
      <c r="U48" s="7" t="s">
        <v>895</v>
      </c>
      <c r="V48" s="7" t="s">
        <v>896</v>
      </c>
      <c r="W48" s="7"/>
      <c r="X48" s="9">
        <v>1.0</v>
      </c>
      <c r="Y48" s="7" t="s">
        <v>897</v>
      </c>
      <c r="Z48" s="7"/>
      <c r="AA48" s="10">
        <f t="shared" ref="AA48:AA52" si="9">AB48+AC48+AF48</f>
        <v>23309400</v>
      </c>
      <c r="AB48" s="7">
        <v>1.263E7</v>
      </c>
      <c r="AC48" s="7"/>
      <c r="AD48" s="7"/>
      <c r="AE48" s="10">
        <f t="shared" si="3"/>
        <v>23309400</v>
      </c>
      <c r="AF48" s="10">
        <f t="shared" ref="AF48:AF49" si="10">AH48</f>
        <v>10679400</v>
      </c>
      <c r="AG48" s="10">
        <f t="shared" si="1"/>
        <v>23309400</v>
      </c>
      <c r="AH48" s="10">
        <f t="shared" si="2"/>
        <v>10679400</v>
      </c>
      <c r="AI48" s="7">
        <v>1.1866E8</v>
      </c>
      <c r="AJ48" s="7">
        <v>0.09</v>
      </c>
      <c r="AK48" s="7">
        <v>0.5</v>
      </c>
      <c r="AL48" s="11">
        <v>45739.752905092595</v>
      </c>
    </row>
    <row r="49">
      <c r="A49" s="6" t="s">
        <v>255</v>
      </c>
      <c r="B49" s="7" t="s">
        <v>140</v>
      </c>
      <c r="C49" s="7" t="s">
        <v>898</v>
      </c>
      <c r="D49" s="7" t="s">
        <v>899</v>
      </c>
      <c r="E49" s="7" t="s">
        <v>66</v>
      </c>
      <c r="F49" s="7"/>
      <c r="G49" s="7" t="s">
        <v>879</v>
      </c>
      <c r="H49" s="7" t="s">
        <v>39</v>
      </c>
      <c r="I49" s="7" t="s">
        <v>40</v>
      </c>
      <c r="J49" s="7">
        <v>120.995909699527</v>
      </c>
      <c r="K49" s="7">
        <v>-30.740687426995727</v>
      </c>
      <c r="L49" s="7" t="s">
        <v>41</v>
      </c>
      <c r="M49" s="7" t="s">
        <v>900</v>
      </c>
      <c r="N49" s="7" t="s">
        <v>260</v>
      </c>
      <c r="O49" s="7" t="s">
        <v>260</v>
      </c>
      <c r="P49" s="7"/>
      <c r="Q49" s="7"/>
      <c r="R49" s="7" t="s">
        <v>901</v>
      </c>
      <c r="S49" s="7" t="s">
        <v>902</v>
      </c>
      <c r="T49" s="8">
        <v>0.0</v>
      </c>
      <c r="U49" s="7" t="s">
        <v>903</v>
      </c>
      <c r="V49" s="7" t="s">
        <v>263</v>
      </c>
      <c r="W49" s="7"/>
      <c r="X49" s="9">
        <v>1.0</v>
      </c>
      <c r="Y49" s="7" t="s">
        <v>904</v>
      </c>
      <c r="Z49" s="7"/>
      <c r="AA49" s="10">
        <f t="shared" si="9"/>
        <v>2475200</v>
      </c>
      <c r="AB49" s="7">
        <v>2100000.0</v>
      </c>
      <c r="AC49" s="7"/>
      <c r="AD49" s="7"/>
      <c r="AE49" s="10">
        <f t="shared" si="3"/>
        <v>2475200</v>
      </c>
      <c r="AF49" s="10">
        <f t="shared" si="10"/>
        <v>375200</v>
      </c>
      <c r="AG49" s="10">
        <f t="shared" si="1"/>
        <v>2475200</v>
      </c>
      <c r="AH49" s="10">
        <f t="shared" si="2"/>
        <v>375200</v>
      </c>
      <c r="AI49" s="7">
        <v>2.0E7</v>
      </c>
      <c r="AJ49" s="7">
        <v>0.018760000000000002</v>
      </c>
      <c r="AK49" s="7">
        <v>2.0</v>
      </c>
      <c r="AL49" s="11">
        <v>45216.68319444444</v>
      </c>
    </row>
    <row r="50">
      <c r="A50" s="6" t="s">
        <v>876</v>
      </c>
      <c r="B50" s="7" t="s">
        <v>905</v>
      </c>
      <c r="C50" s="7" t="s">
        <v>906</v>
      </c>
      <c r="D50" s="7" t="s">
        <v>907</v>
      </c>
      <c r="E50" s="7" t="s">
        <v>66</v>
      </c>
      <c r="F50" s="7" t="s">
        <v>908</v>
      </c>
      <c r="G50" s="7" t="s">
        <v>879</v>
      </c>
      <c r="H50" s="7" t="s">
        <v>39</v>
      </c>
      <c r="I50" s="7" t="s">
        <v>40</v>
      </c>
      <c r="J50" s="7">
        <v>121.54048285641</v>
      </c>
      <c r="K50" s="7">
        <v>-30.80106446222156</v>
      </c>
      <c r="L50" s="7" t="s">
        <v>41</v>
      </c>
      <c r="M50" s="7" t="s">
        <v>41</v>
      </c>
      <c r="N50" s="7" t="s">
        <v>881</v>
      </c>
      <c r="O50" s="7" t="s">
        <v>881</v>
      </c>
      <c r="P50" s="7"/>
      <c r="Q50" s="7"/>
      <c r="R50" s="7" t="s">
        <v>909</v>
      </c>
      <c r="S50" s="7" t="s">
        <v>58</v>
      </c>
      <c r="T50" s="8">
        <v>0.0</v>
      </c>
      <c r="U50" s="7" t="s">
        <v>910</v>
      </c>
      <c r="V50" s="7" t="s">
        <v>884</v>
      </c>
      <c r="W50" s="7"/>
      <c r="X50" s="9">
        <v>1.0</v>
      </c>
      <c r="Y50" s="7" t="s">
        <v>911</v>
      </c>
      <c r="Z50" s="7"/>
      <c r="AA50" s="7">
        <f t="shared" si="9"/>
        <v>56950000</v>
      </c>
      <c r="AB50" s="7">
        <f>70000000*0.67</f>
        <v>46900000</v>
      </c>
      <c r="AC50" s="7"/>
      <c r="AD50" s="7">
        <v>8.5E7</v>
      </c>
      <c r="AE50" s="7">
        <f t="shared" si="3"/>
        <v>56950000</v>
      </c>
      <c r="AF50" s="7">
        <f>15000000*0.67</f>
        <v>10050000</v>
      </c>
      <c r="AG50" s="10">
        <f t="shared" si="1"/>
        <v>46900000</v>
      </c>
      <c r="AH50" s="10">
        <f t="shared" si="2"/>
        <v>0</v>
      </c>
      <c r="AI50" s="13"/>
      <c r="AJ50" s="7">
        <v>0.5494</v>
      </c>
      <c r="AK50" s="7"/>
      <c r="AL50" s="11">
        <v>45712.67056712963</v>
      </c>
    </row>
    <row r="51">
      <c r="A51" s="6" t="s">
        <v>912</v>
      </c>
      <c r="B51" s="7" t="s">
        <v>913</v>
      </c>
      <c r="C51" s="7" t="s">
        <v>914</v>
      </c>
      <c r="D51" s="7" t="s">
        <v>915</v>
      </c>
      <c r="E51" s="7" t="s">
        <v>66</v>
      </c>
      <c r="F51" s="7" t="s">
        <v>916</v>
      </c>
      <c r="G51" s="7" t="s">
        <v>879</v>
      </c>
      <c r="H51" s="7" t="s">
        <v>39</v>
      </c>
      <c r="I51" s="7" t="s">
        <v>40</v>
      </c>
      <c r="J51" s="7">
        <v>119.31745221744411</v>
      </c>
      <c r="K51" s="7">
        <v>-29.96571287165912</v>
      </c>
      <c r="L51" s="7" t="s">
        <v>41</v>
      </c>
      <c r="M51" s="7" t="s">
        <v>917</v>
      </c>
      <c r="N51" s="7" t="s">
        <v>918</v>
      </c>
      <c r="O51" s="7" t="s">
        <v>918</v>
      </c>
      <c r="P51" s="7"/>
      <c r="Q51" s="7"/>
      <c r="R51" s="7" t="s">
        <v>919</v>
      </c>
      <c r="S51" s="7" t="s">
        <v>58</v>
      </c>
      <c r="T51" s="8">
        <v>50000.0</v>
      </c>
      <c r="U51" s="7" t="s">
        <v>920</v>
      </c>
      <c r="V51" s="7" t="s">
        <v>921</v>
      </c>
      <c r="W51" s="7"/>
      <c r="X51" s="9">
        <v>1.0</v>
      </c>
      <c r="Y51" s="7" t="s">
        <v>922</v>
      </c>
      <c r="Z51" s="7"/>
      <c r="AA51" s="7">
        <f t="shared" si="9"/>
        <v>5500000</v>
      </c>
      <c r="AB51" s="7"/>
      <c r="AC51" s="7">
        <v>2000000.0</v>
      </c>
      <c r="AD51" s="7"/>
      <c r="AE51" s="7">
        <f t="shared" si="3"/>
        <v>3500000</v>
      </c>
      <c r="AF51" s="7">
        <v>3500000.0</v>
      </c>
      <c r="AG51" s="10">
        <f t="shared" si="1"/>
        <v>0</v>
      </c>
      <c r="AH51" s="10">
        <f t="shared" si="2"/>
        <v>0</v>
      </c>
      <c r="AI51" s="7"/>
      <c r="AJ51" s="7">
        <v>0.08375</v>
      </c>
      <c r="AK51" s="7">
        <v>1.5</v>
      </c>
      <c r="AL51" s="11">
        <v>45645.64298611111</v>
      </c>
    </row>
    <row r="52">
      <c r="A52" s="6" t="s">
        <v>923</v>
      </c>
      <c r="B52" s="7" t="s">
        <v>924</v>
      </c>
      <c r="C52" s="7" t="s">
        <v>925</v>
      </c>
      <c r="D52" s="7" t="s">
        <v>926</v>
      </c>
      <c r="E52" s="7" t="s">
        <v>927</v>
      </c>
      <c r="F52" s="7" t="s">
        <v>928</v>
      </c>
      <c r="G52" s="7" t="s">
        <v>38</v>
      </c>
      <c r="H52" s="7" t="s">
        <v>39</v>
      </c>
      <c r="I52" s="7" t="s">
        <v>40</v>
      </c>
      <c r="J52" s="7">
        <v>121.06927302062553</v>
      </c>
      <c r="K52" s="7">
        <v>-28.726994420103985</v>
      </c>
      <c r="L52" s="7" t="s">
        <v>41</v>
      </c>
      <c r="M52" s="7" t="s">
        <v>929</v>
      </c>
      <c r="N52" s="7" t="s">
        <v>930</v>
      </c>
      <c r="O52" s="7" t="s">
        <v>930</v>
      </c>
      <c r="P52" s="7"/>
      <c r="Q52" s="7"/>
      <c r="R52" s="7" t="s">
        <v>931</v>
      </c>
      <c r="S52" s="7" t="s">
        <v>932</v>
      </c>
      <c r="T52" s="8">
        <v>0.0</v>
      </c>
      <c r="U52" s="7" t="s">
        <v>933</v>
      </c>
      <c r="V52" s="7" t="s">
        <v>934</v>
      </c>
      <c r="W52" s="7"/>
      <c r="X52" s="9">
        <v>1.0</v>
      </c>
      <c r="Y52" s="7" t="s">
        <v>935</v>
      </c>
      <c r="Z52" s="7"/>
      <c r="AA52" s="7">
        <f t="shared" si="9"/>
        <v>2010000</v>
      </c>
      <c r="AB52" s="7">
        <f>3000000*0.67</f>
        <v>2010000</v>
      </c>
      <c r="AC52" s="7"/>
      <c r="AD52" s="7"/>
      <c r="AE52" s="7">
        <f t="shared" si="3"/>
        <v>2010000</v>
      </c>
      <c r="AF52" s="7"/>
      <c r="AG52" s="10">
        <f t="shared" si="1"/>
        <v>2010000</v>
      </c>
      <c r="AH52" s="10">
        <f t="shared" si="2"/>
        <v>0</v>
      </c>
      <c r="AI52" s="7"/>
      <c r="AJ52" s="7">
        <v>0.00134</v>
      </c>
      <c r="AK52" s="7"/>
      <c r="AL52" s="11">
        <v>45672.63638888889</v>
      </c>
    </row>
    <row r="53">
      <c r="A53" s="6" t="s">
        <v>942</v>
      </c>
      <c r="B53" s="7" t="s">
        <v>943</v>
      </c>
      <c r="C53" s="7" t="s">
        <v>944</v>
      </c>
      <c r="D53" s="7" t="s">
        <v>945</v>
      </c>
      <c r="E53" s="7" t="s">
        <v>946</v>
      </c>
      <c r="F53" s="7" t="s">
        <v>947</v>
      </c>
      <c r="G53" s="7" t="s">
        <v>38</v>
      </c>
      <c r="H53" s="7" t="s">
        <v>39</v>
      </c>
      <c r="I53" s="7" t="s">
        <v>132</v>
      </c>
      <c r="J53" s="7">
        <v>152.41102303574948</v>
      </c>
      <c r="K53" s="7">
        <v>-26.079581821597447</v>
      </c>
      <c r="L53" s="7" t="s">
        <v>41</v>
      </c>
      <c r="M53" s="7" t="s">
        <v>948</v>
      </c>
      <c r="N53" s="7" t="s">
        <v>949</v>
      </c>
      <c r="O53" s="7" t="s">
        <v>949</v>
      </c>
      <c r="P53" s="7"/>
      <c r="Q53" s="7"/>
      <c r="R53" s="7" t="s">
        <v>950</v>
      </c>
      <c r="S53" s="7" t="s">
        <v>58</v>
      </c>
      <c r="T53" s="8">
        <v>0.0</v>
      </c>
      <c r="U53" s="7" t="s">
        <v>951</v>
      </c>
      <c r="V53" s="7" t="s">
        <v>952</v>
      </c>
      <c r="W53" s="7"/>
      <c r="X53" s="9">
        <v>1.0</v>
      </c>
      <c r="Y53" s="7" t="s">
        <v>953</v>
      </c>
      <c r="Z53" s="7"/>
      <c r="AA53" s="7">
        <f>AE53</f>
        <v>315000</v>
      </c>
      <c r="AB53" s="7"/>
      <c r="AC53" s="7"/>
      <c r="AD53" s="7"/>
      <c r="AE53" s="7">
        <f t="shared" si="3"/>
        <v>315000</v>
      </c>
      <c r="AF53" s="7">
        <v>315000.0</v>
      </c>
      <c r="AG53" s="10">
        <f t="shared" si="1"/>
        <v>0</v>
      </c>
      <c r="AH53" s="10">
        <f t="shared" si="2"/>
        <v>0</v>
      </c>
      <c r="AI53" s="7"/>
      <c r="AJ53" s="7">
        <v>0.30820000000000003</v>
      </c>
      <c r="AK53" s="7"/>
      <c r="AL53" s="11">
        <v>45568.93451388889</v>
      </c>
    </row>
    <row r="54">
      <c r="A54" s="6" t="s">
        <v>954</v>
      </c>
      <c r="B54" s="7" t="s">
        <v>955</v>
      </c>
      <c r="C54" s="7" t="s">
        <v>956</v>
      </c>
      <c r="D54" s="7" t="s">
        <v>957</v>
      </c>
      <c r="E54" s="7" t="s">
        <v>946</v>
      </c>
      <c r="F54" s="7" t="s">
        <v>958</v>
      </c>
      <c r="G54" s="7" t="s">
        <v>38</v>
      </c>
      <c r="H54" s="7" t="s">
        <v>39</v>
      </c>
      <c r="I54" s="7" t="s">
        <v>68</v>
      </c>
      <c r="J54" s="7">
        <v>151.7805716237723</v>
      </c>
      <c r="K54" s="7">
        <v>-30.753925343667536</v>
      </c>
      <c r="L54" s="7" t="s">
        <v>41</v>
      </c>
      <c r="M54" s="7" t="s">
        <v>959</v>
      </c>
      <c r="N54" s="7" t="s">
        <v>960</v>
      </c>
      <c r="O54" s="7" t="s">
        <v>960</v>
      </c>
      <c r="P54" s="7"/>
      <c r="Q54" s="7"/>
      <c r="R54" s="7" t="s">
        <v>961</v>
      </c>
      <c r="S54" s="7" t="s">
        <v>58</v>
      </c>
      <c r="T54" s="8">
        <v>13400.0</v>
      </c>
      <c r="U54" s="7" t="s">
        <v>962</v>
      </c>
      <c r="V54" s="7" t="s">
        <v>963</v>
      </c>
      <c r="W54" s="7"/>
      <c r="X54" s="9">
        <v>1.0</v>
      </c>
      <c r="Y54" s="7" t="s">
        <v>964</v>
      </c>
      <c r="Z54" s="7"/>
      <c r="AA54" s="7"/>
      <c r="AB54" s="7"/>
      <c r="AC54" s="7"/>
      <c r="AD54" s="7"/>
      <c r="AE54" s="7"/>
      <c r="AF54" s="7"/>
      <c r="AG54" s="10">
        <f t="shared" si="1"/>
        <v>0</v>
      </c>
      <c r="AH54" s="10">
        <f t="shared" si="2"/>
        <v>0</v>
      </c>
      <c r="AI54" s="7"/>
      <c r="AJ54" s="7">
        <v>0.0</v>
      </c>
      <c r="AK54" s="7">
        <v>2.0</v>
      </c>
      <c r="AL54" s="11">
        <v>45712.693136574075</v>
      </c>
    </row>
    <row r="55" ht="12.0" customHeight="1">
      <c r="A55" s="6" t="s">
        <v>983</v>
      </c>
      <c r="B55" s="7" t="s">
        <v>984</v>
      </c>
      <c r="C55" s="7" t="s">
        <v>985</v>
      </c>
      <c r="D55" s="7" t="s">
        <v>986</v>
      </c>
      <c r="E55" s="7" t="s">
        <v>946</v>
      </c>
      <c r="F55" s="7"/>
      <c r="G55" s="7" t="s">
        <v>879</v>
      </c>
      <c r="H55" s="7" t="s">
        <v>39</v>
      </c>
      <c r="I55" s="7" t="s">
        <v>40</v>
      </c>
      <c r="J55" s="7">
        <v>122.24984168401743</v>
      </c>
      <c r="K55" s="7">
        <v>-21.723350364158833</v>
      </c>
      <c r="L55" s="7" t="s">
        <v>41</v>
      </c>
      <c r="M55" s="7" t="s">
        <v>987</v>
      </c>
      <c r="N55" s="7" t="s">
        <v>988</v>
      </c>
      <c r="O55" s="7" t="s">
        <v>988</v>
      </c>
      <c r="P55" s="7" t="s">
        <v>989</v>
      </c>
      <c r="Q55" s="7" t="s">
        <v>989</v>
      </c>
      <c r="R55" s="7" t="s">
        <v>990</v>
      </c>
      <c r="S55" s="7" t="s">
        <v>58</v>
      </c>
      <c r="T55" s="8">
        <v>0.0</v>
      </c>
      <c r="U55" s="7" t="s">
        <v>991</v>
      </c>
      <c r="V55" s="7" t="s">
        <v>992</v>
      </c>
      <c r="W55" s="7"/>
      <c r="X55" s="7"/>
      <c r="Y55" s="7" t="s">
        <v>993</v>
      </c>
      <c r="Z55" s="7"/>
      <c r="AA55" s="7">
        <f>AB55+AC55+AF55</f>
        <v>207695000</v>
      </c>
      <c r="AB55" s="7">
        <v>2.06025E8</v>
      </c>
      <c r="AC55" s="7"/>
      <c r="AD55" s="7">
        <v>4.75E8</v>
      </c>
      <c r="AE55" s="7">
        <f t="shared" ref="AE55:AE62" si="11">AB55+AF55</f>
        <v>207695000</v>
      </c>
      <c r="AF55" s="7">
        <v>1670000.0</v>
      </c>
      <c r="AG55" s="10">
        <f t="shared" si="1"/>
        <v>206025000</v>
      </c>
      <c r="AH55" s="10">
        <f t="shared" si="2"/>
        <v>0</v>
      </c>
      <c r="AI55" s="7"/>
      <c r="AJ55" s="7">
        <v>0.0</v>
      </c>
      <c r="AK55" s="7"/>
      <c r="AL55" s="11">
        <v>45545.42013888889</v>
      </c>
    </row>
    <row r="56">
      <c r="A56" s="44" t="s">
        <v>1007</v>
      </c>
      <c r="B56" s="45" t="s">
        <v>1008</v>
      </c>
      <c r="C56" s="45" t="s">
        <v>1009</v>
      </c>
      <c r="D56" s="45" t="s">
        <v>1010</v>
      </c>
      <c r="E56" s="45" t="s">
        <v>1011</v>
      </c>
      <c r="F56" s="45" t="s">
        <v>1012</v>
      </c>
      <c r="G56" s="45" t="s">
        <v>38</v>
      </c>
      <c r="H56" s="45" t="s">
        <v>39</v>
      </c>
      <c r="I56" s="45" t="s">
        <v>40</v>
      </c>
      <c r="J56" s="46">
        <v>119.29433262505725</v>
      </c>
      <c r="K56" s="46">
        <v>-28.00810958559413</v>
      </c>
      <c r="L56" s="45" t="s">
        <v>41</v>
      </c>
      <c r="M56" s="45" t="s">
        <v>1013</v>
      </c>
      <c r="N56" s="45" t="s">
        <v>1014</v>
      </c>
      <c r="O56" s="45" t="s">
        <v>1014</v>
      </c>
      <c r="P56" s="45"/>
      <c r="Q56" s="45"/>
      <c r="R56" s="45" t="s">
        <v>1015</v>
      </c>
      <c r="S56" s="45" t="s">
        <v>58</v>
      </c>
      <c r="T56" s="47">
        <v>0.0</v>
      </c>
      <c r="U56" s="45" t="s">
        <v>1016</v>
      </c>
      <c r="V56" s="45" t="s">
        <v>1017</v>
      </c>
      <c r="W56" s="45"/>
      <c r="X56" s="48">
        <v>0.5</v>
      </c>
      <c r="Y56" s="45" t="s">
        <v>1018</v>
      </c>
      <c r="Z56" s="45"/>
      <c r="AA56" s="46">
        <f>AB56</f>
        <v>1340000</v>
      </c>
      <c r="AB56" s="46">
        <v>1340000.0</v>
      </c>
      <c r="AC56" s="45"/>
      <c r="AD56" s="45"/>
      <c r="AE56" s="46">
        <f t="shared" si="11"/>
        <v>1340000</v>
      </c>
      <c r="AF56" s="45"/>
      <c r="AG56" s="49">
        <f t="shared" si="1"/>
        <v>1340000</v>
      </c>
      <c r="AH56" s="49">
        <f t="shared" si="2"/>
        <v>0</v>
      </c>
      <c r="AI56" s="45"/>
      <c r="AJ56" s="46">
        <v>0.05226</v>
      </c>
      <c r="AK56" s="46">
        <v>2.0</v>
      </c>
      <c r="AL56" s="50">
        <v>45574.687673611115</v>
      </c>
    </row>
    <row r="57">
      <c r="A57" s="51" t="s">
        <v>1019</v>
      </c>
      <c r="B57" s="52" t="s">
        <v>1020</v>
      </c>
      <c r="C57" s="52" t="s">
        <v>1021</v>
      </c>
      <c r="D57" s="52" t="s">
        <v>1022</v>
      </c>
      <c r="E57" s="52" t="s">
        <v>1023</v>
      </c>
      <c r="F57" s="52" t="s">
        <v>1024</v>
      </c>
      <c r="G57" s="52" t="s">
        <v>38</v>
      </c>
      <c r="H57" s="52" t="s">
        <v>39</v>
      </c>
      <c r="I57" s="52" t="s">
        <v>1025</v>
      </c>
      <c r="J57" s="53">
        <v>132.6846043912519</v>
      </c>
      <c r="K57" s="53">
        <v>-22.109039477573244</v>
      </c>
      <c r="L57" s="52" t="s">
        <v>41</v>
      </c>
      <c r="M57" s="52" t="s">
        <v>1026</v>
      </c>
      <c r="N57" s="52" t="s">
        <v>1027</v>
      </c>
      <c r="O57" s="52" t="s">
        <v>1028</v>
      </c>
      <c r="P57" s="52"/>
      <c r="Q57" s="52"/>
      <c r="R57" s="52" t="s">
        <v>1029</v>
      </c>
      <c r="S57" s="52" t="s">
        <v>1030</v>
      </c>
      <c r="T57" s="54">
        <v>37500.0</v>
      </c>
      <c r="U57" s="52" t="s">
        <v>1031</v>
      </c>
      <c r="V57" s="52" t="s">
        <v>1032</v>
      </c>
      <c r="W57" s="52"/>
      <c r="X57" s="55">
        <v>1.0</v>
      </c>
      <c r="Y57" s="52" t="s">
        <v>1033</v>
      </c>
      <c r="Z57" s="52"/>
      <c r="AA57" s="53">
        <f>AB57+AC57+AF57</f>
        <v>67000</v>
      </c>
      <c r="AB57" s="53">
        <v>67000.0</v>
      </c>
      <c r="AC57" s="52"/>
      <c r="AD57" s="52"/>
      <c r="AE57" s="53">
        <f t="shared" si="11"/>
        <v>67000</v>
      </c>
      <c r="AF57" s="52"/>
      <c r="AG57" s="56">
        <f t="shared" si="1"/>
        <v>67000</v>
      </c>
      <c r="AH57" s="56">
        <f t="shared" si="2"/>
        <v>0</v>
      </c>
      <c r="AI57" s="52"/>
      <c r="AJ57" s="53">
        <v>0.02278</v>
      </c>
      <c r="AK57" s="53">
        <v>1.0</v>
      </c>
      <c r="AL57" s="57">
        <v>45510.72356481482</v>
      </c>
    </row>
    <row r="58">
      <c r="A58" s="44" t="s">
        <v>475</v>
      </c>
      <c r="B58" s="45" t="s">
        <v>1055</v>
      </c>
      <c r="C58" s="45" t="s">
        <v>477</v>
      </c>
      <c r="D58" s="45" t="s">
        <v>1056</v>
      </c>
      <c r="E58" s="45" t="s">
        <v>1057</v>
      </c>
      <c r="F58" s="45"/>
      <c r="G58" s="45" t="s">
        <v>38</v>
      </c>
      <c r="H58" s="45" t="s">
        <v>39</v>
      </c>
      <c r="I58" s="45" t="s">
        <v>40</v>
      </c>
      <c r="J58" s="46">
        <v>122.69695117549838</v>
      </c>
      <c r="K58" s="46">
        <v>-32.7888210621646</v>
      </c>
      <c r="L58" s="45" t="s">
        <v>41</v>
      </c>
      <c r="M58" s="45" t="s">
        <v>1058</v>
      </c>
      <c r="N58" s="45" t="s">
        <v>481</v>
      </c>
      <c r="O58" s="45" t="s">
        <v>481</v>
      </c>
      <c r="P58" s="45"/>
      <c r="Q58" s="45"/>
      <c r="R58" s="45" t="s">
        <v>1059</v>
      </c>
      <c r="S58" s="45" t="s">
        <v>58</v>
      </c>
      <c r="T58" s="47">
        <v>0.0</v>
      </c>
      <c r="U58" s="45" t="s">
        <v>1060</v>
      </c>
      <c r="V58" s="45" t="s">
        <v>484</v>
      </c>
      <c r="W58" s="45"/>
      <c r="X58" s="45"/>
      <c r="Y58" s="45" t="s">
        <v>1061</v>
      </c>
      <c r="Z58" s="45"/>
      <c r="AA58" s="45"/>
      <c r="AB58" s="45"/>
      <c r="AC58" s="45"/>
      <c r="AD58" s="45"/>
      <c r="AE58" s="46">
        <f t="shared" si="11"/>
        <v>0</v>
      </c>
      <c r="AF58" s="45"/>
      <c r="AG58" s="49">
        <f t="shared" si="1"/>
        <v>0</v>
      </c>
      <c r="AH58" s="49">
        <f t="shared" si="2"/>
        <v>0</v>
      </c>
      <c r="AI58" s="45"/>
      <c r="AJ58" s="46">
        <v>0.0</v>
      </c>
      <c r="AK58" s="45"/>
      <c r="AL58" s="50">
        <v>45165.7341087963</v>
      </c>
    </row>
    <row r="59">
      <c r="A59" s="51" t="s">
        <v>1062</v>
      </c>
      <c r="B59" s="52" t="s">
        <v>1063</v>
      </c>
      <c r="C59" s="52" t="s">
        <v>1064</v>
      </c>
      <c r="D59" s="52" t="s">
        <v>1065</v>
      </c>
      <c r="E59" s="52" t="s">
        <v>1066</v>
      </c>
      <c r="F59" s="52" t="s">
        <v>1067</v>
      </c>
      <c r="G59" s="52" t="s">
        <v>38</v>
      </c>
      <c r="H59" s="52" t="s">
        <v>39</v>
      </c>
      <c r="I59" s="52" t="s">
        <v>40</v>
      </c>
      <c r="J59" s="53">
        <v>122.89308365753932</v>
      </c>
      <c r="K59" s="53">
        <v>-28.01108738215182</v>
      </c>
      <c r="L59" s="52" t="s">
        <v>41</v>
      </c>
      <c r="M59" s="52" t="s">
        <v>1068</v>
      </c>
      <c r="N59" s="52" t="s">
        <v>1069</v>
      </c>
      <c r="O59" s="52" t="s">
        <v>1069</v>
      </c>
      <c r="P59" s="52" t="s">
        <v>1070</v>
      </c>
      <c r="Q59" s="52" t="s">
        <v>1070</v>
      </c>
      <c r="R59" s="52" t="s">
        <v>1071</v>
      </c>
      <c r="S59" s="52" t="s">
        <v>58</v>
      </c>
      <c r="T59" s="54">
        <v>58000.0</v>
      </c>
      <c r="U59" s="52" t="s">
        <v>1072</v>
      </c>
      <c r="V59" s="52" t="s">
        <v>1073</v>
      </c>
      <c r="W59" s="52"/>
      <c r="X59" s="55">
        <v>0.8</v>
      </c>
      <c r="Y59" s="52" t="s">
        <v>1074</v>
      </c>
      <c r="Z59" s="52"/>
      <c r="AA59" s="56">
        <f>AB59+AH59</f>
        <v>956090</v>
      </c>
      <c r="AB59" s="53">
        <v>286090.0</v>
      </c>
      <c r="AC59" s="52"/>
      <c r="AD59" s="52"/>
      <c r="AE59" s="53">
        <f t="shared" si="11"/>
        <v>286090</v>
      </c>
      <c r="AF59" s="52"/>
      <c r="AG59" s="56">
        <f t="shared" si="1"/>
        <v>956090</v>
      </c>
      <c r="AH59" s="56">
        <f t="shared" si="2"/>
        <v>670000</v>
      </c>
      <c r="AI59" s="53">
        <v>2.5E7</v>
      </c>
      <c r="AJ59" s="53">
        <v>0.0268</v>
      </c>
      <c r="AK59" s="53">
        <v>0.5</v>
      </c>
      <c r="AL59" s="57">
        <v>45631.64584490741</v>
      </c>
    </row>
    <row r="60">
      <c r="A60" s="44" t="s">
        <v>1075</v>
      </c>
      <c r="B60" s="45" t="s">
        <v>1076</v>
      </c>
      <c r="C60" s="45" t="s">
        <v>1077</v>
      </c>
      <c r="D60" s="45" t="s">
        <v>1078</v>
      </c>
      <c r="E60" s="45" t="s">
        <v>1079</v>
      </c>
      <c r="F60" s="45" t="s">
        <v>1080</v>
      </c>
      <c r="G60" s="45" t="s">
        <v>38</v>
      </c>
      <c r="H60" s="45" t="s">
        <v>39</v>
      </c>
      <c r="I60" s="45" t="s">
        <v>40</v>
      </c>
      <c r="J60" s="46">
        <v>121.52918303001078</v>
      </c>
      <c r="K60" s="46">
        <v>-31.480699843287965</v>
      </c>
      <c r="L60" s="45" t="s">
        <v>41</v>
      </c>
      <c r="M60" s="45" t="s">
        <v>1081</v>
      </c>
      <c r="N60" s="45" t="s">
        <v>123</v>
      </c>
      <c r="O60" s="45" t="s">
        <v>1082</v>
      </c>
      <c r="P60" s="45"/>
      <c r="Q60" s="45"/>
      <c r="R60" s="45" t="s">
        <v>1083</v>
      </c>
      <c r="S60" s="45" t="s">
        <v>58</v>
      </c>
      <c r="T60" s="47">
        <v>0.0</v>
      </c>
      <c r="U60" s="62" t="s">
        <v>1084</v>
      </c>
      <c r="V60" s="45" t="s">
        <v>1085</v>
      </c>
      <c r="W60" s="45"/>
      <c r="X60" s="45"/>
      <c r="Y60" s="45" t="s">
        <v>1086</v>
      </c>
      <c r="Z60" s="45"/>
      <c r="AA60" s="46">
        <f t="shared" ref="AA60:AA62" si="12">AB60+AC60+AF60</f>
        <v>804000</v>
      </c>
      <c r="AB60" s="46">
        <v>804000.0</v>
      </c>
      <c r="AC60" s="45"/>
      <c r="AD60" s="45"/>
      <c r="AE60" s="46">
        <f t="shared" si="11"/>
        <v>804000</v>
      </c>
      <c r="AF60" s="45"/>
      <c r="AG60" s="49">
        <f t="shared" si="1"/>
        <v>804000</v>
      </c>
      <c r="AH60" s="49">
        <f t="shared" si="2"/>
        <v>0</v>
      </c>
      <c r="AI60" s="45"/>
      <c r="AJ60" s="46">
        <v>0.11725</v>
      </c>
      <c r="AK60" s="45"/>
      <c r="AL60" s="50">
        <v>45530.670335648145</v>
      </c>
    </row>
    <row r="61">
      <c r="A61" s="51" t="s">
        <v>1087</v>
      </c>
      <c r="B61" s="52" t="s">
        <v>1088</v>
      </c>
      <c r="C61" s="52" t="s">
        <v>1089</v>
      </c>
      <c r="D61" s="52" t="s">
        <v>1090</v>
      </c>
      <c r="E61" s="52" t="s">
        <v>1091</v>
      </c>
      <c r="F61" s="52"/>
      <c r="G61" s="52" t="s">
        <v>38</v>
      </c>
      <c r="H61" s="52" t="s">
        <v>39</v>
      </c>
      <c r="I61" s="52" t="s">
        <v>598</v>
      </c>
      <c r="J61" s="53">
        <v>135.68353346015</v>
      </c>
      <c r="K61" s="53">
        <v>-32.8792722028551</v>
      </c>
      <c r="L61" s="52" t="s">
        <v>41</v>
      </c>
      <c r="M61" s="52" t="s">
        <v>41</v>
      </c>
      <c r="N61" s="52" t="s">
        <v>1092</v>
      </c>
      <c r="O61" s="52"/>
      <c r="P61" s="52"/>
      <c r="Q61" s="52"/>
      <c r="R61" s="52" t="s">
        <v>1093</v>
      </c>
      <c r="S61" s="52" t="s">
        <v>1094</v>
      </c>
      <c r="T61" s="54">
        <v>0.0</v>
      </c>
      <c r="U61" s="52" t="s">
        <v>1095</v>
      </c>
      <c r="V61" s="52"/>
      <c r="W61" s="52"/>
      <c r="X61" s="55">
        <v>1.0</v>
      </c>
      <c r="Y61" s="52" t="s">
        <v>1096</v>
      </c>
      <c r="Z61" s="52"/>
      <c r="AA61" s="53">
        <f t="shared" si="12"/>
        <v>636500</v>
      </c>
      <c r="AB61" s="53">
        <v>0.0</v>
      </c>
      <c r="AC61" s="52"/>
      <c r="AD61" s="52"/>
      <c r="AE61" s="53">
        <f t="shared" si="11"/>
        <v>636500</v>
      </c>
      <c r="AF61" s="53">
        <v>636500.0</v>
      </c>
      <c r="AG61" s="56">
        <f t="shared" si="1"/>
        <v>67254131</v>
      </c>
      <c r="AH61" s="56">
        <f t="shared" si="2"/>
        <v>67254131</v>
      </c>
      <c r="AI61" s="53">
        <v>5.201E7</v>
      </c>
      <c r="AJ61" s="53">
        <v>1.2931000000000001</v>
      </c>
      <c r="AK61" s="52"/>
      <c r="AL61" s="57">
        <v>45711.664988425924</v>
      </c>
    </row>
    <row r="62">
      <c r="A62" s="51" t="s">
        <v>1123</v>
      </c>
      <c r="B62" s="52" t="s">
        <v>1124</v>
      </c>
      <c r="C62" s="52" t="s">
        <v>1125</v>
      </c>
      <c r="D62" s="52" t="s">
        <v>1126</v>
      </c>
      <c r="E62" s="52" t="s">
        <v>1127</v>
      </c>
      <c r="F62" s="52" t="s">
        <v>1128</v>
      </c>
      <c r="G62" s="52" t="s">
        <v>38</v>
      </c>
      <c r="H62" s="52" t="s">
        <v>39</v>
      </c>
      <c r="I62" s="52" t="s">
        <v>40</v>
      </c>
      <c r="J62" s="53">
        <v>122.58319778000109</v>
      </c>
      <c r="K62" s="53">
        <v>-30.840368306626242</v>
      </c>
      <c r="L62" s="52" t="s">
        <v>41</v>
      </c>
      <c r="M62" s="52" t="s">
        <v>1129</v>
      </c>
      <c r="N62" s="52" t="s">
        <v>1130</v>
      </c>
      <c r="O62" s="52" t="s">
        <v>1130</v>
      </c>
      <c r="P62" s="52"/>
      <c r="Q62" s="52"/>
      <c r="R62" s="52" t="s">
        <v>1131</v>
      </c>
      <c r="S62" s="52" t="s">
        <v>58</v>
      </c>
      <c r="T62" s="54">
        <v>24800.0</v>
      </c>
      <c r="U62" s="52" t="s">
        <v>1132</v>
      </c>
      <c r="V62" s="52" t="s">
        <v>1133</v>
      </c>
      <c r="W62" s="52"/>
      <c r="X62" s="55">
        <v>0.51</v>
      </c>
      <c r="Y62" s="52" t="s">
        <v>1134</v>
      </c>
      <c r="Z62" s="52"/>
      <c r="AA62" s="53">
        <f t="shared" si="12"/>
        <v>4020000</v>
      </c>
      <c r="AB62" s="52"/>
      <c r="AC62" s="53">
        <v>4020000.0</v>
      </c>
      <c r="AD62" s="52"/>
      <c r="AE62" s="53">
        <f t="shared" si="11"/>
        <v>0</v>
      </c>
      <c r="AF62" s="52"/>
      <c r="AG62" s="56">
        <f t="shared" si="1"/>
        <v>0</v>
      </c>
      <c r="AH62" s="56">
        <f t="shared" si="2"/>
        <v>0</v>
      </c>
      <c r="AI62" s="52"/>
      <c r="AJ62" s="53">
        <v>0.00402</v>
      </c>
      <c r="AK62" s="53">
        <v>1.0</v>
      </c>
      <c r="AL62" s="57">
        <v>45564.688692129625</v>
      </c>
    </row>
    <row r="63">
      <c r="Z63" s="40" t="s">
        <v>2439</v>
      </c>
      <c r="AA63" s="43">
        <f>AVERAGE(AA2:AA62)</f>
        <v>10540978.63</v>
      </c>
    </row>
    <row r="64">
      <c r="Z64" s="40" t="s">
        <v>2441</v>
      </c>
      <c r="AA64" s="40">
        <v>53.0</v>
      </c>
    </row>
  </sheetData>
  <dataValidations>
    <dataValidation type="custom" allowBlank="1" showDropDown="1" sqref="AL2:AL62">
      <formula1>OR(NOT(ISERROR(DATEVALUE(AL2))), AND(ISNUMBER(AL2), LEFT(CELL("format", AL2))="D"))</formula1>
    </dataValidation>
    <dataValidation type="custom" allowBlank="1" showDropDown="1" sqref="T2:T62">
      <formula1>AND(ISNUMBER(T2),(NOT(OR(NOT(ISERROR(DATEVALUE(T2))), AND(ISNUMBER(T2), LEFT(CELL("format", T2))="D")))))</formula1>
    </dataValidation>
  </dataValidations>
  <hyperlinks>
    <hyperlink r:id="rId1" ref="U2"/>
    <hyperlink r:id="rId2" ref="U4"/>
    <hyperlink r:id="rId3" ref="U6"/>
    <hyperlink r:id="rId4" ref="U7"/>
    <hyperlink r:id="rId5" ref="U60"/>
  </hyperlinks>
  <drawing r:id="rId6"/>
  <tableParts count="6"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5" max="25" width="122.29"/>
    <col customWidth="1" min="26" max="26" width="15.71"/>
    <col customWidth="1" min="27" max="27" width="21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2188</v>
      </c>
      <c r="B2" s="7" t="s">
        <v>425</v>
      </c>
      <c r="C2" s="7" t="s">
        <v>2189</v>
      </c>
      <c r="D2" s="7" t="s">
        <v>2190</v>
      </c>
      <c r="E2" s="7" t="s">
        <v>2170</v>
      </c>
      <c r="F2" s="7" t="s">
        <v>2191</v>
      </c>
      <c r="G2" s="7" t="s">
        <v>540</v>
      </c>
      <c r="H2" s="7" t="s">
        <v>39</v>
      </c>
      <c r="I2" s="7" t="s">
        <v>100</v>
      </c>
      <c r="J2" s="7">
        <v>145.34099083599736</v>
      </c>
      <c r="K2" s="7">
        <v>-41.88476701758115</v>
      </c>
      <c r="L2" s="7" t="s">
        <v>41</v>
      </c>
      <c r="M2" s="7" t="s">
        <v>2192</v>
      </c>
      <c r="N2" s="7" t="s">
        <v>2193</v>
      </c>
      <c r="O2" s="7" t="s">
        <v>2193</v>
      </c>
      <c r="P2" s="7"/>
      <c r="Q2" s="7"/>
      <c r="R2" s="7" t="s">
        <v>2194</v>
      </c>
      <c r="S2" s="7" t="s">
        <v>58</v>
      </c>
      <c r="T2" s="8">
        <v>0.0</v>
      </c>
      <c r="U2" s="7" t="s">
        <v>2195</v>
      </c>
      <c r="V2" s="7" t="s">
        <v>2196</v>
      </c>
      <c r="W2" s="7"/>
      <c r="X2" s="7"/>
      <c r="Y2" s="7" t="s">
        <v>2197</v>
      </c>
      <c r="Z2" s="7"/>
      <c r="AA2" s="7"/>
      <c r="AB2" s="7"/>
      <c r="AC2" s="7"/>
      <c r="AD2" s="7"/>
      <c r="AE2" s="7"/>
      <c r="AF2" s="7"/>
      <c r="AG2" s="10">
        <f t="shared" ref="AG2:AG5" si="1">AB2+AH2</f>
        <v>0</v>
      </c>
      <c r="AH2" s="10">
        <f t="shared" ref="AH2:AH5" si="2">AI2*AJ2</f>
        <v>0</v>
      </c>
      <c r="AI2" s="7"/>
      <c r="AJ2" s="7">
        <v>0.01072</v>
      </c>
      <c r="AK2" s="7"/>
      <c r="AL2" s="11">
        <v>45628.69289351851</v>
      </c>
    </row>
    <row r="3" ht="12.0" customHeight="1">
      <c r="A3" s="6" t="s">
        <v>2198</v>
      </c>
      <c r="B3" s="7" t="s">
        <v>2199</v>
      </c>
      <c r="C3" s="7" t="s">
        <v>2200</v>
      </c>
      <c r="D3" s="7" t="s">
        <v>2201</v>
      </c>
      <c r="E3" s="7" t="s">
        <v>2170</v>
      </c>
      <c r="F3" s="7" t="s">
        <v>2202</v>
      </c>
      <c r="G3" s="7" t="s">
        <v>540</v>
      </c>
      <c r="H3" s="7" t="s">
        <v>39</v>
      </c>
      <c r="I3" s="7" t="s">
        <v>68</v>
      </c>
      <c r="J3" s="7">
        <v>151.65626816796492</v>
      </c>
      <c r="K3" s="7">
        <v>-29.388532636054386</v>
      </c>
      <c r="L3" s="7" t="s">
        <v>41</v>
      </c>
      <c r="M3" s="7" t="s">
        <v>2203</v>
      </c>
      <c r="N3" s="7" t="s">
        <v>2204</v>
      </c>
      <c r="O3" s="7"/>
      <c r="P3" s="7"/>
      <c r="Q3" s="7"/>
      <c r="R3" s="7" t="s">
        <v>2205</v>
      </c>
      <c r="S3" s="7" t="s">
        <v>58</v>
      </c>
      <c r="T3" s="8">
        <v>0.0</v>
      </c>
      <c r="U3" s="7" t="s">
        <v>2206</v>
      </c>
      <c r="V3" s="7" t="s">
        <v>2207</v>
      </c>
      <c r="W3" s="7"/>
      <c r="X3" s="9">
        <v>1.0</v>
      </c>
      <c r="Y3" s="7" t="s">
        <v>2208</v>
      </c>
      <c r="Z3" s="7"/>
      <c r="AA3" s="7">
        <f>AB3+AC3+AF3</f>
        <v>40000</v>
      </c>
      <c r="AB3" s="7">
        <v>40000.0</v>
      </c>
      <c r="AC3" s="7"/>
      <c r="AD3" s="7"/>
      <c r="AE3" s="7">
        <f>AB3+AF3</f>
        <v>40000</v>
      </c>
      <c r="AF3" s="7"/>
      <c r="AG3" s="10">
        <f t="shared" si="1"/>
        <v>95684.43432</v>
      </c>
      <c r="AH3" s="10">
        <f t="shared" si="2"/>
        <v>55684.43432</v>
      </c>
      <c r="AI3" s="7">
        <v>2444444.0</v>
      </c>
      <c r="AJ3" s="7">
        <v>0.02278</v>
      </c>
      <c r="AK3" s="7"/>
      <c r="AL3" s="11">
        <v>45734.87324074074</v>
      </c>
    </row>
    <row r="4" ht="12.0" customHeight="1">
      <c r="A4" s="6" t="s">
        <v>2209</v>
      </c>
      <c r="B4" s="7" t="s">
        <v>2210</v>
      </c>
      <c r="C4" s="7" t="s">
        <v>2211</v>
      </c>
      <c r="D4" s="7" t="s">
        <v>2212</v>
      </c>
      <c r="E4" s="7" t="s">
        <v>2170</v>
      </c>
      <c r="F4" s="7"/>
      <c r="G4" s="7" t="s">
        <v>540</v>
      </c>
      <c r="H4" s="7" t="s">
        <v>39</v>
      </c>
      <c r="I4" s="7" t="s">
        <v>598</v>
      </c>
      <c r="J4" s="7">
        <v>139.54294831425045</v>
      </c>
      <c r="K4" s="7">
        <v>-29.773508168221</v>
      </c>
      <c r="L4" s="7" t="s">
        <v>41</v>
      </c>
      <c r="M4" s="7" t="s">
        <v>2213</v>
      </c>
      <c r="N4" s="7" t="s">
        <v>2214</v>
      </c>
      <c r="O4" s="7" t="s">
        <v>2214</v>
      </c>
      <c r="P4" s="7"/>
      <c r="Q4" s="7"/>
      <c r="R4" s="7" t="s">
        <v>2215</v>
      </c>
      <c r="S4" s="7" t="s">
        <v>932</v>
      </c>
      <c r="T4" s="8">
        <v>0.0</v>
      </c>
      <c r="U4" s="7" t="s">
        <v>2216</v>
      </c>
      <c r="V4" s="7" t="s">
        <v>2217</v>
      </c>
      <c r="W4" s="7"/>
      <c r="X4" s="7"/>
      <c r="Y4" s="7" t="s">
        <v>2218</v>
      </c>
      <c r="Z4" s="7"/>
      <c r="AA4" s="7"/>
      <c r="AB4" s="7"/>
      <c r="AC4" s="7"/>
      <c r="AD4" s="7"/>
      <c r="AE4" s="7"/>
      <c r="AF4" s="7"/>
      <c r="AG4" s="10">
        <f t="shared" si="1"/>
        <v>0</v>
      </c>
      <c r="AH4" s="10">
        <f t="shared" si="2"/>
        <v>0</v>
      </c>
      <c r="AI4" s="7"/>
      <c r="AJ4" s="7">
        <v>0.023450000000000002</v>
      </c>
      <c r="AK4" s="7"/>
      <c r="AL4" s="11">
        <v>45658.816145833334</v>
      </c>
    </row>
    <row r="5" ht="12.0" customHeight="1">
      <c r="A5" s="6" t="s">
        <v>2219</v>
      </c>
      <c r="B5" s="7" t="s">
        <v>2220</v>
      </c>
      <c r="C5" s="7" t="s">
        <v>2221</v>
      </c>
      <c r="D5" s="7" t="s">
        <v>2222</v>
      </c>
      <c r="E5" s="7" t="s">
        <v>2223</v>
      </c>
      <c r="F5" s="7"/>
      <c r="G5" s="7" t="s">
        <v>540</v>
      </c>
      <c r="H5" s="7" t="s">
        <v>39</v>
      </c>
      <c r="I5" s="7" t="s">
        <v>100</v>
      </c>
      <c r="J5" s="7">
        <v>147.6250574371715</v>
      </c>
      <c r="K5" s="7">
        <v>-41.34919829322481</v>
      </c>
      <c r="L5" s="7" t="s">
        <v>41</v>
      </c>
      <c r="M5" s="7" t="s">
        <v>41</v>
      </c>
      <c r="N5" s="7" t="s">
        <v>2224</v>
      </c>
      <c r="O5" s="7" t="s">
        <v>2224</v>
      </c>
      <c r="P5" s="7" t="s">
        <v>41</v>
      </c>
      <c r="Q5" s="7" t="s">
        <v>41</v>
      </c>
      <c r="R5" s="7" t="s">
        <v>2225</v>
      </c>
      <c r="S5" s="7" t="s">
        <v>58</v>
      </c>
      <c r="T5" s="8">
        <v>0.0</v>
      </c>
      <c r="U5" s="7" t="s">
        <v>2226</v>
      </c>
      <c r="V5" s="7" t="s">
        <v>2227</v>
      </c>
      <c r="W5" s="7"/>
      <c r="X5" s="7"/>
      <c r="Y5" s="7"/>
      <c r="Z5" s="7"/>
      <c r="AA5" s="7"/>
      <c r="AB5" s="7"/>
      <c r="AC5" s="7"/>
      <c r="AD5" s="37"/>
      <c r="AE5" s="37"/>
      <c r="AF5" s="7"/>
      <c r="AG5" s="10">
        <f t="shared" si="1"/>
        <v>0</v>
      </c>
      <c r="AH5" s="10">
        <f t="shared" si="2"/>
        <v>0</v>
      </c>
      <c r="AI5" s="7"/>
      <c r="AJ5" s="7">
        <v>0.0</v>
      </c>
      <c r="AK5" s="7"/>
      <c r="AL5" s="11">
        <v>45118.25</v>
      </c>
    </row>
    <row r="6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40" t="s">
        <v>2439</v>
      </c>
      <c r="AE6" s="41">
        <f>AE3</f>
        <v>40000</v>
      </c>
      <c r="AF6" s="39"/>
      <c r="AG6" s="39"/>
      <c r="AH6" s="39"/>
      <c r="AI6" s="39"/>
      <c r="AJ6" s="39"/>
      <c r="AK6" s="39"/>
      <c r="AL6" s="39"/>
    </row>
    <row r="7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40" t="s">
        <v>2440</v>
      </c>
      <c r="AE7" s="40">
        <v>1.0</v>
      </c>
      <c r="AF7" s="39"/>
      <c r="AG7" s="39"/>
      <c r="AH7" s="39"/>
      <c r="AI7" s="39"/>
      <c r="AJ7" s="39"/>
      <c r="AK7" s="39"/>
      <c r="AL7" s="39"/>
    </row>
  </sheetData>
  <dataValidations>
    <dataValidation type="custom" allowBlank="1" showDropDown="1" sqref="AL2:AL5">
      <formula1>OR(NOT(ISERROR(DATEVALUE(AL2))), AND(ISNUMBER(AL2), LEFT(CELL("format", AL2))="D"))</formula1>
    </dataValidation>
    <dataValidation type="custom" allowBlank="1" showDropDown="1" sqref="T2:T5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5" max="25" width="130.86"/>
    <col customWidth="1" min="27" max="27" width="21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2050</v>
      </c>
      <c r="B2" s="7" t="s">
        <v>2051</v>
      </c>
      <c r="C2" s="7" t="s">
        <v>2052</v>
      </c>
      <c r="D2" s="7" t="s">
        <v>2053</v>
      </c>
      <c r="E2" s="7" t="s">
        <v>2043</v>
      </c>
      <c r="F2" s="14" t="s">
        <v>2054</v>
      </c>
      <c r="G2" s="7" t="s">
        <v>540</v>
      </c>
      <c r="H2" s="7" t="s">
        <v>39</v>
      </c>
      <c r="I2" s="7" t="s">
        <v>68</v>
      </c>
      <c r="J2" s="7">
        <v>152.0344323654771</v>
      </c>
      <c r="K2" s="7">
        <v>-30.755562063216964</v>
      </c>
      <c r="L2" s="7" t="s">
        <v>41</v>
      </c>
      <c r="M2" s="7" t="s">
        <v>2055</v>
      </c>
      <c r="N2" s="7" t="s">
        <v>2056</v>
      </c>
      <c r="O2" s="7" t="s">
        <v>2056</v>
      </c>
      <c r="P2" s="7"/>
      <c r="Q2" s="7"/>
      <c r="R2" s="7" t="s">
        <v>2057</v>
      </c>
      <c r="S2" s="7" t="s">
        <v>1945</v>
      </c>
      <c r="T2" s="8">
        <v>170.0</v>
      </c>
      <c r="U2" s="7" t="s">
        <v>2058</v>
      </c>
      <c r="V2" s="7" t="s">
        <v>2059</v>
      </c>
      <c r="W2" s="7"/>
      <c r="X2" s="9">
        <v>1.0</v>
      </c>
      <c r="Y2" s="7" t="s">
        <v>2060</v>
      </c>
      <c r="Z2" s="7"/>
      <c r="AA2" s="7">
        <f>AB2+AC2+AF2</f>
        <v>2360000</v>
      </c>
      <c r="AB2" s="7">
        <v>50000.0</v>
      </c>
      <c r="AC2" s="7">
        <v>2010000.0</v>
      </c>
      <c r="AD2" s="7">
        <v>350000.0</v>
      </c>
      <c r="AE2" s="7">
        <f t="shared" ref="AE2:AE12" si="1">AB2+AF2</f>
        <v>350000</v>
      </c>
      <c r="AF2" s="7">
        <v>300000.0</v>
      </c>
      <c r="AG2" s="10">
        <f t="shared" ref="AG2:AG12" si="2">AB2+AH2</f>
        <v>50000</v>
      </c>
      <c r="AH2" s="10">
        <f t="shared" ref="AH2:AH11" si="3">AI2*AJ2</f>
        <v>0</v>
      </c>
      <c r="AI2" s="7"/>
      <c r="AJ2" s="7">
        <v>0.00201</v>
      </c>
      <c r="AK2" s="7">
        <v>2.0</v>
      </c>
      <c r="AL2" s="11">
        <v>45603.703055555554</v>
      </c>
    </row>
    <row r="3" ht="12.0" customHeight="1">
      <c r="A3" s="6" t="s">
        <v>2040</v>
      </c>
      <c r="B3" s="7" t="s">
        <v>401</v>
      </c>
      <c r="C3" s="7" t="s">
        <v>2041</v>
      </c>
      <c r="D3" s="7" t="s">
        <v>2061</v>
      </c>
      <c r="E3" s="7" t="s">
        <v>2043</v>
      </c>
      <c r="F3" s="7" t="s">
        <v>2062</v>
      </c>
      <c r="G3" s="7" t="s">
        <v>540</v>
      </c>
      <c r="H3" s="7" t="s">
        <v>39</v>
      </c>
      <c r="I3" s="7" t="s">
        <v>68</v>
      </c>
      <c r="J3" s="7">
        <v>151.08303163456037</v>
      </c>
      <c r="K3" s="7">
        <v>-29.441082205738486</v>
      </c>
      <c r="L3" s="7" t="s">
        <v>41</v>
      </c>
      <c r="M3" s="7" t="s">
        <v>2063</v>
      </c>
      <c r="N3" s="7" t="s">
        <v>2046</v>
      </c>
      <c r="O3" s="7" t="s">
        <v>2046</v>
      </c>
      <c r="P3" s="7"/>
      <c r="Q3" s="7"/>
      <c r="R3" s="7" t="s">
        <v>2064</v>
      </c>
      <c r="S3" s="7" t="s">
        <v>58</v>
      </c>
      <c r="T3" s="8">
        <v>102600.0</v>
      </c>
      <c r="U3" s="7" t="s">
        <v>2065</v>
      </c>
      <c r="V3" s="7" t="s">
        <v>2049</v>
      </c>
      <c r="W3" s="7"/>
      <c r="X3" s="9">
        <v>1.0</v>
      </c>
      <c r="Y3" s="7" t="s">
        <v>2066</v>
      </c>
      <c r="Z3" s="7"/>
      <c r="AA3" s="7"/>
      <c r="AB3" s="7"/>
      <c r="AC3" s="7"/>
      <c r="AD3" s="7"/>
      <c r="AE3" s="7">
        <f t="shared" si="1"/>
        <v>0</v>
      </c>
      <c r="AF3" s="7"/>
      <c r="AG3" s="10">
        <f t="shared" si="2"/>
        <v>0</v>
      </c>
      <c r="AH3" s="10">
        <f t="shared" si="3"/>
        <v>0</v>
      </c>
      <c r="AI3" s="7"/>
      <c r="AJ3" s="7">
        <v>0.04422</v>
      </c>
      <c r="AK3" s="7"/>
      <c r="AL3" s="11">
        <v>45691.63837962963</v>
      </c>
    </row>
    <row r="4" ht="12.0" customHeight="1">
      <c r="A4" s="6" t="s">
        <v>2067</v>
      </c>
      <c r="B4" s="7" t="s">
        <v>2068</v>
      </c>
      <c r="C4" s="7" t="s">
        <v>2069</v>
      </c>
      <c r="D4" s="7" t="s">
        <v>2070</v>
      </c>
      <c r="E4" s="7" t="s">
        <v>2043</v>
      </c>
      <c r="F4" s="7" t="s">
        <v>2071</v>
      </c>
      <c r="G4" s="7" t="s">
        <v>540</v>
      </c>
      <c r="H4" s="7" t="s">
        <v>39</v>
      </c>
      <c r="I4" s="7" t="s">
        <v>68</v>
      </c>
      <c r="J4" s="7">
        <v>150.66414133521363</v>
      </c>
      <c r="K4" s="7">
        <v>-30.35795403018783</v>
      </c>
      <c r="L4" s="7" t="s">
        <v>41</v>
      </c>
      <c r="M4" s="7" t="s">
        <v>2072</v>
      </c>
      <c r="N4" s="7" t="s">
        <v>2073</v>
      </c>
      <c r="O4" s="7" t="s">
        <v>2073</v>
      </c>
      <c r="P4" s="7"/>
      <c r="Q4" s="7"/>
      <c r="R4" s="7" t="s">
        <v>2074</v>
      </c>
      <c r="S4" s="7" t="s">
        <v>58</v>
      </c>
      <c r="T4" s="8">
        <v>39100.0</v>
      </c>
      <c r="U4" s="7" t="s">
        <v>2075</v>
      </c>
      <c r="V4" s="7" t="s">
        <v>2076</v>
      </c>
      <c r="W4" s="7"/>
      <c r="X4" s="9">
        <v>1.0</v>
      </c>
      <c r="Y4" s="7" t="s">
        <v>2077</v>
      </c>
      <c r="Z4" s="7"/>
      <c r="AA4" s="7"/>
      <c r="AB4" s="7"/>
      <c r="AC4" s="7"/>
      <c r="AD4" s="7"/>
      <c r="AE4" s="7">
        <f t="shared" si="1"/>
        <v>0</v>
      </c>
      <c r="AF4" s="7"/>
      <c r="AG4" s="10">
        <f t="shared" si="2"/>
        <v>0</v>
      </c>
      <c r="AH4" s="10">
        <f t="shared" si="3"/>
        <v>0</v>
      </c>
      <c r="AI4" s="7"/>
      <c r="AJ4" s="7">
        <v>0.0</v>
      </c>
      <c r="AK4" s="7"/>
      <c r="AL4" s="11">
        <v>45621.68224537037</v>
      </c>
    </row>
    <row r="5" ht="12.0" customHeight="1">
      <c r="A5" s="6" t="s">
        <v>2078</v>
      </c>
      <c r="B5" s="7" t="s">
        <v>2079</v>
      </c>
      <c r="C5" s="7" t="s">
        <v>2080</v>
      </c>
      <c r="D5" s="7" t="s">
        <v>2081</v>
      </c>
      <c r="E5" s="7" t="s">
        <v>2043</v>
      </c>
      <c r="F5" s="7"/>
      <c r="G5" s="7" t="s">
        <v>540</v>
      </c>
      <c r="H5" s="7" t="s">
        <v>39</v>
      </c>
      <c r="I5" s="7" t="s">
        <v>68</v>
      </c>
      <c r="J5" s="7">
        <v>152.06354813777605</v>
      </c>
      <c r="K5" s="7">
        <v>-30.310900822005678</v>
      </c>
      <c r="L5" s="7" t="s">
        <v>41</v>
      </c>
      <c r="M5" s="7" t="s">
        <v>2082</v>
      </c>
      <c r="N5" s="7" t="s">
        <v>2083</v>
      </c>
      <c r="O5" s="7" t="s">
        <v>2083</v>
      </c>
      <c r="P5" s="7"/>
      <c r="Q5" s="7"/>
      <c r="R5" s="7" t="s">
        <v>2084</v>
      </c>
      <c r="S5" s="7" t="s">
        <v>58</v>
      </c>
      <c r="T5" s="8">
        <v>0.0</v>
      </c>
      <c r="U5" s="7" t="s">
        <v>2085</v>
      </c>
      <c r="V5" s="7" t="s">
        <v>2086</v>
      </c>
      <c r="W5" s="7"/>
      <c r="X5" s="9">
        <v>1.0</v>
      </c>
      <c r="Y5" s="7" t="s">
        <v>2087</v>
      </c>
      <c r="Z5" s="7"/>
      <c r="AA5" s="7"/>
      <c r="AB5" s="7"/>
      <c r="AC5" s="7"/>
      <c r="AD5" s="7"/>
      <c r="AE5" s="7">
        <f t="shared" si="1"/>
        <v>0</v>
      </c>
      <c r="AF5" s="7"/>
      <c r="AG5" s="10">
        <f t="shared" si="2"/>
        <v>0</v>
      </c>
      <c r="AH5" s="10">
        <f t="shared" si="3"/>
        <v>0</v>
      </c>
      <c r="AI5" s="7"/>
      <c r="AJ5" s="7">
        <v>0.1206</v>
      </c>
      <c r="AK5" s="7"/>
      <c r="AL5" s="11">
        <v>45529.67438657407</v>
      </c>
    </row>
    <row r="6" ht="12.0" customHeight="1">
      <c r="A6" s="6" t="s">
        <v>2040</v>
      </c>
      <c r="B6" s="7" t="s">
        <v>235</v>
      </c>
      <c r="C6" s="7" t="s">
        <v>2088</v>
      </c>
      <c r="D6" s="7" t="s">
        <v>2089</v>
      </c>
      <c r="E6" s="7" t="s">
        <v>2043</v>
      </c>
      <c r="F6" s="7" t="s">
        <v>2090</v>
      </c>
      <c r="G6" s="7" t="s">
        <v>540</v>
      </c>
      <c r="H6" s="7" t="s">
        <v>39</v>
      </c>
      <c r="I6" s="7" t="s">
        <v>68</v>
      </c>
      <c r="J6" s="7">
        <v>151.13789678797608</v>
      </c>
      <c r="K6" s="7">
        <v>-31.400198382087464</v>
      </c>
      <c r="L6" s="7" t="s">
        <v>41</v>
      </c>
      <c r="M6" s="7" t="s">
        <v>2091</v>
      </c>
      <c r="N6" s="7" t="s">
        <v>2046</v>
      </c>
      <c r="O6" s="7" t="s">
        <v>2046</v>
      </c>
      <c r="P6" s="7"/>
      <c r="Q6" s="7"/>
      <c r="R6" s="7" t="s">
        <v>2092</v>
      </c>
      <c r="S6" s="7" t="s">
        <v>58</v>
      </c>
      <c r="T6" s="8">
        <v>103970.0</v>
      </c>
      <c r="U6" s="7" t="s">
        <v>2093</v>
      </c>
      <c r="V6" s="7" t="s">
        <v>2049</v>
      </c>
      <c r="W6" s="7"/>
      <c r="X6" s="9">
        <v>1.0</v>
      </c>
      <c r="Y6" s="7" t="s">
        <v>2094</v>
      </c>
      <c r="Z6" s="7"/>
      <c r="AA6" s="7">
        <f t="shared" ref="AA6:AA8" si="4">AB6+AC6+AF6</f>
        <v>167500</v>
      </c>
      <c r="AB6" s="7"/>
      <c r="AC6" s="7"/>
      <c r="AD6" s="7">
        <v>335000.0</v>
      </c>
      <c r="AE6" s="7">
        <f t="shared" si="1"/>
        <v>167500</v>
      </c>
      <c r="AF6" s="7">
        <v>167500.0</v>
      </c>
      <c r="AG6" s="10">
        <f t="shared" si="2"/>
        <v>0</v>
      </c>
      <c r="AH6" s="10">
        <f t="shared" si="3"/>
        <v>0</v>
      </c>
      <c r="AI6" s="7"/>
      <c r="AJ6" s="7">
        <v>0.04422</v>
      </c>
      <c r="AK6" s="7">
        <v>2.0</v>
      </c>
      <c r="AL6" s="11">
        <v>45734.7425</v>
      </c>
    </row>
    <row r="7" ht="12.0" customHeight="1">
      <c r="A7" s="6" t="s">
        <v>2040</v>
      </c>
      <c r="B7" s="7" t="s">
        <v>443</v>
      </c>
      <c r="C7" s="7" t="s">
        <v>2041</v>
      </c>
      <c r="D7" s="7" t="s">
        <v>2095</v>
      </c>
      <c r="E7" s="7" t="s">
        <v>2043</v>
      </c>
      <c r="F7" s="7" t="s">
        <v>2096</v>
      </c>
      <c r="G7" s="7" t="s">
        <v>540</v>
      </c>
      <c r="H7" s="7" t="s">
        <v>39</v>
      </c>
      <c r="I7" s="7" t="s">
        <v>68</v>
      </c>
      <c r="J7" s="7">
        <v>151.8206789664235</v>
      </c>
      <c r="K7" s="7">
        <v>-30.428086708365228</v>
      </c>
      <c r="L7" s="7" t="s">
        <v>41</v>
      </c>
      <c r="M7" s="7" t="s">
        <v>2097</v>
      </c>
      <c r="N7" s="7" t="s">
        <v>2046</v>
      </c>
      <c r="O7" s="7" t="s">
        <v>2046</v>
      </c>
      <c r="P7" s="7"/>
      <c r="Q7" s="7"/>
      <c r="R7" s="7" t="s">
        <v>2098</v>
      </c>
      <c r="S7" s="7" t="s">
        <v>58</v>
      </c>
      <c r="T7" s="8">
        <v>28809.0</v>
      </c>
      <c r="U7" s="7" t="s">
        <v>2099</v>
      </c>
      <c r="V7" s="7" t="s">
        <v>2049</v>
      </c>
      <c r="W7" s="7"/>
      <c r="X7" s="9">
        <v>1.0</v>
      </c>
      <c r="Y7" s="7" t="s">
        <v>2100</v>
      </c>
      <c r="Z7" s="7"/>
      <c r="AA7" s="7">
        <f t="shared" si="4"/>
        <v>231700</v>
      </c>
      <c r="AB7" s="7">
        <v>6700.0</v>
      </c>
      <c r="AC7" s="7"/>
      <c r="AD7" s="7">
        <v>235000.0</v>
      </c>
      <c r="AE7" s="7">
        <f t="shared" si="1"/>
        <v>231700</v>
      </c>
      <c r="AF7" s="7">
        <v>225000.0</v>
      </c>
      <c r="AG7" s="10">
        <f t="shared" si="2"/>
        <v>205690</v>
      </c>
      <c r="AH7" s="10">
        <f t="shared" si="3"/>
        <v>198990</v>
      </c>
      <c r="AI7" s="7">
        <v>4500000.0</v>
      </c>
      <c r="AJ7" s="7">
        <v>0.04422</v>
      </c>
      <c r="AK7" s="7"/>
      <c r="AL7" s="11">
        <v>45587.75287037037</v>
      </c>
    </row>
    <row r="8" ht="12.0" customHeight="1">
      <c r="A8" s="6" t="s">
        <v>2040</v>
      </c>
      <c r="B8" s="7" t="s">
        <v>1579</v>
      </c>
      <c r="C8" s="7" t="s">
        <v>2041</v>
      </c>
      <c r="D8" s="7" t="s">
        <v>2101</v>
      </c>
      <c r="E8" s="7" t="s">
        <v>2043</v>
      </c>
      <c r="F8" s="7" t="s">
        <v>2102</v>
      </c>
      <c r="G8" s="7" t="s">
        <v>540</v>
      </c>
      <c r="H8" s="7" t="s">
        <v>39</v>
      </c>
      <c r="I8" s="7" t="s">
        <v>68</v>
      </c>
      <c r="J8" s="7">
        <v>152.70388264582448</v>
      </c>
      <c r="K8" s="7">
        <v>-30.721099174856263</v>
      </c>
      <c r="L8" s="7" t="s">
        <v>41</v>
      </c>
      <c r="M8" s="7" t="s">
        <v>2103</v>
      </c>
      <c r="N8" s="7" t="s">
        <v>2046</v>
      </c>
      <c r="O8" s="7" t="s">
        <v>2046</v>
      </c>
      <c r="P8" s="7"/>
      <c r="Q8" s="7"/>
      <c r="R8" s="7" t="s">
        <v>2104</v>
      </c>
      <c r="S8" s="7" t="s">
        <v>58</v>
      </c>
      <c r="T8" s="8">
        <v>28800.0</v>
      </c>
      <c r="U8" s="7" t="s">
        <v>2105</v>
      </c>
      <c r="V8" s="7" t="s">
        <v>2049</v>
      </c>
      <c r="W8" s="7"/>
      <c r="X8" s="9">
        <v>1.0</v>
      </c>
      <c r="Y8" s="7" t="s">
        <v>2106</v>
      </c>
      <c r="Z8" s="7"/>
      <c r="AA8" s="7">
        <f t="shared" si="4"/>
        <v>850000</v>
      </c>
      <c r="AB8" s="7">
        <v>0.0</v>
      </c>
      <c r="AC8" s="7"/>
      <c r="AD8" s="7"/>
      <c r="AE8" s="7">
        <f t="shared" si="1"/>
        <v>850000</v>
      </c>
      <c r="AF8" s="7">
        <v>850000.0</v>
      </c>
      <c r="AG8" s="10">
        <f t="shared" si="2"/>
        <v>4698375</v>
      </c>
      <c r="AH8" s="10">
        <f t="shared" si="3"/>
        <v>4698375</v>
      </c>
      <c r="AI8" s="7">
        <v>1.0625E8</v>
      </c>
      <c r="AJ8" s="7">
        <v>0.04422</v>
      </c>
      <c r="AK8" s="7"/>
      <c r="AL8" s="11">
        <v>45554.715474537035</v>
      </c>
    </row>
    <row r="9" ht="12.0" customHeight="1">
      <c r="A9" s="6" t="s">
        <v>2117</v>
      </c>
      <c r="B9" s="7" t="s">
        <v>2118</v>
      </c>
      <c r="C9" s="7" t="s">
        <v>2119</v>
      </c>
      <c r="D9" s="7" t="s">
        <v>2120</v>
      </c>
      <c r="E9" s="7" t="s">
        <v>2121</v>
      </c>
      <c r="F9" s="7" t="s">
        <v>2122</v>
      </c>
      <c r="G9" s="7" t="s">
        <v>540</v>
      </c>
      <c r="H9" s="7" t="s">
        <v>39</v>
      </c>
      <c r="I9" s="7" t="s">
        <v>68</v>
      </c>
      <c r="J9" s="7">
        <v>152.4444394645275</v>
      </c>
      <c r="K9" s="7">
        <v>-28.756549780698673</v>
      </c>
      <c r="L9" s="7" t="s">
        <v>41</v>
      </c>
      <c r="M9" s="7" t="s">
        <v>2123</v>
      </c>
      <c r="N9" s="7" t="s">
        <v>2124</v>
      </c>
      <c r="O9" s="7" t="s">
        <v>2124</v>
      </c>
      <c r="P9" s="7"/>
      <c r="Q9" s="7"/>
      <c r="R9" s="7" t="s">
        <v>2125</v>
      </c>
      <c r="S9" s="7" t="s">
        <v>58</v>
      </c>
      <c r="T9" s="8">
        <v>19400.0</v>
      </c>
      <c r="U9" s="7" t="s">
        <v>2126</v>
      </c>
      <c r="V9" s="7" t="s">
        <v>2127</v>
      </c>
      <c r="W9" s="7"/>
      <c r="X9" s="9">
        <v>1.0</v>
      </c>
      <c r="Y9" s="7" t="s">
        <v>2128</v>
      </c>
      <c r="Z9" s="7"/>
      <c r="AA9" s="7">
        <f>AB9+AF9</f>
        <v>71000</v>
      </c>
      <c r="AB9" s="7">
        <v>16000.0</v>
      </c>
      <c r="AC9" s="7"/>
      <c r="AD9" s="7">
        <v>214400.0</v>
      </c>
      <c r="AE9" s="7">
        <f t="shared" si="1"/>
        <v>71000</v>
      </c>
      <c r="AF9" s="7">
        <v>55000.0</v>
      </c>
      <c r="AG9" s="10">
        <f t="shared" si="2"/>
        <v>16000</v>
      </c>
      <c r="AH9" s="10">
        <f t="shared" si="3"/>
        <v>0</v>
      </c>
      <c r="AI9" s="24"/>
      <c r="AJ9" s="7">
        <v>0.004489000000000001</v>
      </c>
      <c r="AK9" s="7"/>
      <c r="AL9" s="11">
        <v>45741.81892361111</v>
      </c>
    </row>
    <row r="10" ht="12.0" customHeight="1">
      <c r="A10" s="6" t="s">
        <v>2129</v>
      </c>
      <c r="B10" s="7" t="s">
        <v>2130</v>
      </c>
      <c r="C10" s="7" t="s">
        <v>2131</v>
      </c>
      <c r="D10" s="7" t="s">
        <v>2132</v>
      </c>
      <c r="E10" s="7" t="s">
        <v>2121</v>
      </c>
      <c r="F10" s="7" t="s">
        <v>2133</v>
      </c>
      <c r="G10" s="7" t="s">
        <v>540</v>
      </c>
      <c r="H10" s="7" t="s">
        <v>39</v>
      </c>
      <c r="I10" s="7" t="s">
        <v>68</v>
      </c>
      <c r="J10" s="7">
        <v>152.04722419762422</v>
      </c>
      <c r="K10" s="7">
        <v>-30.02266184668115</v>
      </c>
      <c r="L10" s="7" t="s">
        <v>41</v>
      </c>
      <c r="M10" s="7" t="s">
        <v>2134</v>
      </c>
      <c r="N10" s="7" t="s">
        <v>2135</v>
      </c>
      <c r="O10" s="7" t="s">
        <v>2135</v>
      </c>
      <c r="P10" s="7"/>
      <c r="Q10" s="7"/>
      <c r="R10" s="7" t="s">
        <v>2136</v>
      </c>
      <c r="S10" s="7" t="s">
        <v>58</v>
      </c>
      <c r="T10" s="8">
        <v>25000.0</v>
      </c>
      <c r="U10" s="7" t="s">
        <v>2137</v>
      </c>
      <c r="V10" s="7" t="s">
        <v>2138</v>
      </c>
      <c r="W10" s="7"/>
      <c r="X10" s="7"/>
      <c r="Y10" s="7" t="s">
        <v>2139</v>
      </c>
      <c r="Z10" s="7"/>
      <c r="AA10" s="7"/>
      <c r="AB10" s="7"/>
      <c r="AC10" s="7"/>
      <c r="AD10" s="7"/>
      <c r="AE10" s="7">
        <f t="shared" si="1"/>
        <v>0</v>
      </c>
      <c r="AF10" s="7"/>
      <c r="AG10" s="10">
        <f t="shared" si="2"/>
        <v>0</v>
      </c>
      <c r="AH10" s="10">
        <f t="shared" si="3"/>
        <v>0</v>
      </c>
      <c r="AI10" s="7"/>
      <c r="AJ10" s="7">
        <v>0.01005</v>
      </c>
      <c r="AK10" s="7"/>
      <c r="AL10" s="11">
        <v>45734.688680555555</v>
      </c>
    </row>
    <row r="11" ht="12.0" customHeight="1">
      <c r="A11" s="6" t="s">
        <v>2129</v>
      </c>
      <c r="B11" s="7" t="s">
        <v>2140</v>
      </c>
      <c r="C11" s="7" t="s">
        <v>2131</v>
      </c>
      <c r="D11" s="7" t="s">
        <v>2141</v>
      </c>
      <c r="E11" s="7" t="s">
        <v>2121</v>
      </c>
      <c r="F11" s="7" t="s">
        <v>2142</v>
      </c>
      <c r="G11" s="7" t="s">
        <v>540</v>
      </c>
      <c r="H11" s="7" t="s">
        <v>39</v>
      </c>
      <c r="I11" s="7" t="s">
        <v>68</v>
      </c>
      <c r="J11" s="7">
        <v>151.88216291057708</v>
      </c>
      <c r="K11" s="7">
        <v>-30.445798665108388</v>
      </c>
      <c r="L11" s="7" t="s">
        <v>41</v>
      </c>
      <c r="M11" s="7" t="s">
        <v>2143</v>
      </c>
      <c r="N11" s="7" t="s">
        <v>2135</v>
      </c>
      <c r="O11" s="7" t="s">
        <v>2135</v>
      </c>
      <c r="P11" s="7"/>
      <c r="Q11" s="7"/>
      <c r="R11" s="7" t="s">
        <v>2144</v>
      </c>
      <c r="S11" s="7" t="s">
        <v>58</v>
      </c>
      <c r="T11" s="8">
        <v>48800.0</v>
      </c>
      <c r="U11" s="7" t="s">
        <v>2145</v>
      </c>
      <c r="V11" s="7" t="s">
        <v>2138</v>
      </c>
      <c r="W11" s="7"/>
      <c r="X11" s="9">
        <v>1.0</v>
      </c>
      <c r="Y11" s="7" t="s">
        <v>2146</v>
      </c>
      <c r="Z11" s="7"/>
      <c r="AA11" s="7">
        <f>AB11+AC11+AF11</f>
        <v>1239500</v>
      </c>
      <c r="AB11" s="7">
        <v>1239500.0</v>
      </c>
      <c r="AC11" s="7"/>
      <c r="AD11" s="7">
        <v>1700000.0</v>
      </c>
      <c r="AE11" s="7">
        <f t="shared" si="1"/>
        <v>1239500</v>
      </c>
      <c r="AF11" s="7"/>
      <c r="AG11" s="10">
        <f t="shared" si="2"/>
        <v>1836218.75</v>
      </c>
      <c r="AH11" s="10">
        <f t="shared" si="3"/>
        <v>596718.75</v>
      </c>
      <c r="AI11" s="7">
        <v>5.9375E7</v>
      </c>
      <c r="AJ11" s="7">
        <v>0.01005</v>
      </c>
      <c r="AK11" s="7">
        <v>1.5</v>
      </c>
      <c r="AL11" s="11">
        <v>45608.7040162037</v>
      </c>
    </row>
    <row r="12" ht="12.0" customHeight="1">
      <c r="A12" s="6" t="s">
        <v>224</v>
      </c>
      <c r="B12" s="7" t="s">
        <v>2147</v>
      </c>
      <c r="C12" s="7" t="s">
        <v>226</v>
      </c>
      <c r="D12" s="7" t="s">
        <v>2148</v>
      </c>
      <c r="E12" s="7" t="s">
        <v>2149</v>
      </c>
      <c r="F12" s="7" t="s">
        <v>2150</v>
      </c>
      <c r="G12" s="7" t="s">
        <v>540</v>
      </c>
      <c r="H12" s="7" t="s">
        <v>39</v>
      </c>
      <c r="I12" s="7" t="s">
        <v>68</v>
      </c>
      <c r="J12" s="7">
        <v>150.59726967281688</v>
      </c>
      <c r="K12" s="7">
        <v>-29.904155484952618</v>
      </c>
      <c r="L12" s="7" t="s">
        <v>41</v>
      </c>
      <c r="M12" s="7" t="s">
        <v>2151</v>
      </c>
      <c r="N12" s="7" t="s">
        <v>229</v>
      </c>
      <c r="O12" s="7" t="s">
        <v>229</v>
      </c>
      <c r="P12" s="7"/>
      <c r="Q12" s="7"/>
      <c r="R12" s="7" t="s">
        <v>2152</v>
      </c>
      <c r="S12" s="7" t="s">
        <v>58</v>
      </c>
      <c r="T12" s="8">
        <v>48410.0</v>
      </c>
      <c r="U12" s="7" t="s">
        <v>2153</v>
      </c>
      <c r="V12" s="7" t="s">
        <v>232</v>
      </c>
      <c r="W12" s="7"/>
      <c r="X12" s="9">
        <v>1.0</v>
      </c>
      <c r="Y12" s="7" t="s">
        <v>2154</v>
      </c>
      <c r="Z12" s="37"/>
      <c r="AA12" s="42">
        <f>AB12+AC12+AH12</f>
        <v>1760866.669</v>
      </c>
      <c r="AB12" s="7">
        <v>610500.0</v>
      </c>
      <c r="AC12" s="7">
        <v>429000.0</v>
      </c>
      <c r="AD12" s="7"/>
      <c r="AE12" s="7">
        <f t="shared" si="1"/>
        <v>610500</v>
      </c>
      <c r="AF12" s="7"/>
      <c r="AG12" s="10">
        <f t="shared" si="2"/>
        <v>1331866.669</v>
      </c>
      <c r="AH12" s="10">
        <f>AI12*AJ12/2</f>
        <v>721366.6686</v>
      </c>
      <c r="AI12" s="7">
        <v>1.26666667E8</v>
      </c>
      <c r="AJ12" s="7">
        <v>0.01139</v>
      </c>
      <c r="AK12" s="7">
        <v>1.5</v>
      </c>
      <c r="AL12" s="11">
        <v>45699.69112268518</v>
      </c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 t="s">
        <v>2439</v>
      </c>
      <c r="AA13" s="43">
        <f>SUM(AA2,AA6,AA7,AA8,AA9,AA11,AA12)/7</f>
        <v>954366.6669</v>
      </c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 t="s">
        <v>2440</v>
      </c>
      <c r="AA14" s="40">
        <v>7.0</v>
      </c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</sheetData>
  <dataValidations>
    <dataValidation type="custom" allowBlank="1" showDropDown="1" sqref="AL2:AL12">
      <formula1>OR(NOT(ISERROR(DATEVALUE(AL2))), AND(ISNUMBER(AL2), LEFT(CELL("format", AL2))="D"))</formula1>
    </dataValidation>
    <dataValidation type="custom" allowBlank="1" showDropDown="1" sqref="T2:T12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5" max="25" width="117.86"/>
    <col customWidth="1" min="26" max="26" width="15.71"/>
    <col customWidth="1" min="27" max="27" width="21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2239</v>
      </c>
      <c r="B2" s="7" t="s">
        <v>2240</v>
      </c>
      <c r="C2" s="7" t="s">
        <v>2241</v>
      </c>
      <c r="D2" s="7" t="s">
        <v>2242</v>
      </c>
      <c r="E2" s="7" t="s">
        <v>2243</v>
      </c>
      <c r="F2" s="7"/>
      <c r="G2" s="7" t="s">
        <v>38</v>
      </c>
      <c r="H2" s="7" t="s">
        <v>39</v>
      </c>
      <c r="I2" s="7" t="s">
        <v>1025</v>
      </c>
      <c r="J2" s="7">
        <v>131.0061956676265</v>
      </c>
      <c r="K2" s="7">
        <v>-13.03543856871577</v>
      </c>
      <c r="L2" s="7" t="s">
        <v>41</v>
      </c>
      <c r="M2" s="7" t="s">
        <v>41</v>
      </c>
      <c r="N2" s="7" t="s">
        <v>2244</v>
      </c>
      <c r="O2" s="7"/>
      <c r="P2" s="7"/>
      <c r="Q2" s="7"/>
      <c r="R2" s="7" t="s">
        <v>2245</v>
      </c>
      <c r="S2" s="7" t="s">
        <v>58</v>
      </c>
      <c r="T2" s="8">
        <v>234.0</v>
      </c>
      <c r="U2" s="7" t="s">
        <v>2246</v>
      </c>
      <c r="V2" s="7" t="s">
        <v>2247</v>
      </c>
      <c r="W2" s="7"/>
      <c r="X2" s="9">
        <v>1.0</v>
      </c>
      <c r="Y2" s="7" t="s">
        <v>2248</v>
      </c>
      <c r="Z2" s="7"/>
      <c r="AA2" s="7">
        <f>AB2+AC2+AF2</f>
        <v>2914500</v>
      </c>
      <c r="AB2" s="7">
        <f>4350000*0.67</f>
        <v>2914500</v>
      </c>
      <c r="AC2" s="7"/>
      <c r="AD2" s="7"/>
      <c r="AE2" s="7">
        <f t="shared" ref="AE2:AE4" si="1">AB2+AF2</f>
        <v>2914500</v>
      </c>
      <c r="AF2" s="7"/>
      <c r="AG2" s="10">
        <f t="shared" ref="AG2:AG4" si="2">AB2+AH2</f>
        <v>2914500</v>
      </c>
      <c r="AH2" s="10">
        <f t="shared" ref="AH2:AH4" si="3">AI2*AJ2</f>
        <v>0</v>
      </c>
      <c r="AI2" s="7"/>
      <c r="AJ2" s="7">
        <v>0.00536</v>
      </c>
      <c r="AK2" s="7">
        <v>10.0</v>
      </c>
      <c r="AL2" s="11">
        <v>45645.97728009259</v>
      </c>
    </row>
    <row r="3" ht="12.0" customHeight="1">
      <c r="A3" s="6" t="s">
        <v>2249</v>
      </c>
      <c r="B3" s="7" t="s">
        <v>2250</v>
      </c>
      <c r="C3" s="7" t="s">
        <v>2251</v>
      </c>
      <c r="D3" s="7" t="s">
        <v>2252</v>
      </c>
      <c r="E3" s="7" t="s">
        <v>2243</v>
      </c>
      <c r="F3" s="7" t="s">
        <v>2253</v>
      </c>
      <c r="G3" s="7" t="s">
        <v>38</v>
      </c>
      <c r="H3" s="7" t="s">
        <v>39</v>
      </c>
      <c r="I3" s="7" t="s">
        <v>1025</v>
      </c>
      <c r="J3" s="7">
        <v>133.3418437414966</v>
      </c>
      <c r="K3" s="7">
        <v>-12.186812164645213</v>
      </c>
      <c r="L3" s="7" t="s">
        <v>41</v>
      </c>
      <c r="M3" s="7" t="s">
        <v>2254</v>
      </c>
      <c r="N3" s="7" t="s">
        <v>2255</v>
      </c>
      <c r="O3" s="7" t="s">
        <v>2255</v>
      </c>
      <c r="P3" s="7"/>
      <c r="Q3" s="7"/>
      <c r="R3" s="7" t="s">
        <v>2256</v>
      </c>
      <c r="S3" s="7" t="s">
        <v>58</v>
      </c>
      <c r="T3" s="8">
        <v>0.0</v>
      </c>
      <c r="U3" s="7" t="s">
        <v>2257</v>
      </c>
      <c r="V3" s="7" t="s">
        <v>2258</v>
      </c>
      <c r="W3" s="7"/>
      <c r="X3" s="9">
        <v>1.0</v>
      </c>
      <c r="Y3" s="7" t="s">
        <v>2259</v>
      </c>
      <c r="Z3" s="7"/>
      <c r="AA3" s="7"/>
      <c r="AB3" s="7"/>
      <c r="AC3" s="7"/>
      <c r="AD3" s="7"/>
      <c r="AE3" s="7">
        <f t="shared" si="1"/>
        <v>0</v>
      </c>
      <c r="AF3" s="7"/>
      <c r="AG3" s="10">
        <f t="shared" si="2"/>
        <v>0</v>
      </c>
      <c r="AH3" s="10">
        <f t="shared" si="3"/>
        <v>0</v>
      </c>
      <c r="AI3" s="7"/>
      <c r="AJ3" s="7">
        <v>0.06633000000000001</v>
      </c>
      <c r="AK3" s="7"/>
      <c r="AL3" s="11">
        <v>45699.63810185185</v>
      </c>
    </row>
    <row r="4" ht="12.0" customHeight="1">
      <c r="A4" s="6" t="s">
        <v>2260</v>
      </c>
      <c r="B4" s="7" t="s">
        <v>2261</v>
      </c>
      <c r="C4" s="7" t="s">
        <v>2262</v>
      </c>
      <c r="D4" s="7" t="s">
        <v>2263</v>
      </c>
      <c r="E4" s="7" t="s">
        <v>2243</v>
      </c>
      <c r="F4" s="7"/>
      <c r="G4" s="7" t="s">
        <v>38</v>
      </c>
      <c r="H4" s="7" t="s">
        <v>39</v>
      </c>
      <c r="I4" s="7" t="s">
        <v>598</v>
      </c>
      <c r="J4" s="7">
        <v>137.37275357608</v>
      </c>
      <c r="K4" s="7">
        <v>-33.14925949192402</v>
      </c>
      <c r="L4" s="7" t="s">
        <v>41</v>
      </c>
      <c r="M4" s="7" t="s">
        <v>2264</v>
      </c>
      <c r="N4" s="7" t="s">
        <v>2265</v>
      </c>
      <c r="O4" s="7" t="s">
        <v>2265</v>
      </c>
      <c r="P4" s="7"/>
      <c r="Q4" s="7"/>
      <c r="R4" s="7" t="s">
        <v>2266</v>
      </c>
      <c r="S4" s="7" t="s">
        <v>1667</v>
      </c>
      <c r="T4" s="8">
        <v>0.0</v>
      </c>
      <c r="U4" s="7" t="s">
        <v>2267</v>
      </c>
      <c r="V4" s="7" t="s">
        <v>2268</v>
      </c>
      <c r="W4" s="7"/>
      <c r="X4" s="7"/>
      <c r="Y4" s="7" t="s">
        <v>2269</v>
      </c>
      <c r="Z4" s="37"/>
      <c r="AA4" s="37">
        <f>AB4+AC4+AF4</f>
        <v>125000</v>
      </c>
      <c r="AB4" s="7"/>
      <c r="AC4" s="7"/>
      <c r="AD4" s="7"/>
      <c r="AE4" s="7">
        <f t="shared" si="1"/>
        <v>125000</v>
      </c>
      <c r="AF4" s="7">
        <v>125000.0</v>
      </c>
      <c r="AG4" s="10">
        <f t="shared" si="2"/>
        <v>0</v>
      </c>
      <c r="AH4" s="10">
        <f t="shared" si="3"/>
        <v>0</v>
      </c>
      <c r="AI4" s="7"/>
      <c r="AJ4" s="7">
        <v>0.02144</v>
      </c>
      <c r="AK4" s="7"/>
      <c r="AL4" s="11">
        <v>45089.72969907407</v>
      </c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 t="s">
        <v>2439</v>
      </c>
      <c r="AA5" s="41">
        <f>(AA2+AA4)/2</f>
        <v>1519750</v>
      </c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40" t="s">
        <v>2441</v>
      </c>
      <c r="AA6" s="40">
        <v>2.0</v>
      </c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</sheetData>
  <dataValidations>
    <dataValidation type="custom" allowBlank="1" showDropDown="1" sqref="AL2:AL4">
      <formula1>OR(NOT(ISERROR(DATEVALUE(AL2))), AND(ISNUMBER(AL2), LEFT(CELL("format", AL2))="D"))</formula1>
    </dataValidation>
    <dataValidation type="custom" allowBlank="1" showDropDown="1" sqref="T2:T4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4" max="24" width="17.71"/>
    <col customWidth="1" min="25" max="25" width="110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2270</v>
      </c>
      <c r="B2" s="7" t="s">
        <v>2271</v>
      </c>
      <c r="C2" s="7" t="s">
        <v>2272</v>
      </c>
      <c r="D2" s="7" t="s">
        <v>2273</v>
      </c>
      <c r="E2" s="7" t="s">
        <v>2243</v>
      </c>
      <c r="F2" s="7" t="s">
        <v>2274</v>
      </c>
      <c r="G2" s="7" t="s">
        <v>540</v>
      </c>
      <c r="H2" s="7" t="s">
        <v>39</v>
      </c>
      <c r="I2" s="7" t="s">
        <v>598</v>
      </c>
      <c r="J2" s="7">
        <v>135.5913694402395</v>
      </c>
      <c r="K2" s="7">
        <v>-34.3249345799898</v>
      </c>
      <c r="L2" s="7" t="s">
        <v>41</v>
      </c>
      <c r="M2" s="7" t="s">
        <v>2275</v>
      </c>
      <c r="N2" s="7" t="s">
        <v>2276</v>
      </c>
      <c r="O2" s="7"/>
      <c r="P2" s="7"/>
      <c r="Q2" s="7"/>
      <c r="R2" s="7" t="s">
        <v>2277</v>
      </c>
      <c r="S2" s="7" t="s">
        <v>58</v>
      </c>
      <c r="T2" s="8">
        <v>95200.0</v>
      </c>
      <c r="U2" s="7" t="s">
        <v>2278</v>
      </c>
      <c r="V2" s="7" t="s">
        <v>2279</v>
      </c>
      <c r="W2" s="7"/>
      <c r="X2" s="9">
        <v>1.0</v>
      </c>
      <c r="Y2" s="7" t="s">
        <v>2280</v>
      </c>
      <c r="Z2" s="7"/>
      <c r="AA2" s="7">
        <f>AB2+AF2</f>
        <v>319600</v>
      </c>
      <c r="AB2" s="7">
        <v>19600.0</v>
      </c>
      <c r="AC2" s="7"/>
      <c r="AD2" s="7"/>
      <c r="AE2" s="7">
        <f t="shared" ref="AE2:AE11" si="1">AB2+AF2</f>
        <v>319600</v>
      </c>
      <c r="AF2" s="7">
        <v>300000.0</v>
      </c>
      <c r="AG2" s="10">
        <f t="shared" ref="AG2:AG11" si="2">AB2+AH2</f>
        <v>19600</v>
      </c>
      <c r="AH2" s="10">
        <f t="shared" ref="AH2:AH11" si="3">AI2*AJ2</f>
        <v>0</v>
      </c>
      <c r="AI2" s="7"/>
      <c r="AJ2" s="7">
        <v>0.0</v>
      </c>
      <c r="AK2" s="7">
        <v>1.0</v>
      </c>
      <c r="AL2" s="11">
        <v>45677.67670138889</v>
      </c>
    </row>
    <row r="3" ht="12.0" customHeight="1">
      <c r="A3" s="6" t="s">
        <v>2281</v>
      </c>
      <c r="B3" s="7" t="s">
        <v>2282</v>
      </c>
      <c r="C3" s="7" t="s">
        <v>2283</v>
      </c>
      <c r="D3" s="7" t="s">
        <v>2284</v>
      </c>
      <c r="E3" s="7" t="s">
        <v>2243</v>
      </c>
      <c r="F3" s="7"/>
      <c r="G3" s="7" t="s">
        <v>540</v>
      </c>
      <c r="H3" s="7" t="s">
        <v>39</v>
      </c>
      <c r="I3" s="7" t="s">
        <v>1025</v>
      </c>
      <c r="J3" s="7">
        <v>131.47845088901016</v>
      </c>
      <c r="K3" s="7">
        <v>-13.848130008711228</v>
      </c>
      <c r="L3" s="7" t="s">
        <v>41</v>
      </c>
      <c r="M3" s="7" t="s">
        <v>2285</v>
      </c>
      <c r="N3" s="7" t="s">
        <v>2286</v>
      </c>
      <c r="O3" s="7" t="s">
        <v>2286</v>
      </c>
      <c r="P3" s="7"/>
      <c r="Q3" s="7"/>
      <c r="R3" s="7" t="s">
        <v>2287</v>
      </c>
      <c r="S3" s="7" t="s">
        <v>58</v>
      </c>
      <c r="T3" s="8">
        <v>0.0</v>
      </c>
      <c r="U3" s="7" t="s">
        <v>2288</v>
      </c>
      <c r="V3" s="7" t="s">
        <v>2289</v>
      </c>
      <c r="W3" s="7"/>
      <c r="X3" s="9">
        <v>0.8</v>
      </c>
      <c r="Y3" s="7" t="s">
        <v>2290</v>
      </c>
      <c r="Z3" s="7"/>
      <c r="AA3" s="7">
        <f t="shared" ref="AA3:AA4" si="4">AB3</f>
        <v>13200</v>
      </c>
      <c r="AB3" s="7">
        <v>13200.0</v>
      </c>
      <c r="AC3" s="7"/>
      <c r="AD3" s="7"/>
      <c r="AE3" s="7">
        <f t="shared" si="1"/>
        <v>13200</v>
      </c>
      <c r="AF3" s="7"/>
      <c r="AG3" s="10">
        <f t="shared" si="2"/>
        <v>13200</v>
      </c>
      <c r="AH3" s="10">
        <f t="shared" si="3"/>
        <v>0</v>
      </c>
      <c r="AI3" s="7"/>
      <c r="AJ3" s="7">
        <v>0.0</v>
      </c>
      <c r="AK3" s="7">
        <v>1.5</v>
      </c>
      <c r="AL3" s="11">
        <v>45539.70266203704</v>
      </c>
    </row>
    <row r="4" ht="12.0" customHeight="1">
      <c r="A4" s="6" t="s">
        <v>2281</v>
      </c>
      <c r="B4" s="7" t="s">
        <v>1380</v>
      </c>
      <c r="C4" s="7" t="s">
        <v>2283</v>
      </c>
      <c r="D4" s="7" t="s">
        <v>2291</v>
      </c>
      <c r="E4" s="7" t="s">
        <v>2243</v>
      </c>
      <c r="F4" s="7"/>
      <c r="G4" s="7" t="s">
        <v>540</v>
      </c>
      <c r="H4" s="7" t="s">
        <v>39</v>
      </c>
      <c r="I4" s="7" t="s">
        <v>1025</v>
      </c>
      <c r="J4" s="7">
        <v>135.6587261165369</v>
      </c>
      <c r="K4" s="7">
        <v>-21.558481151071664</v>
      </c>
      <c r="L4" s="7" t="s">
        <v>41</v>
      </c>
      <c r="M4" s="7" t="s">
        <v>2292</v>
      </c>
      <c r="N4" s="7" t="s">
        <v>2286</v>
      </c>
      <c r="O4" s="7" t="s">
        <v>2286</v>
      </c>
      <c r="P4" s="7"/>
      <c r="Q4" s="7"/>
      <c r="R4" s="7" t="s">
        <v>2293</v>
      </c>
      <c r="S4" s="7" t="s">
        <v>58</v>
      </c>
      <c r="T4" s="8">
        <v>56600.0</v>
      </c>
      <c r="U4" s="7" t="s">
        <v>2294</v>
      </c>
      <c r="V4" s="7" t="s">
        <v>2289</v>
      </c>
      <c r="W4" s="7"/>
      <c r="X4" s="9">
        <v>0.8</v>
      </c>
      <c r="Y4" s="7" t="s">
        <v>2295</v>
      </c>
      <c r="Z4" s="7"/>
      <c r="AA4" s="7">
        <f t="shared" si="4"/>
        <v>6600</v>
      </c>
      <c r="AB4" s="7">
        <v>6600.0</v>
      </c>
      <c r="AC4" s="7"/>
      <c r="AD4" s="7"/>
      <c r="AE4" s="7">
        <f t="shared" si="1"/>
        <v>6600</v>
      </c>
      <c r="AF4" s="7"/>
      <c r="AG4" s="10">
        <f t="shared" si="2"/>
        <v>6600</v>
      </c>
      <c r="AH4" s="10">
        <f t="shared" si="3"/>
        <v>0</v>
      </c>
      <c r="AI4" s="7"/>
      <c r="AJ4" s="7">
        <v>0.0</v>
      </c>
      <c r="AK4" s="7">
        <v>1.5</v>
      </c>
      <c r="AL4" s="11">
        <v>45615.63942129629</v>
      </c>
    </row>
    <row r="5" ht="12.0" customHeight="1">
      <c r="A5" s="6" t="s">
        <v>2296</v>
      </c>
      <c r="B5" s="7" t="s">
        <v>2297</v>
      </c>
      <c r="C5" s="7" t="s">
        <v>2298</v>
      </c>
      <c r="D5" s="7" t="s">
        <v>2299</v>
      </c>
      <c r="E5" s="7" t="s">
        <v>2243</v>
      </c>
      <c r="F5" s="7" t="s">
        <v>2300</v>
      </c>
      <c r="G5" s="7" t="s">
        <v>540</v>
      </c>
      <c r="H5" s="7" t="s">
        <v>39</v>
      </c>
      <c r="I5" s="7" t="s">
        <v>40</v>
      </c>
      <c r="J5" s="7">
        <v>123.50000021739625</v>
      </c>
      <c r="K5" s="7">
        <v>-31.240579752471294</v>
      </c>
      <c r="L5" s="7" t="s">
        <v>41</v>
      </c>
      <c r="M5" s="7" t="s">
        <v>2301</v>
      </c>
      <c r="N5" s="7" t="s">
        <v>2302</v>
      </c>
      <c r="O5" s="7" t="s">
        <v>2302</v>
      </c>
      <c r="P5" s="7"/>
      <c r="Q5" s="7"/>
      <c r="R5" s="7" t="s">
        <v>2303</v>
      </c>
      <c r="S5" s="7" t="s">
        <v>58</v>
      </c>
      <c r="T5" s="8">
        <v>0.0</v>
      </c>
      <c r="U5" s="7" t="s">
        <v>2304</v>
      </c>
      <c r="V5" s="7" t="s">
        <v>2305</v>
      </c>
      <c r="W5" s="7"/>
      <c r="X5" s="9">
        <v>1.0</v>
      </c>
      <c r="Y5" s="7" t="s">
        <v>2306</v>
      </c>
      <c r="Z5" s="7"/>
      <c r="AA5" s="7">
        <f t="shared" ref="AA5:AA6" si="5">AB5+AC5+AF5</f>
        <v>33500</v>
      </c>
      <c r="AB5" s="7">
        <v>33500.0</v>
      </c>
      <c r="AC5" s="7"/>
      <c r="AD5" s="7"/>
      <c r="AE5" s="7">
        <f t="shared" si="1"/>
        <v>33500</v>
      </c>
      <c r="AF5" s="7"/>
      <c r="AG5" s="10">
        <f t="shared" si="2"/>
        <v>33500</v>
      </c>
      <c r="AH5" s="10">
        <f t="shared" si="3"/>
        <v>0</v>
      </c>
      <c r="AI5" s="7"/>
      <c r="AJ5" s="7">
        <v>0.046900000000000004</v>
      </c>
      <c r="AK5" s="7"/>
      <c r="AL5" s="11">
        <v>45614.647152777776</v>
      </c>
    </row>
    <row r="6" ht="12.0" customHeight="1">
      <c r="A6" s="6" t="s">
        <v>2307</v>
      </c>
      <c r="B6" s="7" t="s">
        <v>2308</v>
      </c>
      <c r="C6" s="7" t="s">
        <v>2309</v>
      </c>
      <c r="D6" s="7" t="s">
        <v>2310</v>
      </c>
      <c r="E6" s="7" t="s">
        <v>2243</v>
      </c>
      <c r="F6" s="7"/>
      <c r="G6" s="7" t="s">
        <v>540</v>
      </c>
      <c r="H6" s="7" t="s">
        <v>39</v>
      </c>
      <c r="I6" s="7" t="s">
        <v>1025</v>
      </c>
      <c r="J6" s="7">
        <v>133.71706189590728</v>
      </c>
      <c r="K6" s="7">
        <v>-12.60917636213991</v>
      </c>
      <c r="L6" s="7" t="s">
        <v>41</v>
      </c>
      <c r="M6" s="7" t="s">
        <v>2311</v>
      </c>
      <c r="N6" s="7" t="s">
        <v>2312</v>
      </c>
      <c r="O6" s="7" t="s">
        <v>2312</v>
      </c>
      <c r="P6" s="7"/>
      <c r="Q6" s="7"/>
      <c r="R6" s="7" t="s">
        <v>2313</v>
      </c>
      <c r="S6" s="7" t="s">
        <v>45</v>
      </c>
      <c r="T6" s="8">
        <v>122900.0</v>
      </c>
      <c r="U6" s="7" t="s">
        <v>2314</v>
      </c>
      <c r="V6" s="7" t="s">
        <v>2315</v>
      </c>
      <c r="W6" s="7"/>
      <c r="X6" s="7"/>
      <c r="Y6" s="7" t="s">
        <v>2316</v>
      </c>
      <c r="Z6" s="7"/>
      <c r="AA6" s="7">
        <f t="shared" si="5"/>
        <v>5460500</v>
      </c>
      <c r="AB6" s="7">
        <v>100500.0</v>
      </c>
      <c r="AC6" s="7">
        <v>5360000.0</v>
      </c>
      <c r="AD6" s="7"/>
      <c r="AE6" s="7">
        <f t="shared" si="1"/>
        <v>100500</v>
      </c>
      <c r="AF6" s="7"/>
      <c r="AG6" s="10">
        <f t="shared" si="2"/>
        <v>100500</v>
      </c>
      <c r="AH6" s="10">
        <f t="shared" si="3"/>
        <v>0</v>
      </c>
      <c r="AI6" s="7"/>
      <c r="AJ6" s="7">
        <v>0.00402</v>
      </c>
      <c r="AK6" s="7"/>
      <c r="AL6" s="11">
        <v>45725.70092592592</v>
      </c>
    </row>
    <row r="7" ht="12.0" customHeight="1">
      <c r="A7" s="6" t="s">
        <v>2317</v>
      </c>
      <c r="B7" s="7" t="s">
        <v>966</v>
      </c>
      <c r="C7" s="7" t="s">
        <v>2318</v>
      </c>
      <c r="D7" s="7" t="s">
        <v>2319</v>
      </c>
      <c r="E7" s="7" t="s">
        <v>2243</v>
      </c>
      <c r="F7" s="7" t="s">
        <v>2320</v>
      </c>
      <c r="G7" s="7" t="s">
        <v>540</v>
      </c>
      <c r="H7" s="7" t="s">
        <v>39</v>
      </c>
      <c r="I7" s="7" t="s">
        <v>40</v>
      </c>
      <c r="J7" s="7">
        <v>123.79540131574213</v>
      </c>
      <c r="K7" s="7">
        <v>-29.885963967292472</v>
      </c>
      <c r="L7" s="7" t="s">
        <v>41</v>
      </c>
      <c r="M7" s="7" t="s">
        <v>2321</v>
      </c>
      <c r="N7" s="7" t="s">
        <v>2322</v>
      </c>
      <c r="O7" s="7" t="s">
        <v>2322</v>
      </c>
      <c r="P7" s="7"/>
      <c r="Q7" s="7"/>
      <c r="R7" s="7" t="s">
        <v>2323</v>
      </c>
      <c r="S7" s="7" t="s">
        <v>58</v>
      </c>
      <c r="T7" s="8">
        <v>0.0</v>
      </c>
      <c r="U7" s="7" t="s">
        <v>2324</v>
      </c>
      <c r="V7" s="7" t="s">
        <v>2325</v>
      </c>
      <c r="W7" s="7"/>
      <c r="X7" s="9">
        <v>1.0</v>
      </c>
      <c r="Y7" s="7" t="s">
        <v>2326</v>
      </c>
      <c r="Z7" s="7"/>
      <c r="AA7" s="7"/>
      <c r="AB7" s="7"/>
      <c r="AC7" s="7"/>
      <c r="AD7" s="7"/>
      <c r="AE7" s="7">
        <f t="shared" si="1"/>
        <v>0</v>
      </c>
      <c r="AF7" s="7"/>
      <c r="AG7" s="10">
        <f t="shared" si="2"/>
        <v>0</v>
      </c>
      <c r="AH7" s="10">
        <f t="shared" si="3"/>
        <v>0</v>
      </c>
      <c r="AI7" s="7"/>
      <c r="AJ7" s="7">
        <v>0.03819</v>
      </c>
      <c r="AK7" s="7"/>
      <c r="AL7" s="11">
        <v>45644.635624999995</v>
      </c>
    </row>
    <row r="8" ht="12.0" customHeight="1">
      <c r="A8" s="6" t="s">
        <v>2281</v>
      </c>
      <c r="B8" s="7" t="s">
        <v>936</v>
      </c>
      <c r="C8" s="7" t="s">
        <v>2327</v>
      </c>
      <c r="D8" s="7" t="s">
        <v>2328</v>
      </c>
      <c r="E8" s="7" t="s">
        <v>2243</v>
      </c>
      <c r="F8" s="7"/>
      <c r="G8" s="7" t="s">
        <v>540</v>
      </c>
      <c r="H8" s="7" t="s">
        <v>39</v>
      </c>
      <c r="I8" s="7" t="s">
        <v>132</v>
      </c>
      <c r="J8" s="7">
        <v>144.48491705682525</v>
      </c>
      <c r="K8" s="7">
        <v>-18.820960786343637</v>
      </c>
      <c r="L8" s="7" t="s">
        <v>41</v>
      </c>
      <c r="M8" s="7" t="s">
        <v>2329</v>
      </c>
      <c r="N8" s="7" t="s">
        <v>2286</v>
      </c>
      <c r="O8" s="7" t="s">
        <v>2286</v>
      </c>
      <c r="P8" s="7"/>
      <c r="Q8" s="7"/>
      <c r="R8" s="7" t="s">
        <v>2330</v>
      </c>
      <c r="S8" s="7" t="s">
        <v>58</v>
      </c>
      <c r="T8" s="8">
        <v>9000.0</v>
      </c>
      <c r="U8" s="7" t="s">
        <v>2331</v>
      </c>
      <c r="V8" s="7" t="s">
        <v>2289</v>
      </c>
      <c r="W8" s="7"/>
      <c r="X8" s="9">
        <v>1.0</v>
      </c>
      <c r="Y8" s="7" t="s">
        <v>2332</v>
      </c>
      <c r="Z8" s="7"/>
      <c r="AA8" s="7">
        <f t="shared" ref="AA8:AA11" si="6">AB8+AC8+AF8</f>
        <v>134000</v>
      </c>
      <c r="AB8" s="7">
        <f>200000*0.67</f>
        <v>134000</v>
      </c>
      <c r="AC8" s="7"/>
      <c r="AD8" s="7"/>
      <c r="AE8" s="7">
        <f t="shared" si="1"/>
        <v>134000</v>
      </c>
      <c r="AF8" s="7"/>
      <c r="AG8" s="10">
        <f t="shared" si="2"/>
        <v>670000</v>
      </c>
      <c r="AH8" s="10">
        <f t="shared" si="3"/>
        <v>536000</v>
      </c>
      <c r="AI8" s="7">
        <v>2.0E7</v>
      </c>
      <c r="AJ8" s="7">
        <v>0.0268</v>
      </c>
      <c r="AK8" s="7"/>
      <c r="AL8" s="11">
        <v>45669.65525462963</v>
      </c>
    </row>
    <row r="9" ht="12.0" customHeight="1">
      <c r="A9" s="6" t="s">
        <v>2333</v>
      </c>
      <c r="B9" s="7" t="s">
        <v>2334</v>
      </c>
      <c r="C9" s="7" t="s">
        <v>2335</v>
      </c>
      <c r="D9" s="7" t="s">
        <v>2336</v>
      </c>
      <c r="E9" s="7" t="s">
        <v>2243</v>
      </c>
      <c r="F9" s="7"/>
      <c r="G9" s="7" t="s">
        <v>540</v>
      </c>
      <c r="H9" s="7" t="s">
        <v>39</v>
      </c>
      <c r="I9" s="7" t="s">
        <v>598</v>
      </c>
      <c r="J9" s="7">
        <v>139.79876268996455</v>
      </c>
      <c r="K9" s="7">
        <v>-33.59304357579737</v>
      </c>
      <c r="L9" s="7" t="s">
        <v>41</v>
      </c>
      <c r="M9" s="7" t="s">
        <v>2337</v>
      </c>
      <c r="N9" s="7" t="s">
        <v>2338</v>
      </c>
      <c r="O9" s="7" t="s">
        <v>2338</v>
      </c>
      <c r="P9" s="7"/>
      <c r="Q9" s="7"/>
      <c r="R9" s="7" t="s">
        <v>2339</v>
      </c>
      <c r="S9" s="7" t="s">
        <v>58</v>
      </c>
      <c r="T9" s="8">
        <v>0.0</v>
      </c>
      <c r="U9" s="7" t="s">
        <v>2340</v>
      </c>
      <c r="V9" s="7" t="s">
        <v>2341</v>
      </c>
      <c r="W9" s="7"/>
      <c r="X9" s="9">
        <v>1.0</v>
      </c>
      <c r="Y9" s="7" t="s">
        <v>2342</v>
      </c>
      <c r="Z9" s="7"/>
      <c r="AA9" s="7">
        <f t="shared" si="6"/>
        <v>200000</v>
      </c>
      <c r="AB9" s="7"/>
      <c r="AC9" s="7">
        <v>200000.0</v>
      </c>
      <c r="AD9" s="7"/>
      <c r="AE9" s="7">
        <f t="shared" si="1"/>
        <v>0</v>
      </c>
      <c r="AF9" s="7"/>
      <c r="AG9" s="10">
        <f t="shared" si="2"/>
        <v>0</v>
      </c>
      <c r="AH9" s="10">
        <f t="shared" si="3"/>
        <v>0</v>
      </c>
      <c r="AI9" s="7"/>
      <c r="AJ9" s="7">
        <v>0.0</v>
      </c>
      <c r="AK9" s="7"/>
      <c r="AL9" s="11">
        <v>45614.69039351852</v>
      </c>
    </row>
    <row r="10" ht="12.0" customHeight="1">
      <c r="A10" s="6" t="s">
        <v>2281</v>
      </c>
      <c r="B10" s="7" t="s">
        <v>869</v>
      </c>
      <c r="C10" s="7" t="s">
        <v>2283</v>
      </c>
      <c r="D10" s="7" t="s">
        <v>2343</v>
      </c>
      <c r="E10" s="7" t="s">
        <v>2243</v>
      </c>
      <c r="F10" s="7" t="s">
        <v>2344</v>
      </c>
      <c r="G10" s="7" t="s">
        <v>540</v>
      </c>
      <c r="H10" s="7" t="s">
        <v>39</v>
      </c>
      <c r="I10" s="7" t="s">
        <v>1025</v>
      </c>
      <c r="J10" s="7">
        <v>137.88972743650822</v>
      </c>
      <c r="K10" s="7">
        <v>-22.313895099011553</v>
      </c>
      <c r="L10" s="7" t="s">
        <v>41</v>
      </c>
      <c r="M10" s="7" t="s">
        <v>2345</v>
      </c>
      <c r="N10" s="7" t="s">
        <v>2286</v>
      </c>
      <c r="O10" s="7" t="s">
        <v>2286</v>
      </c>
      <c r="P10" s="7"/>
      <c r="Q10" s="7"/>
      <c r="R10" s="7" t="s">
        <v>2346</v>
      </c>
      <c r="S10" s="7" t="s">
        <v>58</v>
      </c>
      <c r="T10" s="8">
        <v>97100.0</v>
      </c>
      <c r="U10" s="7" t="s">
        <v>2347</v>
      </c>
      <c r="V10" s="7" t="s">
        <v>2289</v>
      </c>
      <c r="W10" s="7"/>
      <c r="X10" s="9">
        <v>0.8</v>
      </c>
      <c r="Y10" s="7" t="s">
        <v>2348</v>
      </c>
      <c r="Z10" s="7"/>
      <c r="AA10" s="7">
        <f t="shared" si="6"/>
        <v>6700</v>
      </c>
      <c r="AB10" s="7">
        <v>6700.0</v>
      </c>
      <c r="AC10" s="7"/>
      <c r="AD10" s="7"/>
      <c r="AE10" s="7">
        <f t="shared" si="1"/>
        <v>6700</v>
      </c>
      <c r="AF10" s="7"/>
      <c r="AG10" s="10">
        <f t="shared" si="2"/>
        <v>6700</v>
      </c>
      <c r="AH10" s="10">
        <f t="shared" si="3"/>
        <v>0</v>
      </c>
      <c r="AI10" s="7"/>
      <c r="AJ10" s="7">
        <v>0.02747</v>
      </c>
      <c r="AK10" s="7">
        <v>1.5</v>
      </c>
      <c r="AL10" s="11">
        <v>45580.68920138889</v>
      </c>
    </row>
    <row r="11" ht="12.0" customHeight="1">
      <c r="A11" s="6" t="s">
        <v>2349</v>
      </c>
      <c r="B11" s="7" t="s">
        <v>2350</v>
      </c>
      <c r="C11" s="7" t="s">
        <v>2351</v>
      </c>
      <c r="D11" s="7" t="s">
        <v>2352</v>
      </c>
      <c r="E11" s="7" t="s">
        <v>2353</v>
      </c>
      <c r="F11" s="7" t="s">
        <v>2354</v>
      </c>
      <c r="G11" s="7" t="s">
        <v>540</v>
      </c>
      <c r="H11" s="7" t="s">
        <v>39</v>
      </c>
      <c r="I11" s="7" t="s">
        <v>1025</v>
      </c>
      <c r="J11" s="7">
        <v>131.05450210746503</v>
      </c>
      <c r="K11" s="7">
        <v>-22.24707868664476</v>
      </c>
      <c r="L11" s="7" t="s">
        <v>41</v>
      </c>
      <c r="M11" s="7" t="s">
        <v>2355</v>
      </c>
      <c r="N11" s="7" t="s">
        <v>2356</v>
      </c>
      <c r="O11" s="7" t="s">
        <v>2356</v>
      </c>
      <c r="P11" s="7"/>
      <c r="Q11" s="7"/>
      <c r="R11" s="7" t="s">
        <v>2357</v>
      </c>
      <c r="S11" s="7" t="s">
        <v>58</v>
      </c>
      <c r="T11" s="8">
        <v>0.0</v>
      </c>
      <c r="U11" s="7" t="s">
        <v>2358</v>
      </c>
      <c r="V11" s="7" t="s">
        <v>2359</v>
      </c>
      <c r="W11" s="7"/>
      <c r="X11" s="9">
        <v>1.0</v>
      </c>
      <c r="Y11" s="7" t="s">
        <v>2360</v>
      </c>
      <c r="Z11" s="7"/>
      <c r="AA11" s="7">
        <f t="shared" si="6"/>
        <v>3700000</v>
      </c>
      <c r="AB11" s="7">
        <v>3350000.0</v>
      </c>
      <c r="AC11" s="7"/>
      <c r="AD11" s="7"/>
      <c r="AE11" s="7">
        <f t="shared" si="1"/>
        <v>3700000</v>
      </c>
      <c r="AF11" s="7">
        <v>350000.0</v>
      </c>
      <c r="AG11" s="10">
        <f t="shared" si="2"/>
        <v>3568866.664</v>
      </c>
      <c r="AH11" s="10">
        <f t="shared" si="3"/>
        <v>218866.6635</v>
      </c>
      <c r="AI11" s="7">
        <v>2.3333333E7</v>
      </c>
      <c r="AJ11" s="7">
        <v>0.009380000000000001</v>
      </c>
      <c r="AK11" s="7">
        <v>2.0</v>
      </c>
      <c r="AL11" s="11">
        <v>45491.67833333333</v>
      </c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 t="s">
        <v>2439</v>
      </c>
      <c r="AA12" s="43">
        <f>(AA2+AA3+AA4+AA5+AA6+AA8+AA9+AA10+AA11)/9</f>
        <v>1097122.222</v>
      </c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 t="s">
        <v>2441</v>
      </c>
      <c r="AA13" s="40">
        <v>9.0</v>
      </c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</sheetData>
  <dataValidations>
    <dataValidation type="custom" allowBlank="1" showDropDown="1" sqref="AL2:AL11">
      <formula1>OR(NOT(ISERROR(DATEVALUE(AL2))), AND(ISNUMBER(AL2), LEFT(CELL("format", AL2))="D"))</formula1>
    </dataValidation>
    <dataValidation type="custom" allowBlank="1" showDropDown="1" sqref="T2:T11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4" max="24" width="17.71"/>
    <col customWidth="1" min="25" max="25" width="131.29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1989</v>
      </c>
      <c r="B2" s="7" t="s">
        <v>1990</v>
      </c>
      <c r="C2" s="7" t="s">
        <v>1991</v>
      </c>
      <c r="D2" s="7" t="s">
        <v>1992</v>
      </c>
      <c r="E2" s="7" t="s">
        <v>1993</v>
      </c>
      <c r="F2" s="7" t="s">
        <v>1994</v>
      </c>
      <c r="G2" s="7" t="s">
        <v>540</v>
      </c>
      <c r="H2" s="7" t="s">
        <v>39</v>
      </c>
      <c r="I2" s="7" t="s">
        <v>40</v>
      </c>
      <c r="J2" s="7">
        <v>128.51908099441874</v>
      </c>
      <c r="K2" s="7">
        <v>-19.133099686889846</v>
      </c>
      <c r="L2" s="7" t="s">
        <v>41</v>
      </c>
      <c r="M2" s="7" t="s">
        <v>1995</v>
      </c>
      <c r="N2" s="7" t="s">
        <v>1996</v>
      </c>
      <c r="O2" s="7" t="s">
        <v>1996</v>
      </c>
      <c r="P2" s="7"/>
      <c r="Q2" s="7"/>
      <c r="R2" s="7" t="s">
        <v>1997</v>
      </c>
      <c r="S2" s="7" t="s">
        <v>58</v>
      </c>
      <c r="T2" s="8">
        <v>0.0</v>
      </c>
      <c r="U2" s="7" t="s">
        <v>1998</v>
      </c>
      <c r="V2" s="7" t="s">
        <v>1999</v>
      </c>
      <c r="W2" s="7"/>
      <c r="X2" s="9">
        <v>1.0</v>
      </c>
      <c r="Y2" s="7" t="s">
        <v>2000</v>
      </c>
      <c r="Z2" s="7"/>
      <c r="AA2" s="7">
        <f>AB2+AC2+AF2</f>
        <v>200000</v>
      </c>
      <c r="AB2" s="7"/>
      <c r="AC2" s="7">
        <v>200000.0</v>
      </c>
      <c r="AD2" s="7"/>
      <c r="AE2" s="7">
        <f t="shared" ref="AE2:AE6" si="1">AB2+AF2</f>
        <v>0</v>
      </c>
      <c r="AF2" s="7"/>
      <c r="AG2" s="10">
        <f t="shared" ref="AG2:AG6" si="2">AB2+AH2</f>
        <v>0</v>
      </c>
      <c r="AH2" s="10">
        <f t="shared" ref="AH2:AH6" si="3">AI2*AJ2</f>
        <v>0</v>
      </c>
      <c r="AI2" s="7"/>
      <c r="AJ2" s="7">
        <v>0.01139</v>
      </c>
      <c r="AK2" s="7"/>
      <c r="AL2" s="11">
        <v>45727.74986111111</v>
      </c>
    </row>
    <row r="3" ht="12.0" customHeight="1">
      <c r="A3" s="6" t="s">
        <v>2001</v>
      </c>
      <c r="B3" s="7" t="s">
        <v>1047</v>
      </c>
      <c r="C3" s="7" t="s">
        <v>2002</v>
      </c>
      <c r="D3" s="7" t="s">
        <v>2003</v>
      </c>
      <c r="E3" s="7" t="s">
        <v>1993</v>
      </c>
      <c r="F3" s="7" t="s">
        <v>2004</v>
      </c>
      <c r="G3" s="7" t="s">
        <v>540</v>
      </c>
      <c r="H3" s="7" t="s">
        <v>39</v>
      </c>
      <c r="I3" s="7" t="s">
        <v>598</v>
      </c>
      <c r="J3" s="7">
        <v>139.94084584411283</v>
      </c>
      <c r="K3" s="7">
        <v>-35.33590127297221</v>
      </c>
      <c r="L3" s="7" t="s">
        <v>41</v>
      </c>
      <c r="M3" s="7" t="s">
        <v>2005</v>
      </c>
      <c r="N3" s="7" t="s">
        <v>2006</v>
      </c>
      <c r="O3" s="7" t="s">
        <v>2006</v>
      </c>
      <c r="P3" s="7"/>
      <c r="Q3" s="7"/>
      <c r="R3" s="7" t="s">
        <v>2007</v>
      </c>
      <c r="S3" s="7" t="s">
        <v>58</v>
      </c>
      <c r="T3" s="8">
        <v>75700.0</v>
      </c>
      <c r="U3" s="7" t="s">
        <v>2008</v>
      </c>
      <c r="V3" s="7" t="s">
        <v>2009</v>
      </c>
      <c r="W3" s="7"/>
      <c r="X3" s="9">
        <v>1.0</v>
      </c>
      <c r="Y3" s="7" t="s">
        <v>2010</v>
      </c>
      <c r="Z3" s="7"/>
      <c r="AA3" s="7"/>
      <c r="AB3" s="7"/>
      <c r="AC3" s="7"/>
      <c r="AD3" s="7"/>
      <c r="AE3" s="7">
        <f t="shared" si="1"/>
        <v>0</v>
      </c>
      <c r="AF3" s="7"/>
      <c r="AG3" s="10">
        <f t="shared" si="2"/>
        <v>0</v>
      </c>
      <c r="AH3" s="10">
        <f t="shared" si="3"/>
        <v>0</v>
      </c>
      <c r="AI3" s="7"/>
      <c r="AJ3" s="7">
        <v>0.0</v>
      </c>
      <c r="AK3" s="7"/>
      <c r="AL3" s="11">
        <v>45567.70715277777</v>
      </c>
    </row>
    <row r="4" ht="12.0" customHeight="1">
      <c r="A4" s="6" t="s">
        <v>2011</v>
      </c>
      <c r="B4" s="7" t="s">
        <v>2012</v>
      </c>
      <c r="C4" s="7" t="s">
        <v>2013</v>
      </c>
      <c r="D4" s="7" t="s">
        <v>2014</v>
      </c>
      <c r="E4" s="7" t="s">
        <v>1993</v>
      </c>
      <c r="F4" s="7"/>
      <c r="G4" s="7" t="s">
        <v>540</v>
      </c>
      <c r="H4" s="7" t="s">
        <v>39</v>
      </c>
      <c r="I4" s="7" t="s">
        <v>100</v>
      </c>
      <c r="J4" s="7">
        <v>146.760514655296</v>
      </c>
      <c r="K4" s="7">
        <v>-41.46134079896114</v>
      </c>
      <c r="L4" s="7" t="s">
        <v>41</v>
      </c>
      <c r="M4" s="7" t="s">
        <v>41</v>
      </c>
      <c r="N4" s="7" t="s">
        <v>2015</v>
      </c>
      <c r="O4" s="7" t="s">
        <v>2015</v>
      </c>
      <c r="P4" s="7" t="s">
        <v>2016</v>
      </c>
      <c r="Q4" s="7" t="s">
        <v>2016</v>
      </c>
      <c r="R4" s="7" t="s">
        <v>2017</v>
      </c>
      <c r="S4" s="7" t="s">
        <v>58</v>
      </c>
      <c r="T4" s="8">
        <v>85200.0</v>
      </c>
      <c r="U4" s="7" t="s">
        <v>2018</v>
      </c>
      <c r="V4" s="7" t="s">
        <v>2019</v>
      </c>
      <c r="W4" s="7"/>
      <c r="X4" s="7"/>
      <c r="Y4" s="7"/>
      <c r="Z4" s="7"/>
      <c r="AA4" s="7">
        <f t="shared" ref="AA4:AA5" si="4">AB4+AC4+AF4</f>
        <v>534600</v>
      </c>
      <c r="AB4" s="7">
        <v>120600.0</v>
      </c>
      <c r="AC4" s="14"/>
      <c r="AD4" s="7">
        <v>324000.0</v>
      </c>
      <c r="AE4" s="7">
        <f t="shared" si="1"/>
        <v>534600</v>
      </c>
      <c r="AF4" s="7">
        <v>414000.0</v>
      </c>
      <c r="AG4" s="10">
        <f t="shared" si="2"/>
        <v>120600</v>
      </c>
      <c r="AH4" s="10">
        <f t="shared" si="3"/>
        <v>0</v>
      </c>
      <c r="AI4" s="7">
        <v>4186046.0</v>
      </c>
      <c r="AJ4" s="7">
        <v>0.0</v>
      </c>
      <c r="AK4" s="7"/>
      <c r="AL4" s="11">
        <v>45202.23958333333</v>
      </c>
    </row>
    <row r="5" ht="12.0" customHeight="1">
      <c r="A5" s="6" t="s">
        <v>1989</v>
      </c>
      <c r="B5" s="7" t="s">
        <v>2020</v>
      </c>
      <c r="C5" s="7" t="s">
        <v>2021</v>
      </c>
      <c r="D5" s="7" t="s">
        <v>2022</v>
      </c>
      <c r="E5" s="7" t="s">
        <v>2023</v>
      </c>
      <c r="F5" s="7" t="s">
        <v>2024</v>
      </c>
      <c r="G5" s="7" t="s">
        <v>540</v>
      </c>
      <c r="H5" s="7" t="s">
        <v>39</v>
      </c>
      <c r="I5" s="7" t="s">
        <v>1025</v>
      </c>
      <c r="J5" s="7">
        <v>132.0055967185785</v>
      </c>
      <c r="K5" s="7">
        <v>-21.78112853214145</v>
      </c>
      <c r="L5" s="7" t="s">
        <v>41</v>
      </c>
      <c r="M5" s="7" t="s">
        <v>2025</v>
      </c>
      <c r="N5" s="7" t="s">
        <v>1996</v>
      </c>
      <c r="O5" s="7" t="s">
        <v>1996</v>
      </c>
      <c r="P5" s="7"/>
      <c r="Q5" s="7"/>
      <c r="R5" s="7" t="s">
        <v>2026</v>
      </c>
      <c r="S5" s="7" t="s">
        <v>58</v>
      </c>
      <c r="T5" s="8">
        <v>28400.0</v>
      </c>
      <c r="U5" s="7" t="s">
        <v>2027</v>
      </c>
      <c r="V5" s="7" t="s">
        <v>1999</v>
      </c>
      <c r="W5" s="7"/>
      <c r="X5" s="9">
        <v>0.8</v>
      </c>
      <c r="Y5" s="7" t="s">
        <v>2028</v>
      </c>
      <c r="Z5" s="7"/>
      <c r="AA5" s="7">
        <f t="shared" si="4"/>
        <v>150000</v>
      </c>
      <c r="AB5" s="7"/>
      <c r="AC5" s="7">
        <v>150000.0</v>
      </c>
      <c r="AD5" s="7"/>
      <c r="AE5" s="7">
        <f t="shared" si="1"/>
        <v>0</v>
      </c>
      <c r="AF5" s="7"/>
      <c r="AG5" s="10">
        <f t="shared" si="2"/>
        <v>0</v>
      </c>
      <c r="AH5" s="10">
        <f t="shared" si="3"/>
        <v>0</v>
      </c>
      <c r="AI5" s="7"/>
      <c r="AJ5" s="7">
        <v>0.0</v>
      </c>
      <c r="AK5" s="7">
        <v>1.0</v>
      </c>
      <c r="AL5" s="11">
        <v>45566.79760416667</v>
      </c>
    </row>
    <row r="6" ht="12.0" customHeight="1">
      <c r="A6" s="6" t="s">
        <v>2029</v>
      </c>
      <c r="B6" s="7" t="s">
        <v>1247</v>
      </c>
      <c r="C6" s="7" t="s">
        <v>2030</v>
      </c>
      <c r="D6" s="7" t="s">
        <v>2031</v>
      </c>
      <c r="E6" s="7" t="s">
        <v>2032</v>
      </c>
      <c r="F6" s="7" t="s">
        <v>2033</v>
      </c>
      <c r="G6" s="7" t="s">
        <v>540</v>
      </c>
      <c r="H6" s="7" t="s">
        <v>39</v>
      </c>
      <c r="I6" s="7" t="s">
        <v>1025</v>
      </c>
      <c r="J6" s="7">
        <v>132.8595073864859</v>
      </c>
      <c r="K6" s="7">
        <v>-23.402034919336618</v>
      </c>
      <c r="L6" s="7" t="s">
        <v>41</v>
      </c>
      <c r="M6" s="7" t="s">
        <v>2034</v>
      </c>
      <c r="N6" s="7" t="s">
        <v>2035</v>
      </c>
      <c r="O6" s="7" t="s">
        <v>2035</v>
      </c>
      <c r="P6" s="7"/>
      <c r="Q6" s="7"/>
      <c r="R6" s="7" t="s">
        <v>2036</v>
      </c>
      <c r="S6" s="7" t="s">
        <v>58</v>
      </c>
      <c r="T6" s="8">
        <v>200000.0</v>
      </c>
      <c r="U6" s="7" t="s">
        <v>2037</v>
      </c>
      <c r="V6" s="7" t="s">
        <v>2038</v>
      </c>
      <c r="W6" s="7"/>
      <c r="X6" s="9">
        <v>0.5</v>
      </c>
      <c r="Y6" s="7" t="s">
        <v>2039</v>
      </c>
      <c r="Z6" s="7"/>
      <c r="AA6" s="7"/>
      <c r="AB6" s="7">
        <v>67000.0</v>
      </c>
      <c r="AC6" s="7"/>
      <c r="AD6" s="7"/>
      <c r="AE6" s="7">
        <f t="shared" si="1"/>
        <v>297931</v>
      </c>
      <c r="AF6" s="7">
        <v>230931.0</v>
      </c>
      <c r="AG6" s="10">
        <f t="shared" si="2"/>
        <v>1660119.3</v>
      </c>
      <c r="AH6" s="10">
        <f t="shared" si="3"/>
        <v>1593119.3</v>
      </c>
      <c r="AI6" s="7">
        <v>3.49675E7</v>
      </c>
      <c r="AJ6" s="7">
        <v>0.04556</v>
      </c>
      <c r="AK6" s="7"/>
      <c r="AL6" s="11">
        <v>45516.87074074074</v>
      </c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 t="s">
        <v>2439</v>
      </c>
      <c r="AA7" s="43">
        <f>(AA2+AA4+AA5)/3</f>
        <v>294866.6667</v>
      </c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40" t="s">
        <v>2441</v>
      </c>
      <c r="AA8" s="40">
        <v>9.0</v>
      </c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</sheetData>
  <dataValidations>
    <dataValidation type="custom" allowBlank="1" showDropDown="1" sqref="AL2:AL6">
      <formula1>OR(NOT(ISERROR(DATEVALUE(AL2))), AND(ISNUMBER(AL2), LEFT(CELL("format", AL2))="D"))</formula1>
    </dataValidation>
    <dataValidation type="custom" allowBlank="1" showDropDown="1" sqref="T2:T6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5" max="25" width="88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1696</v>
      </c>
      <c r="B2" s="7" t="s">
        <v>1697</v>
      </c>
      <c r="C2" s="7" t="s">
        <v>1698</v>
      </c>
      <c r="D2" s="7" t="s">
        <v>1699</v>
      </c>
      <c r="E2" s="7" t="s">
        <v>1687</v>
      </c>
      <c r="F2" s="7" t="s">
        <v>1700</v>
      </c>
      <c r="G2" s="7" t="s">
        <v>38</v>
      </c>
      <c r="H2" s="7" t="s">
        <v>39</v>
      </c>
      <c r="I2" s="7" t="s">
        <v>1025</v>
      </c>
      <c r="J2" s="7">
        <v>130.73229166669242</v>
      </c>
      <c r="K2" s="7">
        <v>-12.788541666655968</v>
      </c>
      <c r="L2" s="7" t="s">
        <v>41</v>
      </c>
      <c r="M2" s="7" t="s">
        <v>1701</v>
      </c>
      <c r="N2" s="7" t="s">
        <v>1702</v>
      </c>
      <c r="O2" s="7" t="s">
        <v>1702</v>
      </c>
      <c r="P2" s="7"/>
      <c r="Q2" s="7"/>
      <c r="R2" s="7" t="s">
        <v>1703</v>
      </c>
      <c r="S2" s="7" t="s">
        <v>58</v>
      </c>
      <c r="T2" s="8">
        <v>6300.0</v>
      </c>
      <c r="U2" s="7" t="s">
        <v>1704</v>
      </c>
      <c r="V2" s="7" t="s">
        <v>1705</v>
      </c>
      <c r="W2" s="7"/>
      <c r="X2" s="9">
        <v>0.3</v>
      </c>
      <c r="Y2" s="7" t="s">
        <v>1706</v>
      </c>
      <c r="Z2" s="7"/>
      <c r="AA2" s="7">
        <f>AB2+AC2+AF2</f>
        <v>335000</v>
      </c>
      <c r="AB2" s="7">
        <f>500000*0.67</f>
        <v>335000</v>
      </c>
      <c r="AC2" s="7"/>
      <c r="AD2" s="7"/>
      <c r="AE2" s="7">
        <f t="shared" ref="AE2:AE4" si="1">AB2+AF2</f>
        <v>335000</v>
      </c>
      <c r="AF2" s="7">
        <f>AI2*AJ2</f>
        <v>0</v>
      </c>
      <c r="AG2" s="10">
        <f t="shared" ref="AG2:AG4" si="2">AB2+AH2</f>
        <v>335000</v>
      </c>
      <c r="AH2" s="10">
        <f t="shared" ref="AH2:AH4" si="3">AI2*AJ2</f>
        <v>0</v>
      </c>
      <c r="AI2" s="7"/>
      <c r="AJ2" s="7">
        <v>0.02881</v>
      </c>
      <c r="AK2" s="7"/>
      <c r="AL2" s="11">
        <v>45602.69059027778</v>
      </c>
    </row>
    <row r="3" ht="12.0" customHeight="1">
      <c r="A3" s="6" t="s">
        <v>1707</v>
      </c>
      <c r="B3" s="7" t="s">
        <v>869</v>
      </c>
      <c r="C3" s="7" t="s">
        <v>1708</v>
      </c>
      <c r="D3" s="7" t="s">
        <v>1709</v>
      </c>
      <c r="E3" s="7" t="s">
        <v>1687</v>
      </c>
      <c r="F3" s="7"/>
      <c r="G3" s="7" t="s">
        <v>38</v>
      </c>
      <c r="H3" s="7" t="s">
        <v>39</v>
      </c>
      <c r="I3" s="7" t="s">
        <v>40</v>
      </c>
      <c r="J3" s="7">
        <v>121.08842683847878</v>
      </c>
      <c r="K3" s="7">
        <v>-31.13906002321539</v>
      </c>
      <c r="L3" s="7" t="s">
        <v>41</v>
      </c>
      <c r="M3" s="7" t="s">
        <v>1710</v>
      </c>
      <c r="N3" s="7" t="s">
        <v>1711</v>
      </c>
      <c r="O3" s="7" t="s">
        <v>1711</v>
      </c>
      <c r="P3" s="7"/>
      <c r="Q3" s="7"/>
      <c r="R3" s="7" t="s">
        <v>1712</v>
      </c>
      <c r="S3" s="7" t="s">
        <v>58</v>
      </c>
      <c r="T3" s="8">
        <v>0.0</v>
      </c>
      <c r="U3" s="7" t="s">
        <v>1713</v>
      </c>
      <c r="V3" s="7" t="s">
        <v>1714</v>
      </c>
      <c r="W3" s="7"/>
      <c r="X3" s="9">
        <v>1.0</v>
      </c>
      <c r="Y3" s="7" t="s">
        <v>1715</v>
      </c>
      <c r="Z3" s="7"/>
      <c r="AA3" s="7"/>
      <c r="AB3" s="7"/>
      <c r="AC3" s="7"/>
      <c r="AD3" s="7"/>
      <c r="AE3" s="7">
        <f t="shared" si="1"/>
        <v>0</v>
      </c>
      <c r="AF3" s="7"/>
      <c r="AG3" s="10">
        <f t="shared" si="2"/>
        <v>0</v>
      </c>
      <c r="AH3" s="10">
        <f t="shared" si="3"/>
        <v>0</v>
      </c>
      <c r="AI3" s="7"/>
      <c r="AJ3" s="7">
        <v>0.01139</v>
      </c>
      <c r="AK3" s="7">
        <v>2.0</v>
      </c>
      <c r="AL3" s="11">
        <v>45678.68256944444</v>
      </c>
    </row>
    <row r="4" ht="12.0" customHeight="1">
      <c r="A4" s="6" t="s">
        <v>1716</v>
      </c>
      <c r="B4" s="7" t="s">
        <v>246</v>
      </c>
      <c r="C4" s="7" t="s">
        <v>1717</v>
      </c>
      <c r="D4" s="7" t="s">
        <v>1718</v>
      </c>
      <c r="E4" s="7" t="s">
        <v>1687</v>
      </c>
      <c r="F4" s="7"/>
      <c r="G4" s="7" t="s">
        <v>38</v>
      </c>
      <c r="H4" s="7" t="s">
        <v>39</v>
      </c>
      <c r="I4" s="7" t="s">
        <v>40</v>
      </c>
      <c r="J4" s="7">
        <v>119.70913340440475</v>
      </c>
      <c r="K4" s="7">
        <v>-32.161085413736956</v>
      </c>
      <c r="L4" s="7" t="s">
        <v>41</v>
      </c>
      <c r="M4" s="7" t="s">
        <v>1719</v>
      </c>
      <c r="N4" s="7" t="s">
        <v>1720</v>
      </c>
      <c r="O4" s="7" t="s">
        <v>1720</v>
      </c>
      <c r="P4" s="7"/>
      <c r="Q4" s="7"/>
      <c r="R4" s="7" t="s">
        <v>1721</v>
      </c>
      <c r="S4" s="7" t="s">
        <v>58</v>
      </c>
      <c r="T4" s="8">
        <v>0.0</v>
      </c>
      <c r="U4" s="7" t="s">
        <v>1722</v>
      </c>
      <c r="V4" s="7" t="s">
        <v>1723</v>
      </c>
      <c r="W4" s="7"/>
      <c r="X4" s="7"/>
      <c r="Y4" s="7" t="s">
        <v>1724</v>
      </c>
      <c r="Z4" s="7"/>
      <c r="AA4" s="7">
        <f>AB4+AC4+AF4</f>
        <v>5504000</v>
      </c>
      <c r="AB4" s="7">
        <v>804000.0</v>
      </c>
      <c r="AC4" s="7">
        <v>4700000.0</v>
      </c>
      <c r="AD4" s="7"/>
      <c r="AE4" s="7">
        <f t="shared" si="1"/>
        <v>804000</v>
      </c>
      <c r="AF4" s="7"/>
      <c r="AG4" s="10">
        <f t="shared" si="2"/>
        <v>804000</v>
      </c>
      <c r="AH4" s="10">
        <f t="shared" si="3"/>
        <v>0</v>
      </c>
      <c r="AI4" s="7"/>
      <c r="AJ4" s="7">
        <v>0.11725</v>
      </c>
      <c r="AK4" s="7"/>
      <c r="AL4" s="11">
        <v>45635.64059027778</v>
      </c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 t="s">
        <v>2439</v>
      </c>
      <c r="AA5" s="43">
        <f>(AA2+AA4)/2</f>
        <v>2919500</v>
      </c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40" t="s">
        <v>2441</v>
      </c>
      <c r="AA6" s="40">
        <v>2.0</v>
      </c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</sheetData>
  <dataValidations>
    <dataValidation type="custom" allowBlank="1" showDropDown="1" sqref="AL2:AL4">
      <formula1>OR(NOT(ISERROR(DATEVALUE(AL2))), AND(ISNUMBER(AL2), LEFT(CELL("format", AL2))="D"))</formula1>
    </dataValidation>
    <dataValidation type="custom" allowBlank="1" showDropDown="1" sqref="T2:T4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5" max="25" width="108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6" t="s">
        <v>1725</v>
      </c>
      <c r="B2" s="7" t="s">
        <v>1726</v>
      </c>
      <c r="C2" s="7" t="s">
        <v>1727</v>
      </c>
      <c r="D2" s="7" t="s">
        <v>1728</v>
      </c>
      <c r="E2" s="7" t="s">
        <v>1687</v>
      </c>
      <c r="F2" s="7"/>
      <c r="G2" s="7" t="s">
        <v>540</v>
      </c>
      <c r="H2" s="7" t="s">
        <v>39</v>
      </c>
      <c r="I2" s="7" t="s">
        <v>40</v>
      </c>
      <c r="J2" s="7">
        <v>117.16258407215287</v>
      </c>
      <c r="K2" s="7">
        <v>-20.796899522144834</v>
      </c>
      <c r="L2" s="7" t="s">
        <v>41</v>
      </c>
      <c r="M2" s="7" t="s">
        <v>1729</v>
      </c>
      <c r="N2" s="7" t="s">
        <v>1730</v>
      </c>
      <c r="O2" s="7" t="s">
        <v>1730</v>
      </c>
      <c r="P2" s="7"/>
      <c r="Q2" s="7"/>
      <c r="R2" s="7" t="s">
        <v>1731</v>
      </c>
      <c r="S2" s="7" t="s">
        <v>58</v>
      </c>
      <c r="T2" s="8">
        <v>1763.5</v>
      </c>
      <c r="U2" s="7" t="s">
        <v>1732</v>
      </c>
      <c r="V2" s="7" t="s">
        <v>1733</v>
      </c>
      <c r="W2" s="7"/>
      <c r="X2" s="9">
        <v>0.8</v>
      </c>
      <c r="Y2" s="7" t="s">
        <v>1734</v>
      </c>
      <c r="Z2" s="7"/>
      <c r="AA2" s="7"/>
      <c r="AB2" s="7"/>
      <c r="AC2" s="7"/>
      <c r="AD2" s="7"/>
      <c r="AE2" s="7">
        <f t="shared" ref="AE2:AE11" si="1">AB2+AF2</f>
        <v>0</v>
      </c>
      <c r="AF2" s="7"/>
      <c r="AG2" s="7"/>
      <c r="AH2" s="10"/>
      <c r="AI2" s="7"/>
      <c r="AJ2" s="7">
        <v>0.00402</v>
      </c>
      <c r="AK2" s="7"/>
      <c r="AL2" s="11">
        <v>45536.69583333333</v>
      </c>
    </row>
    <row r="3" ht="12.0" customHeight="1">
      <c r="A3" s="6" t="s">
        <v>1735</v>
      </c>
      <c r="B3" s="7" t="s">
        <v>390</v>
      </c>
      <c r="C3" s="7" t="s">
        <v>1736</v>
      </c>
      <c r="D3" s="7" t="s">
        <v>1737</v>
      </c>
      <c r="E3" s="7" t="s">
        <v>1687</v>
      </c>
      <c r="F3" s="7"/>
      <c r="G3" s="7" t="s">
        <v>540</v>
      </c>
      <c r="H3" s="7" t="s">
        <v>39</v>
      </c>
      <c r="I3" s="7" t="s">
        <v>40</v>
      </c>
      <c r="J3" s="7">
        <v>119.52640822960416</v>
      </c>
      <c r="K3" s="7">
        <v>-20.757629042974564</v>
      </c>
      <c r="L3" s="7" t="s">
        <v>41</v>
      </c>
      <c r="M3" s="7" t="s">
        <v>1738</v>
      </c>
      <c r="N3" s="7" t="s">
        <v>1739</v>
      </c>
      <c r="O3" s="7"/>
      <c r="P3" s="7"/>
      <c r="Q3" s="7"/>
      <c r="R3" s="7" t="s">
        <v>1740</v>
      </c>
      <c r="S3" s="7" t="s">
        <v>58</v>
      </c>
      <c r="T3" s="8">
        <v>0.0</v>
      </c>
      <c r="U3" s="7" t="s">
        <v>1741</v>
      </c>
      <c r="V3" s="7" t="s">
        <v>1742</v>
      </c>
      <c r="W3" s="7"/>
      <c r="X3" s="9">
        <v>1.0</v>
      </c>
      <c r="Y3" s="7" t="s">
        <v>1743</v>
      </c>
      <c r="Z3" s="7"/>
      <c r="AA3" s="7">
        <f>AB3+AC3</f>
        <v>770500</v>
      </c>
      <c r="AB3" s="7">
        <f>100000*0.67</f>
        <v>67000</v>
      </c>
      <c r="AC3" s="7">
        <f>1050000*0.67</f>
        <v>703500</v>
      </c>
      <c r="AD3" s="7"/>
      <c r="AE3" s="7">
        <f t="shared" si="1"/>
        <v>67000</v>
      </c>
      <c r="AF3" s="7"/>
      <c r="AG3" s="10">
        <f t="shared" ref="AG3:AG11" si="2">AB3+AH3</f>
        <v>67000</v>
      </c>
      <c r="AH3" s="10">
        <f t="shared" ref="AH3:AH11" si="3">AI3*AJ3</f>
        <v>0</v>
      </c>
      <c r="AI3" s="7"/>
      <c r="AJ3" s="7">
        <v>0.0</v>
      </c>
      <c r="AK3" s="7"/>
      <c r="AL3" s="11">
        <v>45571.76696759259</v>
      </c>
    </row>
    <row r="4" ht="12.0" customHeight="1">
      <c r="A4" s="6" t="s">
        <v>1744</v>
      </c>
      <c r="B4" s="7" t="s">
        <v>1745</v>
      </c>
      <c r="C4" s="7" t="s">
        <v>1746</v>
      </c>
      <c r="D4" s="7" t="s">
        <v>1747</v>
      </c>
      <c r="E4" s="7" t="s">
        <v>1687</v>
      </c>
      <c r="F4" s="7"/>
      <c r="G4" s="7" t="s">
        <v>540</v>
      </c>
      <c r="H4" s="7" t="s">
        <v>39</v>
      </c>
      <c r="I4" s="7" t="s">
        <v>598</v>
      </c>
      <c r="J4" s="7">
        <v>138.02879157335434</v>
      </c>
      <c r="K4" s="7">
        <v>-35.77498973776134</v>
      </c>
      <c r="L4" s="7" t="s">
        <v>41</v>
      </c>
      <c r="M4" s="7" t="s">
        <v>1748</v>
      </c>
      <c r="N4" s="7" t="s">
        <v>1749</v>
      </c>
      <c r="O4" s="7" t="s">
        <v>1749</v>
      </c>
      <c r="P4" s="7"/>
      <c r="Q4" s="7"/>
      <c r="R4" s="7" t="s">
        <v>1750</v>
      </c>
      <c r="S4" s="7" t="s">
        <v>58</v>
      </c>
      <c r="T4" s="8">
        <v>0.0</v>
      </c>
      <c r="U4" s="7" t="s">
        <v>1751</v>
      </c>
      <c r="V4" s="7" t="s">
        <v>1752</v>
      </c>
      <c r="W4" s="7"/>
      <c r="X4" s="9">
        <v>0.9</v>
      </c>
      <c r="Y4" s="7" t="s">
        <v>1753</v>
      </c>
      <c r="Z4" s="7"/>
      <c r="AA4" s="7">
        <f>AB4+AC4+AF4</f>
        <v>1460000</v>
      </c>
      <c r="AB4" s="7">
        <v>200000.0</v>
      </c>
      <c r="AC4" s="7">
        <v>980000.0</v>
      </c>
      <c r="AD4" s="7"/>
      <c r="AE4" s="7">
        <f t="shared" si="1"/>
        <v>480000</v>
      </c>
      <c r="AF4" s="7">
        <v>280000.0</v>
      </c>
      <c r="AG4" s="10">
        <f t="shared" si="2"/>
        <v>200000</v>
      </c>
      <c r="AH4" s="10">
        <f t="shared" si="3"/>
        <v>0</v>
      </c>
      <c r="AI4" s="7"/>
      <c r="AJ4" s="7">
        <v>0.0</v>
      </c>
      <c r="AK4" s="7">
        <v>2.0</v>
      </c>
      <c r="AL4" s="11">
        <v>45578.717928240745</v>
      </c>
    </row>
    <row r="5" ht="12.0" customHeight="1">
      <c r="A5" s="6" t="s">
        <v>1754</v>
      </c>
      <c r="B5" s="7" t="s">
        <v>1755</v>
      </c>
      <c r="C5" s="7" t="s">
        <v>1756</v>
      </c>
      <c r="D5" s="7" t="s">
        <v>1757</v>
      </c>
      <c r="E5" s="7" t="s">
        <v>1687</v>
      </c>
      <c r="F5" s="7"/>
      <c r="G5" s="7" t="s">
        <v>540</v>
      </c>
      <c r="H5" s="7" t="s">
        <v>39</v>
      </c>
      <c r="I5" s="7" t="s">
        <v>40</v>
      </c>
      <c r="J5" s="7">
        <v>117.73587078881343</v>
      </c>
      <c r="K5" s="7">
        <v>-29.15692786245303</v>
      </c>
      <c r="L5" s="7" t="s">
        <v>41</v>
      </c>
      <c r="M5" s="7" t="s">
        <v>1758</v>
      </c>
      <c r="N5" s="7" t="s">
        <v>1759</v>
      </c>
      <c r="O5" s="7" t="s">
        <v>1759</v>
      </c>
      <c r="P5" s="7"/>
      <c r="Q5" s="7"/>
      <c r="R5" s="7" t="s">
        <v>1760</v>
      </c>
      <c r="S5" s="7" t="s">
        <v>561</v>
      </c>
      <c r="T5" s="8">
        <v>0.0</v>
      </c>
      <c r="U5" s="7" t="s">
        <v>1761</v>
      </c>
      <c r="V5" s="7" t="s">
        <v>1762</v>
      </c>
      <c r="W5" s="7"/>
      <c r="X5" s="7"/>
      <c r="Y5" s="7"/>
      <c r="Z5" s="7"/>
      <c r="AA5" s="7"/>
      <c r="AB5" s="7"/>
      <c r="AC5" s="7"/>
      <c r="AD5" s="7"/>
      <c r="AE5" s="7">
        <f t="shared" si="1"/>
        <v>0</v>
      </c>
      <c r="AF5" s="7"/>
      <c r="AG5" s="10">
        <f t="shared" si="2"/>
        <v>0</v>
      </c>
      <c r="AH5" s="10">
        <f t="shared" si="3"/>
        <v>0</v>
      </c>
      <c r="AI5" s="7"/>
      <c r="AJ5" s="7">
        <v>0.0</v>
      </c>
      <c r="AK5" s="7"/>
      <c r="AL5" s="11">
        <v>45574.682870370365</v>
      </c>
    </row>
    <row r="6" ht="12.0" customHeight="1">
      <c r="A6" s="6" t="s">
        <v>1763</v>
      </c>
      <c r="B6" s="7" t="s">
        <v>1418</v>
      </c>
      <c r="C6" s="7" t="s">
        <v>1764</v>
      </c>
      <c r="D6" s="7" t="s">
        <v>1765</v>
      </c>
      <c r="E6" s="7" t="s">
        <v>1687</v>
      </c>
      <c r="F6" s="7"/>
      <c r="G6" s="7" t="s">
        <v>540</v>
      </c>
      <c r="H6" s="7" t="s">
        <v>39</v>
      </c>
      <c r="I6" s="7" t="s">
        <v>40</v>
      </c>
      <c r="J6" s="7">
        <v>119.09880951019976</v>
      </c>
      <c r="K6" s="7">
        <v>-20.671031890525118</v>
      </c>
      <c r="L6" s="7" t="s">
        <v>41</v>
      </c>
      <c r="M6" s="7" t="s">
        <v>1766</v>
      </c>
      <c r="N6" s="7" t="s">
        <v>1767</v>
      </c>
      <c r="O6" s="7" t="s">
        <v>1767</v>
      </c>
      <c r="P6" s="7"/>
      <c r="Q6" s="7"/>
      <c r="R6" s="7" t="s">
        <v>1768</v>
      </c>
      <c r="S6" s="7" t="s">
        <v>58</v>
      </c>
      <c r="T6" s="8">
        <v>6750.0</v>
      </c>
      <c r="U6" s="7" t="s">
        <v>1769</v>
      </c>
      <c r="V6" s="7" t="s">
        <v>1770</v>
      </c>
      <c r="W6" s="7"/>
      <c r="X6" s="9">
        <v>1.0</v>
      </c>
      <c r="Y6" s="7" t="s">
        <v>1771</v>
      </c>
      <c r="Z6" s="7"/>
      <c r="AA6" s="7"/>
      <c r="AB6" s="7"/>
      <c r="AC6" s="7"/>
      <c r="AD6" s="7"/>
      <c r="AE6" s="7">
        <f t="shared" si="1"/>
        <v>0</v>
      </c>
      <c r="AF6" s="7"/>
      <c r="AG6" s="10">
        <f t="shared" si="2"/>
        <v>0</v>
      </c>
      <c r="AH6" s="10">
        <f t="shared" si="3"/>
        <v>0</v>
      </c>
      <c r="AI6" s="7"/>
      <c r="AJ6" s="7">
        <v>0.07705000000000001</v>
      </c>
      <c r="AK6" s="7"/>
      <c r="AL6" s="11">
        <v>45484.71680555555</v>
      </c>
    </row>
    <row r="7" ht="12.0" customHeight="1">
      <c r="A7" s="6" t="s">
        <v>276</v>
      </c>
      <c r="B7" s="7" t="s">
        <v>140</v>
      </c>
      <c r="C7" s="7" t="s">
        <v>1772</v>
      </c>
      <c r="D7" s="7" t="s">
        <v>1773</v>
      </c>
      <c r="E7" s="7" t="s">
        <v>1687</v>
      </c>
      <c r="F7" s="7" t="s">
        <v>1774</v>
      </c>
      <c r="G7" s="7" t="s">
        <v>540</v>
      </c>
      <c r="H7" s="7" t="s">
        <v>39</v>
      </c>
      <c r="I7" s="7" t="s">
        <v>40</v>
      </c>
      <c r="J7" s="7">
        <v>119.87917658307919</v>
      </c>
      <c r="K7" s="7">
        <v>-33.63748631107078</v>
      </c>
      <c r="L7" s="7" t="s">
        <v>41</v>
      </c>
      <c r="M7" s="7" t="s">
        <v>1775</v>
      </c>
      <c r="N7" s="7" t="s">
        <v>282</v>
      </c>
      <c r="O7" s="7" t="s">
        <v>282</v>
      </c>
      <c r="P7" s="7"/>
      <c r="Q7" s="7"/>
      <c r="R7" s="7" t="s">
        <v>1776</v>
      </c>
      <c r="S7" s="7" t="s">
        <v>58</v>
      </c>
      <c r="T7" s="8">
        <v>13000.0</v>
      </c>
      <c r="U7" s="7" t="s">
        <v>1777</v>
      </c>
      <c r="V7" s="7" t="s">
        <v>285</v>
      </c>
      <c r="W7" s="7"/>
      <c r="X7" s="9">
        <v>1.0</v>
      </c>
      <c r="Y7" s="7" t="s">
        <v>1778</v>
      </c>
      <c r="Z7" s="7"/>
      <c r="AA7" s="7">
        <f t="shared" ref="AA7:AA8" si="4">AB7+AC7+AF7</f>
        <v>385920</v>
      </c>
      <c r="AB7" s="7">
        <f>576000*0.67</f>
        <v>385920</v>
      </c>
      <c r="AC7" s="7"/>
      <c r="AD7" s="7"/>
      <c r="AE7" s="7">
        <f t="shared" si="1"/>
        <v>385920</v>
      </c>
      <c r="AF7" s="7"/>
      <c r="AG7" s="10">
        <f t="shared" si="2"/>
        <v>385920</v>
      </c>
      <c r="AH7" s="10">
        <f t="shared" si="3"/>
        <v>0</v>
      </c>
      <c r="AI7" s="7"/>
      <c r="AJ7" s="7">
        <v>0.04154</v>
      </c>
      <c r="AK7" s="7"/>
      <c r="AL7" s="11">
        <v>45138.08498842592</v>
      </c>
    </row>
    <row r="8" ht="12.0" customHeight="1">
      <c r="A8" s="6" t="s">
        <v>1779</v>
      </c>
      <c r="B8" s="7" t="s">
        <v>1780</v>
      </c>
      <c r="C8" s="7" t="s">
        <v>1781</v>
      </c>
      <c r="D8" s="7" t="s">
        <v>1782</v>
      </c>
      <c r="E8" s="7" t="s">
        <v>1687</v>
      </c>
      <c r="F8" s="7" t="s">
        <v>1783</v>
      </c>
      <c r="G8" s="7" t="s">
        <v>540</v>
      </c>
      <c r="H8" s="7" t="s">
        <v>39</v>
      </c>
      <c r="I8" s="7" t="s">
        <v>40</v>
      </c>
      <c r="J8" s="7">
        <v>119.62904038986451</v>
      </c>
      <c r="K8" s="7">
        <v>-31.770456078330604</v>
      </c>
      <c r="L8" s="7" t="s">
        <v>41</v>
      </c>
      <c r="M8" s="7" t="s">
        <v>1784</v>
      </c>
      <c r="N8" s="7" t="s">
        <v>1785</v>
      </c>
      <c r="O8" s="7" t="s">
        <v>1785</v>
      </c>
      <c r="P8" s="7"/>
      <c r="Q8" s="7"/>
      <c r="R8" s="7" t="s">
        <v>1786</v>
      </c>
      <c r="S8" s="7" t="s">
        <v>58</v>
      </c>
      <c r="T8" s="8">
        <v>19700.0</v>
      </c>
      <c r="U8" s="7" t="s">
        <v>1787</v>
      </c>
      <c r="V8" s="7" t="s">
        <v>1788</v>
      </c>
      <c r="W8" s="7"/>
      <c r="X8" s="9">
        <v>1.0</v>
      </c>
      <c r="Y8" s="7" t="s">
        <v>1789</v>
      </c>
      <c r="Z8" s="7"/>
      <c r="AA8" s="7">
        <f t="shared" si="4"/>
        <v>670000</v>
      </c>
      <c r="AB8" s="7">
        <v>670000.0</v>
      </c>
      <c r="AC8" s="7"/>
      <c r="AD8" s="7"/>
      <c r="AE8" s="7">
        <f t="shared" si="1"/>
        <v>670000</v>
      </c>
      <c r="AF8" s="7"/>
      <c r="AG8" s="10">
        <f t="shared" si="2"/>
        <v>670000</v>
      </c>
      <c r="AH8" s="10">
        <f t="shared" si="3"/>
        <v>0</v>
      </c>
      <c r="AI8" s="7"/>
      <c r="AJ8" s="7">
        <v>0.04757</v>
      </c>
      <c r="AK8" s="7"/>
      <c r="AL8" s="11">
        <v>45706.68377314815</v>
      </c>
    </row>
    <row r="9" ht="12.0" customHeight="1">
      <c r="A9" s="6" t="s">
        <v>1790</v>
      </c>
      <c r="B9" s="7" t="s">
        <v>1047</v>
      </c>
      <c r="C9" s="7" t="s">
        <v>1791</v>
      </c>
      <c r="D9" s="7" t="s">
        <v>1792</v>
      </c>
      <c r="E9" s="7" t="s">
        <v>1687</v>
      </c>
      <c r="F9" s="7"/>
      <c r="G9" s="7" t="s">
        <v>540</v>
      </c>
      <c r="H9" s="7" t="s">
        <v>39</v>
      </c>
      <c r="I9" s="7" t="s">
        <v>40</v>
      </c>
      <c r="J9" s="7">
        <v>119.17542077600714</v>
      </c>
      <c r="K9" s="7">
        <v>-21.604701719742383</v>
      </c>
      <c r="L9" s="7" t="s">
        <v>41</v>
      </c>
      <c r="M9" s="7" t="s">
        <v>1793</v>
      </c>
      <c r="N9" s="7" t="s">
        <v>1794</v>
      </c>
      <c r="O9" s="7" t="s">
        <v>1794</v>
      </c>
      <c r="P9" s="7"/>
      <c r="Q9" s="7"/>
      <c r="R9" s="7" t="s">
        <v>1795</v>
      </c>
      <c r="S9" s="7" t="s">
        <v>58</v>
      </c>
      <c r="T9" s="8">
        <v>0.0</v>
      </c>
      <c r="U9" s="7" t="s">
        <v>1796</v>
      </c>
      <c r="V9" s="7" t="s">
        <v>1797</v>
      </c>
      <c r="W9" s="7"/>
      <c r="X9" s="9">
        <v>1.0</v>
      </c>
      <c r="Y9" s="7" t="s">
        <v>1798</v>
      </c>
      <c r="Z9" s="7"/>
      <c r="AA9" s="7"/>
      <c r="AB9" s="7">
        <v>0.0</v>
      </c>
      <c r="AC9" s="7"/>
      <c r="AD9" s="7"/>
      <c r="AE9" s="7">
        <f t="shared" si="1"/>
        <v>0</v>
      </c>
      <c r="AF9" s="7"/>
      <c r="AG9" s="10">
        <f t="shared" si="2"/>
        <v>0</v>
      </c>
      <c r="AH9" s="10">
        <f t="shared" si="3"/>
        <v>0</v>
      </c>
      <c r="AI9" s="7"/>
      <c r="AJ9" s="7">
        <v>0.01541</v>
      </c>
      <c r="AK9" s="7"/>
      <c r="AL9" s="11">
        <v>45635.670682870375</v>
      </c>
    </row>
    <row r="10" ht="12.0" customHeight="1">
      <c r="A10" s="6" t="s">
        <v>1799</v>
      </c>
      <c r="B10" s="7" t="s">
        <v>1780</v>
      </c>
      <c r="C10" s="7" t="s">
        <v>1800</v>
      </c>
      <c r="D10" s="7" t="s">
        <v>1801</v>
      </c>
      <c r="E10" s="7" t="s">
        <v>1802</v>
      </c>
      <c r="F10" s="7"/>
      <c r="G10" s="7" t="s">
        <v>540</v>
      </c>
      <c r="H10" s="7" t="s">
        <v>39</v>
      </c>
      <c r="I10" s="7" t="s">
        <v>68</v>
      </c>
      <c r="J10" s="7">
        <v>141.58735954991286</v>
      </c>
      <c r="K10" s="7">
        <v>-31.501779023835702</v>
      </c>
      <c r="L10" s="7" t="s">
        <v>41</v>
      </c>
      <c r="M10" s="7" t="s">
        <v>1803</v>
      </c>
      <c r="N10" s="7" t="s">
        <v>1804</v>
      </c>
      <c r="O10" s="7" t="s">
        <v>1804</v>
      </c>
      <c r="P10" s="7"/>
      <c r="Q10" s="7"/>
      <c r="R10" s="7" t="s">
        <v>1805</v>
      </c>
      <c r="S10" s="7" t="s">
        <v>1806</v>
      </c>
      <c r="T10" s="8">
        <v>26000.0</v>
      </c>
      <c r="U10" s="7" t="s">
        <v>1807</v>
      </c>
      <c r="V10" s="7" t="s">
        <v>1808</v>
      </c>
      <c r="W10" s="7"/>
      <c r="X10" s="9">
        <v>0.9</v>
      </c>
      <c r="Y10" s="7" t="s">
        <v>1809</v>
      </c>
      <c r="Z10" s="7"/>
      <c r="AA10" s="7"/>
      <c r="AB10" s="7">
        <v>0.0</v>
      </c>
      <c r="AC10" s="7"/>
      <c r="AD10" s="7"/>
      <c r="AE10" s="7">
        <f t="shared" si="1"/>
        <v>0</v>
      </c>
      <c r="AF10" s="7"/>
      <c r="AG10" s="10">
        <f t="shared" si="2"/>
        <v>0</v>
      </c>
      <c r="AH10" s="10">
        <f t="shared" si="3"/>
        <v>0</v>
      </c>
      <c r="AI10" s="7"/>
      <c r="AJ10" s="7">
        <v>0.036180000000000004</v>
      </c>
      <c r="AK10" s="7"/>
      <c r="AL10" s="11">
        <v>45245.749826388885</v>
      </c>
    </row>
    <row r="11" ht="12.0" customHeight="1">
      <c r="A11" s="6" t="s">
        <v>1810</v>
      </c>
      <c r="B11" s="7" t="s">
        <v>1811</v>
      </c>
      <c r="C11" s="7" t="s">
        <v>1812</v>
      </c>
      <c r="D11" s="7" t="s">
        <v>1813</v>
      </c>
      <c r="E11" s="7" t="s">
        <v>1814</v>
      </c>
      <c r="F11" s="7" t="s">
        <v>1815</v>
      </c>
      <c r="G11" s="7" t="s">
        <v>540</v>
      </c>
      <c r="H11" s="7" t="s">
        <v>39</v>
      </c>
      <c r="I11" s="7" t="s">
        <v>40</v>
      </c>
      <c r="J11" s="7">
        <v>119.89412128953694</v>
      </c>
      <c r="K11" s="7">
        <v>-21.222726474107418</v>
      </c>
      <c r="L11" s="7" t="s">
        <v>41</v>
      </c>
      <c r="M11" s="7" t="s">
        <v>1816</v>
      </c>
      <c r="N11" s="7" t="s">
        <v>1739</v>
      </c>
      <c r="O11" s="7" t="s">
        <v>1739</v>
      </c>
      <c r="P11" s="7"/>
      <c r="Q11" s="7"/>
      <c r="R11" s="7" t="s">
        <v>1817</v>
      </c>
      <c r="S11" s="7" t="s">
        <v>58</v>
      </c>
      <c r="T11" s="8">
        <v>1900.0</v>
      </c>
      <c r="U11" s="7" t="s">
        <v>1818</v>
      </c>
      <c r="V11" s="7" t="s">
        <v>1819</v>
      </c>
      <c r="W11" s="7"/>
      <c r="X11" s="9">
        <v>1.0</v>
      </c>
      <c r="Y11" s="7" t="s">
        <v>1820</v>
      </c>
      <c r="Z11" s="7"/>
      <c r="AA11" s="7">
        <f>AB11+AC11+AF11</f>
        <v>154000</v>
      </c>
      <c r="AB11" s="7">
        <v>20000.0</v>
      </c>
      <c r="AC11" s="7"/>
      <c r="AD11" s="7">
        <v>230000.0</v>
      </c>
      <c r="AE11" s="7">
        <f t="shared" si="1"/>
        <v>154000</v>
      </c>
      <c r="AF11" s="7">
        <v>134000.0</v>
      </c>
      <c r="AG11" s="10">
        <f t="shared" si="2"/>
        <v>20000</v>
      </c>
      <c r="AH11" s="10">
        <f t="shared" si="3"/>
        <v>0</v>
      </c>
      <c r="AI11" s="7"/>
      <c r="AJ11" s="7">
        <v>0.0603</v>
      </c>
      <c r="AK11" s="7"/>
      <c r="AL11" s="11">
        <v>45733.73670138889</v>
      </c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 t="s">
        <v>2439</v>
      </c>
      <c r="AA12" s="43">
        <f>(AA3+AA4+AA7+AA8+AA11)/5</f>
        <v>688084</v>
      </c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 t="s">
        <v>2441</v>
      </c>
      <c r="AA13" s="40">
        <v>5.0</v>
      </c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</sheetData>
  <dataValidations>
    <dataValidation type="custom" allowBlank="1" showDropDown="1" sqref="AL2:AL11">
      <formula1>OR(NOT(ISERROR(DATEVALUE(AL2))), AND(ISNUMBER(AL2), LEFT(CELL("format", AL2))="D"))</formula1>
    </dataValidation>
    <dataValidation type="custom" allowBlank="1" showDropDown="1" sqref="T2:T11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1" max="21" width="36.86"/>
    <col customWidth="1" min="22" max="22" width="42.43"/>
    <col customWidth="1" min="25" max="25" width="121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2" t="s">
        <v>24</v>
      </c>
      <c r="AE1" s="3" t="s">
        <v>25</v>
      </c>
      <c r="AF1" s="1" t="s">
        <v>26</v>
      </c>
      <c r="AG1" s="4" t="s">
        <v>27</v>
      </c>
      <c r="AH1" s="5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>
      <c r="A2" s="44" t="s">
        <v>1368</v>
      </c>
      <c r="B2" s="45" t="s">
        <v>1369</v>
      </c>
      <c r="C2" s="45" t="s">
        <v>1370</v>
      </c>
      <c r="D2" s="45" t="s">
        <v>1371</v>
      </c>
      <c r="E2" s="45" t="s">
        <v>1330</v>
      </c>
      <c r="F2" s="45" t="s">
        <v>1372</v>
      </c>
      <c r="G2" s="45" t="s">
        <v>540</v>
      </c>
      <c r="H2" s="45" t="s">
        <v>39</v>
      </c>
      <c r="I2" s="45" t="s">
        <v>68</v>
      </c>
      <c r="J2" s="46">
        <v>146.13063884188918</v>
      </c>
      <c r="K2" s="46">
        <v>-30.67566901029383</v>
      </c>
      <c r="L2" s="45" t="s">
        <v>41</v>
      </c>
      <c r="M2" s="45" t="s">
        <v>1373</v>
      </c>
      <c r="N2" s="45" t="s">
        <v>1374</v>
      </c>
      <c r="O2" s="45" t="s">
        <v>1374</v>
      </c>
      <c r="P2" s="45"/>
      <c r="Q2" s="45"/>
      <c r="R2" s="45" t="s">
        <v>1375</v>
      </c>
      <c r="S2" s="45" t="s">
        <v>58</v>
      </c>
      <c r="T2" s="47">
        <v>193200.0</v>
      </c>
      <c r="U2" s="45" t="s">
        <v>1376</v>
      </c>
      <c r="V2" s="45" t="s">
        <v>1377</v>
      </c>
      <c r="W2" s="45"/>
      <c r="X2" s="48">
        <v>0.75</v>
      </c>
      <c r="Y2" s="45" t="s">
        <v>1378</v>
      </c>
      <c r="Z2" s="45"/>
      <c r="AA2" s="46">
        <f t="shared" ref="AA2:AA3" si="1">AB2+AC2+AF2</f>
        <v>4163500</v>
      </c>
      <c r="AB2" s="46">
        <v>16500.0</v>
      </c>
      <c r="AC2" s="46">
        <v>3745000.0</v>
      </c>
      <c r="AD2" s="46">
        <v>125000.0</v>
      </c>
      <c r="AE2" s="46">
        <f t="shared" ref="AE2:AE19" si="2">AB2+AF2</f>
        <v>418500</v>
      </c>
      <c r="AF2" s="46">
        <f>600000*0.67</f>
        <v>402000</v>
      </c>
      <c r="AG2" s="49">
        <f t="shared" ref="AG2:AG19" si="3">AB2+AH2</f>
        <v>16500</v>
      </c>
      <c r="AH2" s="49">
        <f t="shared" ref="AH2:AH19" si="4">AI2*AJ2</f>
        <v>0</v>
      </c>
      <c r="AI2" s="45"/>
      <c r="AJ2" s="46">
        <v>0.0134</v>
      </c>
      <c r="AK2" s="46">
        <v>1.5</v>
      </c>
      <c r="AL2" s="50">
        <v>45698.665347222224</v>
      </c>
    </row>
    <row r="3">
      <c r="A3" s="51" t="s">
        <v>1379</v>
      </c>
      <c r="B3" s="52" t="s">
        <v>1380</v>
      </c>
      <c r="C3" s="52" t="s">
        <v>1381</v>
      </c>
      <c r="D3" s="52" t="s">
        <v>1382</v>
      </c>
      <c r="E3" s="52" t="s">
        <v>1330</v>
      </c>
      <c r="F3" s="52" t="s">
        <v>1383</v>
      </c>
      <c r="G3" s="52" t="s">
        <v>540</v>
      </c>
      <c r="H3" s="52" t="s">
        <v>39</v>
      </c>
      <c r="I3" s="52" t="s">
        <v>40</v>
      </c>
      <c r="J3" s="53">
        <v>122.74949592076199</v>
      </c>
      <c r="K3" s="53">
        <v>-32.9216191414795</v>
      </c>
      <c r="L3" s="52" t="s">
        <v>41</v>
      </c>
      <c r="M3" s="52" t="s">
        <v>1384</v>
      </c>
      <c r="N3" s="52" t="s">
        <v>744</v>
      </c>
      <c r="O3" s="52" t="s">
        <v>1385</v>
      </c>
      <c r="P3" s="52"/>
      <c r="Q3" s="52"/>
      <c r="R3" s="52" t="s">
        <v>1386</v>
      </c>
      <c r="S3" s="52" t="s">
        <v>58</v>
      </c>
      <c r="T3" s="54">
        <v>36000.0</v>
      </c>
      <c r="U3" s="52" t="s">
        <v>1387</v>
      </c>
      <c r="V3" s="52" t="s">
        <v>1388</v>
      </c>
      <c r="W3" s="52"/>
      <c r="X3" s="55">
        <v>0.5</v>
      </c>
      <c r="Y3" s="52" t="s">
        <v>1389</v>
      </c>
      <c r="Z3" s="52"/>
      <c r="AA3" s="53">
        <f t="shared" si="1"/>
        <v>685000</v>
      </c>
      <c r="AB3" s="53">
        <v>335000.0</v>
      </c>
      <c r="AC3" s="53">
        <v>350000.0</v>
      </c>
      <c r="AD3" s="52"/>
      <c r="AE3" s="53">
        <f t="shared" si="2"/>
        <v>335000</v>
      </c>
      <c r="AF3" s="52"/>
      <c r="AG3" s="56">
        <f t="shared" si="3"/>
        <v>335000</v>
      </c>
      <c r="AH3" s="56">
        <f t="shared" si="4"/>
        <v>0</v>
      </c>
      <c r="AI3" s="52"/>
      <c r="AJ3" s="53">
        <v>0.00737</v>
      </c>
      <c r="AK3" s="53">
        <v>0.5</v>
      </c>
      <c r="AL3" s="57">
        <v>45741.726493055554</v>
      </c>
    </row>
    <row r="4">
      <c r="A4" s="44" t="s">
        <v>1166</v>
      </c>
      <c r="B4" s="45" t="s">
        <v>1390</v>
      </c>
      <c r="C4" s="45" t="s">
        <v>1168</v>
      </c>
      <c r="D4" s="45" t="s">
        <v>1391</v>
      </c>
      <c r="E4" s="45" t="s">
        <v>1330</v>
      </c>
      <c r="F4" s="45"/>
      <c r="G4" s="45" t="s">
        <v>540</v>
      </c>
      <c r="H4" s="45" t="s">
        <v>39</v>
      </c>
      <c r="I4" s="45" t="s">
        <v>68</v>
      </c>
      <c r="J4" s="46">
        <v>148.3073643153934</v>
      </c>
      <c r="K4" s="46">
        <v>-34.412020845371124</v>
      </c>
      <c r="L4" s="45" t="s">
        <v>41</v>
      </c>
      <c r="M4" s="45" t="s">
        <v>1392</v>
      </c>
      <c r="N4" s="45" t="s">
        <v>1172</v>
      </c>
      <c r="O4" s="45" t="s">
        <v>1172</v>
      </c>
      <c r="P4" s="45"/>
      <c r="Q4" s="45"/>
      <c r="R4" s="45" t="s">
        <v>1393</v>
      </c>
      <c r="S4" s="45" t="s">
        <v>58</v>
      </c>
      <c r="T4" s="47">
        <v>0.0</v>
      </c>
      <c r="U4" s="45" t="s">
        <v>1394</v>
      </c>
      <c r="V4" s="45" t="s">
        <v>1175</v>
      </c>
      <c r="W4" s="45"/>
      <c r="X4" s="48">
        <v>1.0</v>
      </c>
      <c r="Y4" s="45" t="s">
        <v>1395</v>
      </c>
      <c r="Z4" s="45"/>
      <c r="AA4" s="45"/>
      <c r="AB4" s="45"/>
      <c r="AC4" s="45"/>
      <c r="AD4" s="45"/>
      <c r="AE4" s="46">
        <f t="shared" si="2"/>
        <v>0</v>
      </c>
      <c r="AF4" s="45"/>
      <c r="AG4" s="49">
        <f t="shared" si="3"/>
        <v>0</v>
      </c>
      <c r="AH4" s="49">
        <f t="shared" si="4"/>
        <v>0</v>
      </c>
      <c r="AI4" s="45"/>
      <c r="AJ4" s="46">
        <v>0.00603</v>
      </c>
      <c r="AK4" s="45"/>
      <c r="AL4" s="50">
        <v>45600.74582175926</v>
      </c>
    </row>
    <row r="5">
      <c r="A5" s="51" t="s">
        <v>1396</v>
      </c>
      <c r="B5" s="52" t="s">
        <v>1397</v>
      </c>
      <c r="C5" s="52" t="s">
        <v>1398</v>
      </c>
      <c r="D5" s="52" t="s">
        <v>1399</v>
      </c>
      <c r="E5" s="52" t="s">
        <v>1330</v>
      </c>
      <c r="F5" s="52" t="s">
        <v>1400</v>
      </c>
      <c r="G5" s="52" t="s">
        <v>540</v>
      </c>
      <c r="H5" s="52" t="s">
        <v>39</v>
      </c>
      <c r="I5" s="52" t="s">
        <v>68</v>
      </c>
      <c r="J5" s="53">
        <v>149.5698487853706</v>
      </c>
      <c r="K5" s="53">
        <v>-32.78602055753351</v>
      </c>
      <c r="L5" s="52" t="s">
        <v>41</v>
      </c>
      <c r="M5" s="52" t="s">
        <v>1401</v>
      </c>
      <c r="N5" s="52" t="s">
        <v>1402</v>
      </c>
      <c r="O5" s="52" t="s">
        <v>1402</v>
      </c>
      <c r="P5" s="52"/>
      <c r="Q5" s="52"/>
      <c r="R5" s="52" t="s">
        <v>1403</v>
      </c>
      <c r="S5" s="52" t="s">
        <v>58</v>
      </c>
      <c r="T5" s="54">
        <v>46100.0</v>
      </c>
      <c r="U5" s="52" t="s">
        <v>1404</v>
      </c>
      <c r="V5" s="52" t="s">
        <v>1405</v>
      </c>
      <c r="W5" s="52"/>
      <c r="X5" s="55">
        <v>0.8</v>
      </c>
      <c r="Y5" s="52" t="s">
        <v>1406</v>
      </c>
      <c r="Z5" s="52"/>
      <c r="AA5" s="53">
        <f t="shared" ref="AA5:AA6" si="5">AB5+AC5+AF5</f>
        <v>321000</v>
      </c>
      <c r="AB5" s="53">
        <v>120000.0</v>
      </c>
      <c r="AC5" s="53">
        <v>201000.0</v>
      </c>
      <c r="AD5" s="52"/>
      <c r="AE5" s="53">
        <f t="shared" si="2"/>
        <v>120000</v>
      </c>
      <c r="AF5" s="52"/>
      <c r="AG5" s="56">
        <f t="shared" si="3"/>
        <v>120000</v>
      </c>
      <c r="AH5" s="56">
        <f t="shared" si="4"/>
        <v>0</v>
      </c>
      <c r="AI5" s="52"/>
      <c r="AJ5" s="53">
        <v>0.01206</v>
      </c>
      <c r="AK5" s="52"/>
      <c r="AL5" s="57">
        <v>45484.68324074074</v>
      </c>
    </row>
    <row r="6">
      <c r="A6" s="44" t="s">
        <v>1407</v>
      </c>
      <c r="B6" s="45" t="s">
        <v>1408</v>
      </c>
      <c r="C6" s="45" t="s">
        <v>1409</v>
      </c>
      <c r="D6" s="45" t="s">
        <v>1410</v>
      </c>
      <c r="E6" s="45" t="s">
        <v>1330</v>
      </c>
      <c r="F6" s="45"/>
      <c r="G6" s="45" t="s">
        <v>540</v>
      </c>
      <c r="H6" s="45" t="s">
        <v>39</v>
      </c>
      <c r="I6" s="45" t="s">
        <v>68</v>
      </c>
      <c r="J6" s="46">
        <v>147.49386211066027</v>
      </c>
      <c r="K6" s="46">
        <v>-31.88068878570392</v>
      </c>
      <c r="L6" s="45" t="s">
        <v>41</v>
      </c>
      <c r="M6" s="45" t="s">
        <v>1411</v>
      </c>
      <c r="N6" s="45" t="s">
        <v>1412</v>
      </c>
      <c r="O6" s="45" t="s">
        <v>1412</v>
      </c>
      <c r="P6" s="45" t="s">
        <v>1413</v>
      </c>
      <c r="Q6" s="45" t="s">
        <v>1413</v>
      </c>
      <c r="R6" s="45" t="s">
        <v>1414</v>
      </c>
      <c r="S6" s="45" t="s">
        <v>58</v>
      </c>
      <c r="T6" s="47">
        <v>96200.0</v>
      </c>
      <c r="U6" s="45" t="s">
        <v>1415</v>
      </c>
      <c r="V6" s="45" t="s">
        <v>1416</v>
      </c>
      <c r="W6" s="45"/>
      <c r="X6" s="48">
        <v>1.0</v>
      </c>
      <c r="Y6" s="45" t="s">
        <v>1417</v>
      </c>
      <c r="Z6" s="45"/>
      <c r="AA6" s="46">
        <f t="shared" si="5"/>
        <v>47445000</v>
      </c>
      <c r="AB6" s="46">
        <f>33500000*0.67</f>
        <v>22445000</v>
      </c>
      <c r="AC6" s="46">
        <v>2.5E7</v>
      </c>
      <c r="AD6" s="45"/>
      <c r="AE6" s="46">
        <f t="shared" si="2"/>
        <v>22445000</v>
      </c>
      <c r="AF6" s="45"/>
      <c r="AG6" s="49">
        <f t="shared" si="3"/>
        <v>22445000</v>
      </c>
      <c r="AH6" s="49">
        <f t="shared" si="4"/>
        <v>0</v>
      </c>
      <c r="AI6" s="45"/>
      <c r="AJ6" s="46">
        <v>0.023450000000000002</v>
      </c>
      <c r="AK6" s="45"/>
      <c r="AL6" s="50">
        <v>45543.67991898148</v>
      </c>
    </row>
    <row r="7">
      <c r="A7" s="51" t="s">
        <v>1407</v>
      </c>
      <c r="B7" s="52" t="s">
        <v>1418</v>
      </c>
      <c r="C7" s="52" t="s">
        <v>1409</v>
      </c>
      <c r="D7" s="52" t="s">
        <v>1419</v>
      </c>
      <c r="E7" s="52" t="s">
        <v>1330</v>
      </c>
      <c r="F7" s="52" t="s">
        <v>1420</v>
      </c>
      <c r="G7" s="52" t="s">
        <v>540</v>
      </c>
      <c r="H7" s="52" t="s">
        <v>39</v>
      </c>
      <c r="I7" s="52" t="s">
        <v>68</v>
      </c>
      <c r="J7" s="53">
        <v>147.19305555378472</v>
      </c>
      <c r="K7" s="53">
        <v>-31.131250005677092</v>
      </c>
      <c r="L7" s="52" t="s">
        <v>41</v>
      </c>
      <c r="M7" s="52" t="s">
        <v>1421</v>
      </c>
      <c r="N7" s="52" t="s">
        <v>1412</v>
      </c>
      <c r="O7" s="52" t="s">
        <v>1412</v>
      </c>
      <c r="P7" s="52" t="s">
        <v>1413</v>
      </c>
      <c r="Q7" s="52" t="s">
        <v>1413</v>
      </c>
      <c r="R7" s="52" t="s">
        <v>1422</v>
      </c>
      <c r="S7" s="52" t="s">
        <v>58</v>
      </c>
      <c r="T7" s="54">
        <v>0.0</v>
      </c>
      <c r="U7" s="52" t="s">
        <v>1423</v>
      </c>
      <c r="V7" s="52" t="s">
        <v>1416</v>
      </c>
      <c r="W7" s="52"/>
      <c r="X7" s="52"/>
      <c r="Y7" s="52"/>
      <c r="Z7" s="52"/>
      <c r="AA7" s="52"/>
      <c r="AB7" s="52"/>
      <c r="AC7" s="52"/>
      <c r="AD7" s="52"/>
      <c r="AE7" s="53">
        <f t="shared" si="2"/>
        <v>0</v>
      </c>
      <c r="AF7" s="52"/>
      <c r="AG7" s="56">
        <f t="shared" si="3"/>
        <v>0</v>
      </c>
      <c r="AH7" s="56">
        <f t="shared" si="4"/>
        <v>0</v>
      </c>
      <c r="AI7" s="52"/>
      <c r="AJ7" s="53">
        <v>0.0</v>
      </c>
      <c r="AK7" s="52"/>
      <c r="AL7" s="57">
        <v>45544.14583333333</v>
      </c>
    </row>
    <row r="8">
      <c r="A8" s="44" t="s">
        <v>1424</v>
      </c>
      <c r="B8" s="45" t="s">
        <v>1425</v>
      </c>
      <c r="C8" s="45" t="s">
        <v>1426</v>
      </c>
      <c r="D8" s="45" t="s">
        <v>1427</v>
      </c>
      <c r="E8" s="45" t="s">
        <v>1330</v>
      </c>
      <c r="F8" s="45" t="s">
        <v>1428</v>
      </c>
      <c r="G8" s="45" t="s">
        <v>540</v>
      </c>
      <c r="H8" s="45" t="s">
        <v>39</v>
      </c>
      <c r="I8" s="45" t="s">
        <v>100</v>
      </c>
      <c r="J8" s="46">
        <v>145.5717727131376</v>
      </c>
      <c r="K8" s="46">
        <v>-42.206119912012184</v>
      </c>
      <c r="L8" s="45" t="s">
        <v>41</v>
      </c>
      <c r="M8" s="45" t="s">
        <v>1429</v>
      </c>
      <c r="N8" s="45" t="s">
        <v>1430</v>
      </c>
      <c r="O8" s="45" t="s">
        <v>1430</v>
      </c>
      <c r="P8" s="45" t="s">
        <v>1431</v>
      </c>
      <c r="Q8" s="45" t="s">
        <v>1431</v>
      </c>
      <c r="R8" s="45" t="s">
        <v>1432</v>
      </c>
      <c r="S8" s="45" t="s">
        <v>58</v>
      </c>
      <c r="T8" s="47">
        <v>17100.0</v>
      </c>
      <c r="U8" s="45" t="s">
        <v>1433</v>
      </c>
      <c r="V8" s="45" t="s">
        <v>1434</v>
      </c>
      <c r="W8" s="45"/>
      <c r="X8" s="45"/>
      <c r="Y8" s="45"/>
      <c r="Z8" s="45"/>
      <c r="AA8" s="46">
        <f>AB8+AC8+AF8</f>
        <v>2450000</v>
      </c>
      <c r="AB8" s="45"/>
      <c r="AC8" s="46">
        <v>2450000.0</v>
      </c>
      <c r="AD8" s="45"/>
      <c r="AE8" s="46">
        <f t="shared" si="2"/>
        <v>0</v>
      </c>
      <c r="AF8" s="45"/>
      <c r="AG8" s="49">
        <f t="shared" si="3"/>
        <v>0</v>
      </c>
      <c r="AH8" s="49">
        <f t="shared" si="4"/>
        <v>0</v>
      </c>
      <c r="AI8" s="45"/>
      <c r="AJ8" s="46">
        <v>0.0</v>
      </c>
      <c r="AK8" s="45"/>
      <c r="AL8" s="50">
        <v>45538.20833333333</v>
      </c>
    </row>
    <row r="9">
      <c r="A9" s="51" t="s">
        <v>1435</v>
      </c>
      <c r="B9" s="52" t="s">
        <v>1436</v>
      </c>
      <c r="C9" s="52" t="s">
        <v>1437</v>
      </c>
      <c r="D9" s="52" t="s">
        <v>1438</v>
      </c>
      <c r="E9" s="52" t="s">
        <v>1439</v>
      </c>
      <c r="F9" s="52" t="s">
        <v>1440</v>
      </c>
      <c r="G9" s="52" t="s">
        <v>540</v>
      </c>
      <c r="H9" s="52" t="s">
        <v>39</v>
      </c>
      <c r="I9" s="52" t="s">
        <v>598</v>
      </c>
      <c r="J9" s="53">
        <v>140.57908778170548</v>
      </c>
      <c r="K9" s="53">
        <v>-32.57234214271405</v>
      </c>
      <c r="L9" s="52" t="s">
        <v>41</v>
      </c>
      <c r="M9" s="52" t="s">
        <v>1441</v>
      </c>
      <c r="N9" s="52" t="s">
        <v>1442</v>
      </c>
      <c r="O9" s="52" t="s">
        <v>1443</v>
      </c>
      <c r="P9" s="52"/>
      <c r="Q9" s="52"/>
      <c r="R9" s="52" t="s">
        <v>1444</v>
      </c>
      <c r="S9" s="52" t="s">
        <v>58</v>
      </c>
      <c r="T9" s="54">
        <v>140000.0</v>
      </c>
      <c r="U9" s="52" t="s">
        <v>1445</v>
      </c>
      <c r="V9" s="52" t="s">
        <v>1446</v>
      </c>
      <c r="W9" s="52"/>
      <c r="X9" s="55">
        <v>0.75</v>
      </c>
      <c r="Y9" s="52" t="s">
        <v>1447</v>
      </c>
      <c r="Z9" s="52"/>
      <c r="AA9" s="53">
        <f>AC9</f>
        <v>4550000</v>
      </c>
      <c r="AB9" s="52"/>
      <c r="AC9" s="53">
        <v>4550000.0</v>
      </c>
      <c r="AD9" s="52"/>
      <c r="AE9" s="53">
        <f t="shared" si="2"/>
        <v>0</v>
      </c>
      <c r="AF9" s="52"/>
      <c r="AG9" s="56">
        <f t="shared" si="3"/>
        <v>0</v>
      </c>
      <c r="AH9" s="56">
        <f t="shared" si="4"/>
        <v>0</v>
      </c>
      <c r="AI9" s="52"/>
      <c r="AJ9" s="53">
        <v>2.2244</v>
      </c>
      <c r="AK9" s="53">
        <v>1.5</v>
      </c>
      <c r="AL9" s="57">
        <v>45477.68208333333</v>
      </c>
    </row>
    <row r="10">
      <c r="A10" s="51" t="s">
        <v>1459</v>
      </c>
      <c r="B10" s="52" t="s">
        <v>1460</v>
      </c>
      <c r="C10" s="52" t="s">
        <v>1461</v>
      </c>
      <c r="D10" s="52" t="s">
        <v>1462</v>
      </c>
      <c r="E10" s="52" t="s">
        <v>1463</v>
      </c>
      <c r="F10" s="52" t="s">
        <v>1464</v>
      </c>
      <c r="G10" s="52" t="s">
        <v>540</v>
      </c>
      <c r="H10" s="52" t="s">
        <v>39</v>
      </c>
      <c r="I10" s="52" t="s">
        <v>40</v>
      </c>
      <c r="J10" s="53">
        <v>119.93081711125126</v>
      </c>
      <c r="K10" s="53">
        <v>-20.937612353409655</v>
      </c>
      <c r="L10" s="52" t="s">
        <v>41</v>
      </c>
      <c r="M10" s="52" t="s">
        <v>1465</v>
      </c>
      <c r="N10" s="52" t="s">
        <v>1466</v>
      </c>
      <c r="O10" s="52" t="s">
        <v>1467</v>
      </c>
      <c r="P10" s="52"/>
      <c r="Q10" s="52"/>
      <c r="R10" s="52" t="s">
        <v>1468</v>
      </c>
      <c r="S10" s="52" t="s">
        <v>58</v>
      </c>
      <c r="T10" s="54">
        <v>0.0</v>
      </c>
      <c r="U10" s="52" t="s">
        <v>1469</v>
      </c>
      <c r="V10" s="52" t="s">
        <v>1470</v>
      </c>
      <c r="W10" s="52"/>
      <c r="X10" s="55">
        <v>1.0</v>
      </c>
      <c r="Y10" s="52" t="s">
        <v>1471</v>
      </c>
      <c r="Z10" s="52"/>
      <c r="AA10" s="53">
        <f t="shared" ref="AA10:AA11" si="6">AB10+AC10+AF10</f>
        <v>334000</v>
      </c>
      <c r="AB10" s="53">
        <v>134000.0</v>
      </c>
      <c r="AC10" s="52"/>
      <c r="AD10" s="53">
        <v>400000.0</v>
      </c>
      <c r="AE10" s="53">
        <f t="shared" si="2"/>
        <v>334000</v>
      </c>
      <c r="AF10" s="53">
        <v>200000.0</v>
      </c>
      <c r="AG10" s="56">
        <f t="shared" si="3"/>
        <v>134000</v>
      </c>
      <c r="AH10" s="56">
        <f t="shared" si="4"/>
        <v>0</v>
      </c>
      <c r="AI10" s="52"/>
      <c r="AJ10" s="53">
        <v>0.1072</v>
      </c>
      <c r="AK10" s="53">
        <v>0.75</v>
      </c>
      <c r="AL10" s="57">
        <v>45629.70125</v>
      </c>
    </row>
    <row r="11">
      <c r="A11" s="51" t="s">
        <v>1508</v>
      </c>
      <c r="B11" s="52" t="s">
        <v>476</v>
      </c>
      <c r="C11" s="52" t="s">
        <v>1509</v>
      </c>
      <c r="D11" s="52" t="s">
        <v>1510</v>
      </c>
      <c r="E11" s="52" t="s">
        <v>1511</v>
      </c>
      <c r="F11" s="52"/>
      <c r="G11" s="52" t="s">
        <v>540</v>
      </c>
      <c r="H11" s="52" t="s">
        <v>39</v>
      </c>
      <c r="I11" s="52" t="s">
        <v>40</v>
      </c>
      <c r="J11" s="53">
        <v>118.49287181793578</v>
      </c>
      <c r="K11" s="53">
        <v>-24.31382211850167</v>
      </c>
      <c r="L11" s="52" t="s">
        <v>41</v>
      </c>
      <c r="M11" s="52" t="s">
        <v>1512</v>
      </c>
      <c r="N11" s="52" t="s">
        <v>1513</v>
      </c>
      <c r="O11" s="52" t="s">
        <v>1513</v>
      </c>
      <c r="P11" s="52"/>
      <c r="Q11" s="52"/>
      <c r="R11" s="52" t="s">
        <v>1514</v>
      </c>
      <c r="S11" s="52" t="s">
        <v>932</v>
      </c>
      <c r="T11" s="54">
        <v>77900.0</v>
      </c>
      <c r="U11" s="52" t="s">
        <v>1515</v>
      </c>
      <c r="V11" s="52" t="s">
        <v>1516</v>
      </c>
      <c r="W11" s="52"/>
      <c r="X11" s="55">
        <v>1.0</v>
      </c>
      <c r="Y11" s="52" t="s">
        <v>1517</v>
      </c>
      <c r="Z11" s="52"/>
      <c r="AA11" s="53">
        <f t="shared" si="6"/>
        <v>75000</v>
      </c>
      <c r="AB11" s="58">
        <v>0.0</v>
      </c>
      <c r="AC11" s="52"/>
      <c r="AD11" s="52"/>
      <c r="AE11" s="53">
        <f t="shared" si="2"/>
        <v>75000</v>
      </c>
      <c r="AF11" s="53">
        <v>75000.0</v>
      </c>
      <c r="AG11" s="56">
        <f t="shared" si="3"/>
        <v>50250.00134</v>
      </c>
      <c r="AH11" s="56">
        <f t="shared" si="4"/>
        <v>50250.00134</v>
      </c>
      <c r="AI11" s="53">
        <v>1.0714286E7</v>
      </c>
      <c r="AJ11" s="53">
        <v>0.004690000000000001</v>
      </c>
      <c r="AK11" s="53">
        <v>1.25</v>
      </c>
      <c r="AL11" s="57">
        <v>45743.73810185185</v>
      </c>
    </row>
    <row r="12">
      <c r="A12" s="44" t="s">
        <v>1541</v>
      </c>
      <c r="B12" s="45" t="s">
        <v>1542</v>
      </c>
      <c r="C12" s="45" t="s">
        <v>1543</v>
      </c>
      <c r="D12" s="45" t="s">
        <v>1544</v>
      </c>
      <c r="E12" s="45" t="s">
        <v>1545</v>
      </c>
      <c r="F12" s="45"/>
      <c r="G12" s="45" t="s">
        <v>540</v>
      </c>
      <c r="H12" s="45" t="s">
        <v>39</v>
      </c>
      <c r="I12" s="45" t="s">
        <v>598</v>
      </c>
      <c r="J12" s="46">
        <v>135.94319618609057</v>
      </c>
      <c r="K12" s="46">
        <v>-34.334401392945026</v>
      </c>
      <c r="L12" s="45" t="s">
        <v>41</v>
      </c>
      <c r="M12" s="45" t="s">
        <v>1546</v>
      </c>
      <c r="N12" s="45" t="s">
        <v>1547</v>
      </c>
      <c r="O12" s="45" t="s">
        <v>1547</v>
      </c>
      <c r="P12" s="45"/>
      <c r="Q12" s="45"/>
      <c r="R12" s="45" t="s">
        <v>1548</v>
      </c>
      <c r="S12" s="45" t="s">
        <v>58</v>
      </c>
      <c r="T12" s="47">
        <v>0.0</v>
      </c>
      <c r="U12" s="45" t="s">
        <v>1549</v>
      </c>
      <c r="V12" s="45" t="s">
        <v>1550</v>
      </c>
      <c r="W12" s="45"/>
      <c r="X12" s="48">
        <v>1.0</v>
      </c>
      <c r="Y12" s="45" t="s">
        <v>1551</v>
      </c>
      <c r="Z12" s="45"/>
      <c r="AA12" s="45"/>
      <c r="AB12" s="45"/>
      <c r="AC12" s="45"/>
      <c r="AD12" s="45"/>
      <c r="AE12" s="46">
        <f t="shared" si="2"/>
        <v>0</v>
      </c>
      <c r="AF12" s="45"/>
      <c r="AG12" s="49">
        <f t="shared" si="3"/>
        <v>0</v>
      </c>
      <c r="AH12" s="49">
        <f t="shared" si="4"/>
        <v>0</v>
      </c>
      <c r="AI12" s="45"/>
      <c r="AJ12" s="46">
        <v>0.00335</v>
      </c>
      <c r="AK12" s="45"/>
      <c r="AL12" s="50">
        <v>45641.64096064815</v>
      </c>
    </row>
    <row r="13">
      <c r="A13" s="44" t="s">
        <v>1562</v>
      </c>
      <c r="B13" s="45" t="s">
        <v>160</v>
      </c>
      <c r="C13" s="45" t="s">
        <v>1563</v>
      </c>
      <c r="D13" s="45" t="s">
        <v>1564</v>
      </c>
      <c r="E13" s="45" t="s">
        <v>1565</v>
      </c>
      <c r="F13" s="45" t="s">
        <v>1566</v>
      </c>
      <c r="G13" s="45" t="s">
        <v>540</v>
      </c>
      <c r="H13" s="45" t="s">
        <v>39</v>
      </c>
      <c r="I13" s="45" t="s">
        <v>1025</v>
      </c>
      <c r="J13" s="46">
        <v>134.87137684924136</v>
      </c>
      <c r="K13" s="46">
        <v>-23.12826091001967</v>
      </c>
      <c r="L13" s="45" t="s">
        <v>41</v>
      </c>
      <c r="M13" s="45" t="s">
        <v>1567</v>
      </c>
      <c r="N13" s="45" t="s">
        <v>1568</v>
      </c>
      <c r="O13" s="45" t="s">
        <v>1568</v>
      </c>
      <c r="P13" s="45"/>
      <c r="Q13" s="45"/>
      <c r="R13" s="45" t="s">
        <v>1569</v>
      </c>
      <c r="S13" s="45" t="s">
        <v>58</v>
      </c>
      <c r="T13" s="47">
        <v>100000.0</v>
      </c>
      <c r="U13" s="45" t="s">
        <v>1570</v>
      </c>
      <c r="V13" s="45" t="s">
        <v>1571</v>
      </c>
      <c r="W13" s="45"/>
      <c r="X13" s="48">
        <v>1.0</v>
      </c>
      <c r="Y13" s="45" t="s">
        <v>1572</v>
      </c>
      <c r="Z13" s="45"/>
      <c r="AA13" s="46">
        <f>AB13+AC13+AF13</f>
        <v>134000</v>
      </c>
      <c r="AB13" s="46">
        <v>134000.0</v>
      </c>
      <c r="AC13" s="45"/>
      <c r="AD13" s="45"/>
      <c r="AE13" s="46">
        <f t="shared" si="2"/>
        <v>134000</v>
      </c>
      <c r="AF13" s="45"/>
      <c r="AG13" s="49">
        <f t="shared" si="3"/>
        <v>134000</v>
      </c>
      <c r="AH13" s="49">
        <f t="shared" si="4"/>
        <v>0</v>
      </c>
      <c r="AI13" s="45"/>
      <c r="AJ13" s="46">
        <v>0.0</v>
      </c>
      <c r="AK13" s="45"/>
      <c r="AL13" s="50">
        <v>45572.694756944446</v>
      </c>
    </row>
    <row r="14">
      <c r="A14" s="51" t="s">
        <v>1424</v>
      </c>
      <c r="B14" s="52" t="s">
        <v>87</v>
      </c>
      <c r="C14" s="52" t="s">
        <v>1426</v>
      </c>
      <c r="D14" s="52" t="s">
        <v>1573</v>
      </c>
      <c r="E14" s="52" t="s">
        <v>1574</v>
      </c>
      <c r="F14" s="52" t="s">
        <v>1428</v>
      </c>
      <c r="G14" s="52" t="s">
        <v>540</v>
      </c>
      <c r="H14" s="52" t="s">
        <v>39</v>
      </c>
      <c r="I14" s="52" t="s">
        <v>100</v>
      </c>
      <c r="J14" s="53">
        <v>145.7033147449207</v>
      </c>
      <c r="K14" s="53">
        <v>-41.78559165052115</v>
      </c>
      <c r="L14" s="52" t="s">
        <v>41</v>
      </c>
      <c r="M14" s="52" t="s">
        <v>1575</v>
      </c>
      <c r="N14" s="52" t="s">
        <v>1430</v>
      </c>
      <c r="O14" s="52" t="s">
        <v>1430</v>
      </c>
      <c r="P14" s="52" t="s">
        <v>1431</v>
      </c>
      <c r="Q14" s="52" t="s">
        <v>1431</v>
      </c>
      <c r="R14" s="52" t="s">
        <v>1576</v>
      </c>
      <c r="S14" s="52" t="s">
        <v>58</v>
      </c>
      <c r="T14" s="54">
        <v>0.0</v>
      </c>
      <c r="U14" s="52" t="s">
        <v>1577</v>
      </c>
      <c r="V14" s="52" t="s">
        <v>1578</v>
      </c>
      <c r="W14" s="52"/>
      <c r="X14" s="52"/>
      <c r="Y14" s="52"/>
      <c r="Z14" s="52"/>
      <c r="AA14" s="52"/>
      <c r="AB14" s="52"/>
      <c r="AC14" s="52"/>
      <c r="AD14" s="52"/>
      <c r="AE14" s="53">
        <f t="shared" si="2"/>
        <v>0</v>
      </c>
      <c r="AF14" s="52"/>
      <c r="AG14" s="56">
        <f t="shared" si="3"/>
        <v>0</v>
      </c>
      <c r="AH14" s="56">
        <f t="shared" si="4"/>
        <v>0</v>
      </c>
      <c r="AI14" s="52"/>
      <c r="AJ14" s="53">
        <v>0.0</v>
      </c>
      <c r="AK14" s="52"/>
      <c r="AL14" s="57">
        <v>45642.26041666667</v>
      </c>
    </row>
    <row r="15" ht="12.0" customHeight="1">
      <c r="A15" s="6" t="s">
        <v>1229</v>
      </c>
      <c r="B15" s="7" t="s">
        <v>1230</v>
      </c>
      <c r="C15" s="7" t="s">
        <v>1231</v>
      </c>
      <c r="D15" s="7" t="s">
        <v>1232</v>
      </c>
      <c r="E15" s="7" t="s">
        <v>1170</v>
      </c>
      <c r="F15" s="7"/>
      <c r="G15" s="7" t="s">
        <v>540</v>
      </c>
      <c r="H15" s="7" t="s">
        <v>39</v>
      </c>
      <c r="I15" s="7" t="s">
        <v>1025</v>
      </c>
      <c r="J15" s="7">
        <v>135.89218389215233</v>
      </c>
      <c r="K15" s="7">
        <v>-25.770371069795104</v>
      </c>
      <c r="L15" s="7" t="s">
        <v>41</v>
      </c>
      <c r="M15" s="7" t="s">
        <v>1233</v>
      </c>
      <c r="N15" s="7" t="s">
        <v>686</v>
      </c>
      <c r="O15" s="7" t="s">
        <v>686</v>
      </c>
      <c r="P15" s="7"/>
      <c r="Q15" s="7"/>
      <c r="R15" s="7" t="s">
        <v>1234</v>
      </c>
      <c r="S15" s="7" t="s">
        <v>58</v>
      </c>
      <c r="T15" s="8">
        <v>395000.0</v>
      </c>
      <c r="U15" s="7" t="s">
        <v>1235</v>
      </c>
      <c r="V15" s="7" t="s">
        <v>1236</v>
      </c>
      <c r="W15" s="7"/>
      <c r="X15" s="9">
        <v>0.8</v>
      </c>
      <c r="Y15" s="7" t="s">
        <v>1111</v>
      </c>
      <c r="Z15" s="7"/>
      <c r="AA15" s="7">
        <f t="shared" ref="AA15:AA16" si="7">AB15</f>
        <v>33500</v>
      </c>
      <c r="AB15" s="7">
        <f>50000*0.67</f>
        <v>33500</v>
      </c>
      <c r="AC15" s="7"/>
      <c r="AD15" s="7"/>
      <c r="AE15" s="7">
        <f t="shared" si="2"/>
        <v>33500</v>
      </c>
      <c r="AF15" s="7"/>
      <c r="AG15" s="10">
        <f t="shared" si="3"/>
        <v>33500</v>
      </c>
      <c r="AH15" s="10">
        <f t="shared" si="4"/>
        <v>0</v>
      </c>
      <c r="AI15" s="7"/>
      <c r="AJ15" s="7">
        <v>0.018760000000000002</v>
      </c>
      <c r="AK15" s="7">
        <v>2.0</v>
      </c>
      <c r="AL15" s="11">
        <v>45635.67774305555</v>
      </c>
    </row>
    <row r="16" ht="12.0" customHeight="1">
      <c r="A16" s="6" t="s">
        <v>1237</v>
      </c>
      <c r="B16" s="7" t="s">
        <v>1238</v>
      </c>
      <c r="C16" s="7" t="s">
        <v>1239</v>
      </c>
      <c r="D16" s="7" t="s">
        <v>1240</v>
      </c>
      <c r="E16" s="7" t="s">
        <v>1170</v>
      </c>
      <c r="F16" s="7"/>
      <c r="G16" s="7" t="s">
        <v>540</v>
      </c>
      <c r="H16" s="7" t="s">
        <v>39</v>
      </c>
      <c r="I16" s="7" t="s">
        <v>40</v>
      </c>
      <c r="J16" s="7">
        <v>118.13287970450689</v>
      </c>
      <c r="K16" s="7">
        <v>-27.39559684956814</v>
      </c>
      <c r="L16" s="7" t="s">
        <v>41</v>
      </c>
      <c r="M16" s="7" t="s">
        <v>1241</v>
      </c>
      <c r="N16" s="7" t="s">
        <v>1242</v>
      </c>
      <c r="O16" s="7" t="s">
        <v>1242</v>
      </c>
      <c r="P16" s="7"/>
      <c r="Q16" s="7"/>
      <c r="R16" s="7" t="s">
        <v>1243</v>
      </c>
      <c r="S16" s="7" t="s">
        <v>58</v>
      </c>
      <c r="T16" s="8">
        <v>0.0</v>
      </c>
      <c r="U16" s="7" t="s">
        <v>1244</v>
      </c>
      <c r="V16" s="7" t="s">
        <v>1245</v>
      </c>
      <c r="W16" s="7"/>
      <c r="X16" s="9">
        <v>1.0</v>
      </c>
      <c r="Y16" s="7" t="s">
        <v>1246</v>
      </c>
      <c r="Z16" s="7"/>
      <c r="AA16" s="7">
        <f t="shared" si="7"/>
        <v>50250</v>
      </c>
      <c r="AB16" s="7">
        <f>75000*0.67</f>
        <v>50250</v>
      </c>
      <c r="AC16" s="7"/>
      <c r="AD16" s="7"/>
      <c r="AE16" s="7">
        <f t="shared" si="2"/>
        <v>50250</v>
      </c>
      <c r="AF16" s="7"/>
      <c r="AG16" s="10">
        <f t="shared" si="3"/>
        <v>50250</v>
      </c>
      <c r="AH16" s="10">
        <f t="shared" si="4"/>
        <v>0</v>
      </c>
      <c r="AI16" s="7"/>
      <c r="AJ16" s="7">
        <v>0.01474</v>
      </c>
      <c r="AK16" s="7">
        <v>1.0</v>
      </c>
      <c r="AL16" s="11">
        <v>45736.694560185184</v>
      </c>
    </row>
    <row r="17" ht="12.0" customHeight="1">
      <c r="A17" s="6" t="s">
        <v>1203</v>
      </c>
      <c r="B17" s="7" t="s">
        <v>1247</v>
      </c>
      <c r="C17" s="7" t="s">
        <v>1205</v>
      </c>
      <c r="D17" s="7" t="s">
        <v>1248</v>
      </c>
      <c r="E17" s="7" t="s">
        <v>1170</v>
      </c>
      <c r="F17" s="7" t="s">
        <v>1207</v>
      </c>
      <c r="G17" s="7" t="s">
        <v>540</v>
      </c>
      <c r="H17" s="7" t="s">
        <v>39</v>
      </c>
      <c r="I17" s="7" t="s">
        <v>132</v>
      </c>
      <c r="J17" s="7">
        <v>149.8566647202644</v>
      </c>
      <c r="K17" s="7">
        <v>-23.2467701456038</v>
      </c>
      <c r="L17" s="7" t="s">
        <v>41</v>
      </c>
      <c r="M17" s="7" t="s">
        <v>1249</v>
      </c>
      <c r="N17" s="7" t="s">
        <v>1209</v>
      </c>
      <c r="O17" s="7" t="s">
        <v>1209</v>
      </c>
      <c r="P17" s="7"/>
      <c r="Q17" s="7"/>
      <c r="R17" s="7" t="s">
        <v>1250</v>
      </c>
      <c r="S17" s="7" t="s">
        <v>58</v>
      </c>
      <c r="T17" s="8">
        <v>0.0</v>
      </c>
      <c r="U17" s="7" t="s">
        <v>1251</v>
      </c>
      <c r="V17" s="7" t="s">
        <v>1212</v>
      </c>
      <c r="W17" s="7"/>
      <c r="X17" s="9">
        <v>1.0</v>
      </c>
      <c r="Y17" s="7" t="s">
        <v>1252</v>
      </c>
      <c r="Z17" s="7"/>
      <c r="AA17" s="7">
        <f>AB17+AF17</f>
        <v>1113875</v>
      </c>
      <c r="AB17" s="7">
        <f>975000*0.67</f>
        <v>653250</v>
      </c>
      <c r="AC17" s="7"/>
      <c r="AD17" s="7">
        <v>1662500.0</v>
      </c>
      <c r="AE17" s="7">
        <f t="shared" si="2"/>
        <v>1113875</v>
      </c>
      <c r="AF17" s="7">
        <f>687500*0.67</f>
        <v>460625</v>
      </c>
      <c r="AG17" s="10">
        <f t="shared" si="3"/>
        <v>653250</v>
      </c>
      <c r="AH17" s="10">
        <f t="shared" si="4"/>
        <v>0</v>
      </c>
      <c r="AI17" s="7"/>
      <c r="AJ17" s="7">
        <v>0.02211</v>
      </c>
      <c r="AK17" s="7"/>
      <c r="AL17" s="11">
        <v>45564.750439814816</v>
      </c>
    </row>
    <row r="18" ht="12.0" customHeight="1">
      <c r="A18" s="6" t="s">
        <v>1253</v>
      </c>
      <c r="B18" s="7" t="s">
        <v>1254</v>
      </c>
      <c r="C18" s="7" t="s">
        <v>1255</v>
      </c>
      <c r="D18" s="7" t="s">
        <v>1256</v>
      </c>
      <c r="E18" s="7" t="s">
        <v>1170</v>
      </c>
      <c r="F18" s="7" t="s">
        <v>1257</v>
      </c>
      <c r="G18" s="7" t="s">
        <v>540</v>
      </c>
      <c r="H18" s="7" t="s">
        <v>39</v>
      </c>
      <c r="I18" s="7" t="s">
        <v>40</v>
      </c>
      <c r="J18" s="7">
        <v>119.56527790974523</v>
      </c>
      <c r="K18" s="7">
        <v>-24.363888652063235</v>
      </c>
      <c r="L18" s="7" t="s">
        <v>41</v>
      </c>
      <c r="M18" s="7" t="s">
        <v>1258</v>
      </c>
      <c r="N18" s="7" t="s">
        <v>1259</v>
      </c>
      <c r="O18" s="7" t="s">
        <v>1259</v>
      </c>
      <c r="P18" s="7"/>
      <c r="Q18" s="7"/>
      <c r="R18" s="7" t="s">
        <v>1260</v>
      </c>
      <c r="S18" s="7" t="s">
        <v>58</v>
      </c>
      <c r="T18" s="8">
        <v>0.0</v>
      </c>
      <c r="U18" s="7" t="s">
        <v>1261</v>
      </c>
      <c r="V18" s="7" t="s">
        <v>1262</v>
      </c>
      <c r="W18" s="7"/>
      <c r="X18" s="7"/>
      <c r="Y18" s="7" t="s">
        <v>1263</v>
      </c>
      <c r="Z18" s="7"/>
      <c r="AA18" s="7">
        <f>AB18+AC18+AF18</f>
        <v>1139000</v>
      </c>
      <c r="AB18" s="7">
        <v>67000.0</v>
      </c>
      <c r="AC18" s="7">
        <v>1005000.0</v>
      </c>
      <c r="AD18" s="7"/>
      <c r="AE18" s="7">
        <f t="shared" si="2"/>
        <v>134000</v>
      </c>
      <c r="AF18" s="7">
        <v>67000.0</v>
      </c>
      <c r="AG18" s="10">
        <f t="shared" si="3"/>
        <v>67000</v>
      </c>
      <c r="AH18" s="10">
        <f t="shared" si="4"/>
        <v>0</v>
      </c>
      <c r="AI18" s="7"/>
      <c r="AJ18" s="7">
        <v>0.01474</v>
      </c>
      <c r="AK18" s="7">
        <v>1.0</v>
      </c>
      <c r="AL18" s="11">
        <v>45601.78959490741</v>
      </c>
    </row>
    <row r="19" ht="12.0" customHeight="1">
      <c r="A19" s="6" t="s">
        <v>1264</v>
      </c>
      <c r="B19" s="7" t="s">
        <v>1265</v>
      </c>
      <c r="C19" s="7" t="s">
        <v>1266</v>
      </c>
      <c r="D19" s="7" t="s">
        <v>1267</v>
      </c>
      <c r="E19" s="7" t="s">
        <v>1170</v>
      </c>
      <c r="F19" s="7" t="s">
        <v>1268</v>
      </c>
      <c r="G19" s="7" t="s">
        <v>540</v>
      </c>
      <c r="H19" s="7" t="s">
        <v>39</v>
      </c>
      <c r="I19" s="7" t="s">
        <v>100</v>
      </c>
      <c r="J19" s="7">
        <v>145.59646943584315</v>
      </c>
      <c r="K19" s="7">
        <v>-42.064873559434076</v>
      </c>
      <c r="L19" s="7" t="s">
        <v>41</v>
      </c>
      <c r="M19" s="7" t="s">
        <v>1269</v>
      </c>
      <c r="N19" s="7" t="s">
        <v>1270</v>
      </c>
      <c r="O19" s="7" t="s">
        <v>1270</v>
      </c>
      <c r="P19" s="7"/>
      <c r="Q19" s="7"/>
      <c r="R19" s="7" t="s">
        <v>1271</v>
      </c>
      <c r="S19" s="7" t="s">
        <v>58</v>
      </c>
      <c r="T19" s="8">
        <v>0.0</v>
      </c>
      <c r="U19" s="7" t="s">
        <v>1272</v>
      </c>
      <c r="V19" s="7" t="s">
        <v>1273</v>
      </c>
      <c r="W19" s="7"/>
      <c r="X19" s="9">
        <v>1.0</v>
      </c>
      <c r="Y19" s="7" t="s">
        <v>1274</v>
      </c>
      <c r="Z19" s="40" t="s">
        <v>2439</v>
      </c>
      <c r="AA19" s="43">
        <f>(AA2+AA3+AA5+AA6+AA8+AA9+AA10+AA11+AA13+AA15+AA16+AA17+AA18)/13</f>
        <v>4807240.385</v>
      </c>
      <c r="AB19" s="7"/>
      <c r="AC19" s="7"/>
      <c r="AD19" s="7"/>
      <c r="AE19" s="7">
        <f t="shared" si="2"/>
        <v>0</v>
      </c>
      <c r="AF19" s="7"/>
      <c r="AG19" s="10">
        <f t="shared" si="3"/>
        <v>0</v>
      </c>
      <c r="AH19" s="10">
        <f t="shared" si="4"/>
        <v>0</v>
      </c>
      <c r="AI19" s="7"/>
      <c r="AJ19" s="7">
        <v>0.15075000000000002</v>
      </c>
      <c r="AK19" s="7"/>
      <c r="AL19" s="11">
        <v>45547.74358796296</v>
      </c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 t="s">
        <v>2441</v>
      </c>
      <c r="AA20" s="40">
        <v>13.0</v>
      </c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</sheetData>
  <dataValidations>
    <dataValidation type="custom" allowBlank="1" showDropDown="1" sqref="AL2:AL19">
      <formula1>OR(NOT(ISERROR(DATEVALUE(AL2))), AND(ISNUMBER(AL2), LEFT(CELL("format", AL2))="D"))</formula1>
    </dataValidation>
    <dataValidation type="custom" allowBlank="1" showDropDown="1" sqref="T2:T19">
      <formula1>AND(ISNUMBER(T2),(NOT(OR(NOT(ISERROR(DATEVALUE(T2))), AND(ISNUMBER(T2), LEFT(CELL("format", T2))="D")))))</formula1>
    </dataValidation>
  </dataValidations>
  <drawing r:id="rId1"/>
  <tableParts count="2">
    <tablePart r:id="rId4"/>
    <tablePart r:id="rId5"/>
  </tableParts>
</worksheet>
</file>