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6F56DF03-AB9D-46C9-8FE5-C8CCB6F169C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535" i="1" l="1"/>
  <c r="AS534" i="1"/>
  <c r="AK533" i="1"/>
  <c r="AJ533" i="1"/>
  <c r="AI533" i="1"/>
  <c r="Y533" i="1"/>
  <c r="W533" i="1"/>
  <c r="X533" i="1" s="1"/>
  <c r="V533" i="1"/>
  <c r="R533" i="1"/>
  <c r="T533" i="1" s="1"/>
  <c r="O533" i="1"/>
  <c r="N533" i="1"/>
  <c r="S533" i="1" s="1"/>
  <c r="D533" i="1"/>
  <c r="C533" i="1"/>
  <c r="B533" i="1"/>
  <c r="AS531" i="1"/>
  <c r="AS532" i="1"/>
  <c r="AS533" i="1"/>
  <c r="BB533" i="1"/>
  <c r="BE533" i="1" s="1"/>
  <c r="BA533" i="1"/>
  <c r="AZ533" i="1"/>
  <c r="BD533" i="1" s="1"/>
  <c r="AY533" i="1"/>
  <c r="AX533" i="1"/>
  <c r="BC533" i="1" s="1"/>
  <c r="AW533" i="1"/>
  <c r="AU533" i="1"/>
  <c r="AV533" i="1" s="1"/>
  <c r="AT533" i="1"/>
  <c r="CS533" i="1"/>
  <c r="CR533" i="1"/>
  <c r="CK533" i="1"/>
  <c r="CJ533" i="1"/>
  <c r="CC533" i="1"/>
  <c r="CB533" i="1"/>
  <c r="BU533" i="1"/>
  <c r="BT533" i="1"/>
  <c r="M530" i="1"/>
  <c r="M533" i="1"/>
  <c r="D3" i="8"/>
  <c r="C3" i="8"/>
  <c r="B3" i="8"/>
  <c r="AK530" i="1"/>
  <c r="AJ530" i="1"/>
  <c r="AI530" i="1"/>
  <c r="Y530" i="1"/>
  <c r="AS530" i="1"/>
  <c r="BB530" i="1"/>
  <c r="AU530" i="1"/>
  <c r="CS530" i="1"/>
  <c r="CR530" i="1"/>
  <c r="H4" i="8"/>
  <c r="G4" i="8"/>
  <c r="F4" i="8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U533" i="1" l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BB516" i="1"/>
  <c r="AU516" i="1"/>
  <c r="BB525" i="1"/>
  <c r="AU525" i="1"/>
  <c r="AK525" i="1"/>
  <c r="AJ525" i="1"/>
  <c r="AI525" i="1"/>
  <c r="Y525" i="1"/>
  <c r="C525" i="1"/>
  <c r="O525" i="1" s="1"/>
  <c r="BB521" i="1"/>
  <c r="AU521" i="1"/>
  <c r="M521" i="1"/>
  <c r="M525" i="1"/>
  <c r="CS525" i="1"/>
  <c r="CR525" i="1"/>
  <c r="CK525" i="1"/>
  <c r="CJ525" i="1"/>
  <c r="K4" i="8"/>
  <c r="L4" i="8"/>
  <c r="J4" i="8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K9" i="8"/>
  <c r="B31" i="9" s="1"/>
  <c r="AK521" i="1"/>
  <c r="AJ521" i="1"/>
  <c r="AI521" i="1"/>
  <c r="K7" i="8"/>
  <c r="B29" i="9" s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B22" i="9" s="1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B5" i="9" s="1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N525" i="1" l="1"/>
  <c r="W525" i="1"/>
  <c r="X525" i="1" s="1"/>
  <c r="G13" i="8"/>
  <c r="H13" i="8"/>
  <c r="B18" i="9"/>
  <c r="B34" i="9"/>
  <c r="F13" i="8"/>
  <c r="B2" i="9"/>
  <c r="B26" i="9"/>
  <c r="K5" i="8"/>
  <c r="B27" i="9" s="1"/>
  <c r="K11" i="8"/>
  <c r="B33" i="9" s="1"/>
  <c r="K10" i="8"/>
  <c r="B32" i="9" s="1"/>
  <c r="K8" i="8"/>
  <c r="B30" i="9" s="1"/>
  <c r="K6" i="8"/>
  <c r="AK512" i="1"/>
  <c r="AJ512" i="1"/>
  <c r="AI512" i="1"/>
  <c r="Y512" i="1"/>
  <c r="W512" i="1"/>
  <c r="X512" i="1" s="1"/>
  <c r="O512" i="1"/>
  <c r="N512" i="1"/>
  <c r="N510" i="1"/>
  <c r="M513" i="1"/>
  <c r="BB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BB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BB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BB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BB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K13" i="8" l="1"/>
  <c r="B28" i="9"/>
  <c r="W506" i="1"/>
  <c r="X506" i="1" s="1"/>
  <c r="O506" i="1"/>
  <c r="N506" i="1"/>
  <c r="N504" i="1"/>
  <c r="W504" i="1"/>
  <c r="X504" i="1" s="1"/>
  <c r="O504" i="1"/>
  <c r="N502" i="1"/>
  <c r="O502" i="1"/>
  <c r="W502" i="1"/>
  <c r="X502" i="1" s="1"/>
  <c r="BB481" i="1"/>
  <c r="AU481" i="1"/>
  <c r="BB493" i="1"/>
  <c r="AU493" i="1"/>
  <c r="BB495" i="1"/>
  <c r="AU495" i="1"/>
  <c r="BB496" i="1"/>
  <c r="AU496" i="1"/>
  <c r="BB500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AW479" i="1"/>
  <c r="AX479" i="1"/>
  <c r="AY479" i="1"/>
  <c r="AZ479" i="1"/>
  <c r="BA479" i="1"/>
  <c r="BB479" i="1"/>
  <c r="M479" i="1"/>
  <c r="AI478" i="1"/>
  <c r="AJ478" i="1"/>
  <c r="AK478" i="1"/>
  <c r="W479" i="1" l="1"/>
  <c r="X479" i="1" s="1"/>
  <c r="BD479" i="1"/>
  <c r="BE479" i="1"/>
  <c r="BC479" i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W478" i="1"/>
  <c r="AX478" i="1"/>
  <c r="AY478" i="1"/>
  <c r="AZ478" i="1"/>
  <c r="BA478" i="1"/>
  <c r="BB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AW477" i="1"/>
  <c r="AX477" i="1"/>
  <c r="AY477" i="1"/>
  <c r="AZ477" i="1"/>
  <c r="BA477" i="1"/>
  <c r="BB477" i="1"/>
  <c r="M477" i="1"/>
  <c r="Y477" i="1"/>
  <c r="AI476" i="1"/>
  <c r="AJ476" i="1"/>
  <c r="AK476" i="1"/>
  <c r="BD478" i="1" l="1"/>
  <c r="BD477" i="1"/>
  <c r="AV478" i="1"/>
  <c r="W478" i="1"/>
  <c r="X478" i="1" s="1"/>
  <c r="BE478" i="1"/>
  <c r="BC478" i="1"/>
  <c r="O478" i="1"/>
  <c r="N478" i="1"/>
  <c r="BE477" i="1"/>
  <c r="BC477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AW476" i="1"/>
  <c r="AX476" i="1"/>
  <c r="AY476" i="1"/>
  <c r="AZ476" i="1"/>
  <c r="BA476" i="1"/>
  <c r="BB476" i="1"/>
  <c r="M476" i="1"/>
  <c r="Y476" i="1"/>
  <c r="AI475" i="1"/>
  <c r="AJ475" i="1"/>
  <c r="AK475" i="1"/>
  <c r="T477" i="1" l="1"/>
  <c r="BD476" i="1"/>
  <c r="BE476" i="1"/>
  <c r="BC476" i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BT475" i="1"/>
  <c r="B475" i="1" s="1"/>
  <c r="V476" i="1" s="1"/>
  <c r="AT475" i="1"/>
  <c r="AU475" i="1"/>
  <c r="AW475" i="1"/>
  <c r="AX475" i="1"/>
  <c r="AY475" i="1"/>
  <c r="AZ475" i="1"/>
  <c r="BA475" i="1"/>
  <c r="BB475" i="1"/>
  <c r="M475" i="1"/>
  <c r="Y475" i="1"/>
  <c r="C475" i="1"/>
  <c r="W475" i="1" s="1"/>
  <c r="X475" i="1" s="1"/>
  <c r="AI474" i="1"/>
  <c r="AJ474" i="1"/>
  <c r="AK474" i="1"/>
  <c r="AV475" i="1" l="1"/>
  <c r="R476" i="1"/>
  <c r="S477" i="1"/>
  <c r="BD475" i="1"/>
  <c r="BC475" i="1"/>
  <c r="N475" i="1"/>
  <c r="S476" i="1" s="1"/>
  <c r="O475" i="1"/>
  <c r="BE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AW474" i="1"/>
  <c r="AX474" i="1"/>
  <c r="AY474" i="1"/>
  <c r="AZ474" i="1"/>
  <c r="BA474" i="1"/>
  <c r="BB474" i="1"/>
  <c r="M474" i="1"/>
  <c r="Y474" i="1"/>
  <c r="AI473" i="1"/>
  <c r="AJ473" i="1"/>
  <c r="AK473" i="1"/>
  <c r="T476" i="1" l="1"/>
  <c r="R475" i="1"/>
  <c r="BD474" i="1"/>
  <c r="BE474" i="1"/>
  <c r="O474" i="1"/>
  <c r="W474" i="1"/>
  <c r="X474" i="1" s="1"/>
  <c r="BC474" i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AW473" i="1"/>
  <c r="AX473" i="1"/>
  <c r="AY473" i="1"/>
  <c r="AZ473" i="1"/>
  <c r="BI479" i="1" s="1"/>
  <c r="BA473" i="1"/>
  <c r="BB473" i="1"/>
  <c r="M473" i="1"/>
  <c r="Y473" i="1"/>
  <c r="AI472" i="1"/>
  <c r="AJ472" i="1"/>
  <c r="AK472" i="1"/>
  <c r="BJ479" i="1" l="1"/>
  <c r="BH479" i="1"/>
  <c r="AV473" i="1"/>
  <c r="BF479" i="1"/>
  <c r="R474" i="1"/>
  <c r="T475" i="1"/>
  <c r="S475" i="1"/>
  <c r="BD473" i="1"/>
  <c r="BE473" i="1"/>
  <c r="BC473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AW472" i="1"/>
  <c r="AX472" i="1"/>
  <c r="AY472" i="1"/>
  <c r="AZ472" i="1"/>
  <c r="BA472" i="1"/>
  <c r="BB472" i="1"/>
  <c r="M472" i="1"/>
  <c r="Y472" i="1"/>
  <c r="AI471" i="1"/>
  <c r="AJ471" i="1"/>
  <c r="AK471" i="1"/>
  <c r="BI478" i="1" l="1"/>
  <c r="BF478" i="1"/>
  <c r="BJ478" i="1"/>
  <c r="BH478" i="1"/>
  <c r="T474" i="1"/>
  <c r="T473" i="1"/>
  <c r="BD472" i="1"/>
  <c r="BE472" i="1"/>
  <c r="BC472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AW471" i="1"/>
  <c r="AX471" i="1"/>
  <c r="AY471" i="1"/>
  <c r="AZ471" i="1"/>
  <c r="BA471" i="1"/>
  <c r="BB471" i="1"/>
  <c r="M471" i="1"/>
  <c r="Y471" i="1"/>
  <c r="AI470" i="1"/>
  <c r="AJ470" i="1"/>
  <c r="AK470" i="1"/>
  <c r="BJ477" i="1" l="1"/>
  <c r="BH477" i="1"/>
  <c r="BD471" i="1"/>
  <c r="BI477" i="1"/>
  <c r="BF477" i="1"/>
  <c r="S473" i="1"/>
  <c r="T472" i="1"/>
  <c r="BE471" i="1"/>
  <c r="BC471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AW470" i="1"/>
  <c r="AX470" i="1"/>
  <c r="AY470" i="1"/>
  <c r="AZ470" i="1"/>
  <c r="BA470" i="1"/>
  <c r="BB470" i="1"/>
  <c r="M470" i="1"/>
  <c r="Y470" i="1"/>
  <c r="AI469" i="1"/>
  <c r="AJ469" i="1"/>
  <c r="AK469" i="1"/>
  <c r="BF476" i="1" l="1"/>
  <c r="BJ476" i="1"/>
  <c r="BH476" i="1"/>
  <c r="BI476" i="1"/>
  <c r="W470" i="1"/>
  <c r="X470" i="1" s="1"/>
  <c r="R471" i="1"/>
  <c r="U477" i="1" s="1"/>
  <c r="S472" i="1"/>
  <c r="BD470" i="1"/>
  <c r="BC470" i="1"/>
  <c r="N470" i="1"/>
  <c r="S471" i="1" s="1"/>
  <c r="O470" i="1"/>
  <c r="AV470" i="1"/>
  <c r="BE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AW469" i="1"/>
  <c r="AX469" i="1"/>
  <c r="AY469" i="1"/>
  <c r="AZ469" i="1"/>
  <c r="BA469" i="1"/>
  <c r="BB469" i="1"/>
  <c r="M469" i="1"/>
  <c r="Y469" i="1"/>
  <c r="AI468" i="1"/>
  <c r="AJ468" i="1"/>
  <c r="AK468" i="1"/>
  <c r="BJ475" i="1" l="1"/>
  <c r="BH475" i="1"/>
  <c r="AV469" i="1"/>
  <c r="BF475" i="1"/>
  <c r="BI475" i="1"/>
  <c r="T471" i="1"/>
  <c r="R470" i="1"/>
  <c r="BD469" i="1"/>
  <c r="BE469" i="1"/>
  <c r="BC469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AW468" i="1"/>
  <c r="AX468" i="1"/>
  <c r="AY468" i="1"/>
  <c r="AZ468" i="1"/>
  <c r="BA468" i="1"/>
  <c r="BB468" i="1"/>
  <c r="M468" i="1"/>
  <c r="Y468" i="1"/>
  <c r="AI467" i="1"/>
  <c r="AJ467" i="1"/>
  <c r="AK467" i="1"/>
  <c r="BJ474" i="1" l="1"/>
  <c r="BH474" i="1"/>
  <c r="BI474" i="1"/>
  <c r="AV468" i="1"/>
  <c r="BF474" i="1"/>
  <c r="U475" i="1"/>
  <c r="U476" i="1"/>
  <c r="T470" i="1"/>
  <c r="T469" i="1"/>
  <c r="BD468" i="1"/>
  <c r="BE468" i="1"/>
  <c r="BC468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AW467" i="1"/>
  <c r="AX467" i="1"/>
  <c r="AY467" i="1"/>
  <c r="AZ467" i="1"/>
  <c r="BA467" i="1"/>
  <c r="BB467" i="1"/>
  <c r="M467" i="1"/>
  <c r="Y467" i="1"/>
  <c r="AI466" i="1"/>
  <c r="AJ466" i="1"/>
  <c r="AK466" i="1"/>
  <c r="BF473" i="1" l="1"/>
  <c r="BI473" i="1"/>
  <c r="BJ473" i="1"/>
  <c r="BH473" i="1"/>
  <c r="U474" i="1"/>
  <c r="T468" i="1"/>
  <c r="BD467" i="1"/>
  <c r="BC467" i="1"/>
  <c r="W467" i="1"/>
  <c r="X467" i="1" s="1"/>
  <c r="N467" i="1"/>
  <c r="S468" i="1" s="1"/>
  <c r="O467" i="1"/>
  <c r="AV467" i="1"/>
  <c r="BE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AW466" i="1"/>
  <c r="AX466" i="1"/>
  <c r="AY466" i="1"/>
  <c r="AZ466" i="1"/>
  <c r="BA466" i="1"/>
  <c r="BB466" i="1"/>
  <c r="M466" i="1"/>
  <c r="Y466" i="1"/>
  <c r="BJ472" i="1" l="1"/>
  <c r="BH472" i="1"/>
  <c r="BG479" i="1"/>
  <c r="BF472" i="1"/>
  <c r="BI472" i="1"/>
  <c r="V467" i="1"/>
  <c r="U473" i="1" s="1"/>
  <c r="BD466" i="1"/>
  <c r="BC466" i="1"/>
  <c r="W466" i="1"/>
  <c r="X466" i="1" s="1"/>
  <c r="O466" i="1"/>
  <c r="N466" i="1"/>
  <c r="AV466" i="1"/>
  <c r="BE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AW465" i="1"/>
  <c r="AX465" i="1"/>
  <c r="AY465" i="1"/>
  <c r="AZ465" i="1"/>
  <c r="BA465" i="1"/>
  <c r="BB465" i="1"/>
  <c r="M465" i="1"/>
  <c r="Y465" i="1"/>
  <c r="AI464" i="1"/>
  <c r="AJ464" i="1"/>
  <c r="AK464" i="1"/>
  <c r="BI471" i="1" l="1"/>
  <c r="BG478" i="1"/>
  <c r="BF471" i="1"/>
  <c r="BJ471" i="1"/>
  <c r="BH471" i="1"/>
  <c r="V466" i="1"/>
  <c r="T466" i="1" s="1"/>
  <c r="BD465" i="1"/>
  <c r="BE465" i="1"/>
  <c r="BC465" i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AW464" i="1"/>
  <c r="AX464" i="1"/>
  <c r="AY464" i="1"/>
  <c r="AZ464" i="1"/>
  <c r="BA464" i="1"/>
  <c r="BB464" i="1"/>
  <c r="M464" i="1"/>
  <c r="Y464" i="1"/>
  <c r="AI463" i="1"/>
  <c r="AJ463" i="1"/>
  <c r="AK463" i="1"/>
  <c r="BI470" i="1" l="1"/>
  <c r="BJ470" i="1"/>
  <c r="BH470" i="1"/>
  <c r="U472" i="1"/>
  <c r="AV464" i="1"/>
  <c r="BG477" i="1"/>
  <c r="BF470" i="1"/>
  <c r="S466" i="1"/>
  <c r="T465" i="1"/>
  <c r="U471" i="1"/>
  <c r="BD464" i="1"/>
  <c r="BE464" i="1"/>
  <c r="W464" i="1"/>
  <c r="X464" i="1" s="1"/>
  <c r="N464" i="1"/>
  <c r="O464" i="1"/>
  <c r="BC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AW463" i="1"/>
  <c r="AX463" i="1"/>
  <c r="AY463" i="1"/>
  <c r="AZ463" i="1"/>
  <c r="BA463" i="1"/>
  <c r="BB463" i="1"/>
  <c r="M463" i="1"/>
  <c r="Y463" i="1"/>
  <c r="AI462" i="1"/>
  <c r="AJ462" i="1"/>
  <c r="AK462" i="1"/>
  <c r="BJ469" i="1" l="1"/>
  <c r="BH469" i="1"/>
  <c r="BD463" i="1"/>
  <c r="BI469" i="1"/>
  <c r="BG476" i="1"/>
  <c r="BF469" i="1"/>
  <c r="R464" i="1"/>
  <c r="S465" i="1"/>
  <c r="BE463" i="1"/>
  <c r="BC463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BT462" i="1"/>
  <c r="B462" i="1" s="1"/>
  <c r="V463" i="1" s="1"/>
  <c r="AT462" i="1"/>
  <c r="AU462" i="1"/>
  <c r="AW462" i="1"/>
  <c r="AX462" i="1"/>
  <c r="AY462" i="1"/>
  <c r="AZ462" i="1"/>
  <c r="BA462" i="1"/>
  <c r="BB462" i="1"/>
  <c r="M462" i="1"/>
  <c r="Y462" i="1"/>
  <c r="C462" i="1"/>
  <c r="AI461" i="1"/>
  <c r="AJ461" i="1"/>
  <c r="AK461" i="1"/>
  <c r="BI468" i="1" l="1"/>
  <c r="BJ468" i="1"/>
  <c r="AV462" i="1"/>
  <c r="BG475" i="1"/>
  <c r="BF468" i="1"/>
  <c r="BH468" i="1"/>
  <c r="U470" i="1"/>
  <c r="T464" i="1"/>
  <c r="S464" i="1"/>
  <c r="R463" i="1"/>
  <c r="U469" i="1" s="1"/>
  <c r="BD462" i="1"/>
  <c r="BE462" i="1"/>
  <c r="BC462" i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AW461" i="1"/>
  <c r="AX461" i="1"/>
  <c r="AY461" i="1"/>
  <c r="AZ461" i="1"/>
  <c r="BA461" i="1"/>
  <c r="BB461" i="1"/>
  <c r="M461" i="1"/>
  <c r="Y461" i="1"/>
  <c r="AI460" i="1"/>
  <c r="AJ460" i="1"/>
  <c r="AK460" i="1"/>
  <c r="BC461" i="1" l="1"/>
  <c r="BI467" i="1"/>
  <c r="T463" i="1"/>
  <c r="BG474" i="1"/>
  <c r="BF467" i="1"/>
  <c r="BE461" i="1"/>
  <c r="BJ467" i="1"/>
  <c r="BH467" i="1"/>
  <c r="U468" i="1"/>
  <c r="T462" i="1"/>
  <c r="S463" i="1"/>
  <c r="BD461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AW460" i="1"/>
  <c r="AX460" i="1"/>
  <c r="AY460" i="1"/>
  <c r="AZ460" i="1"/>
  <c r="BA460" i="1"/>
  <c r="BB460" i="1"/>
  <c r="M460" i="1"/>
  <c r="Y460" i="1"/>
  <c r="AI459" i="1"/>
  <c r="AJ459" i="1"/>
  <c r="AK459" i="1"/>
  <c r="BI466" i="1" l="1"/>
  <c r="BC460" i="1"/>
  <c r="BG473" i="1"/>
  <c r="BF466" i="1"/>
  <c r="BJ466" i="1"/>
  <c r="BH466" i="1"/>
  <c r="R461" i="1"/>
  <c r="V461" i="1"/>
  <c r="BD460" i="1"/>
  <c r="BE460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AW459" i="1"/>
  <c r="AX459" i="1"/>
  <c r="AY459" i="1"/>
  <c r="AZ459" i="1"/>
  <c r="BA459" i="1"/>
  <c r="BB459" i="1"/>
  <c r="M459" i="1"/>
  <c r="Y459" i="1"/>
  <c r="BI465" i="1" l="1"/>
  <c r="BE459" i="1"/>
  <c r="AV459" i="1"/>
  <c r="BG472" i="1"/>
  <c r="BF465" i="1"/>
  <c r="BJ465" i="1"/>
  <c r="BH465" i="1"/>
  <c r="U467" i="1"/>
  <c r="T461" i="1"/>
  <c r="R460" i="1"/>
  <c r="W459" i="1"/>
  <c r="X459" i="1" s="1"/>
  <c r="S461" i="1"/>
  <c r="BD459" i="1"/>
  <c r="BC459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AW458" i="1"/>
  <c r="AX458" i="1"/>
  <c r="AY458" i="1"/>
  <c r="AZ458" i="1"/>
  <c r="BA458" i="1"/>
  <c r="BB458" i="1"/>
  <c r="M458" i="1"/>
  <c r="Y458" i="1"/>
  <c r="C458" i="1"/>
  <c r="AI457" i="1"/>
  <c r="AJ457" i="1"/>
  <c r="AK457" i="1"/>
  <c r="BI464" i="1" l="1"/>
  <c r="BH464" i="1"/>
  <c r="BG471" i="1"/>
  <c r="BF464" i="1"/>
  <c r="BJ464" i="1"/>
  <c r="BE458" i="1"/>
  <c r="W458" i="1"/>
  <c r="X458" i="1" s="1"/>
  <c r="R459" i="1"/>
  <c r="BD458" i="1"/>
  <c r="BC458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AW457" i="1"/>
  <c r="AX457" i="1"/>
  <c r="AY457" i="1"/>
  <c r="AZ457" i="1"/>
  <c r="BA457" i="1"/>
  <c r="BB457" i="1"/>
  <c r="M457" i="1"/>
  <c r="Y457" i="1"/>
  <c r="AI456" i="1"/>
  <c r="AJ456" i="1"/>
  <c r="AK456" i="1"/>
  <c r="BH463" i="1" l="1"/>
  <c r="BJ463" i="1"/>
  <c r="BE457" i="1"/>
  <c r="BD457" i="1"/>
  <c r="BI463" i="1"/>
  <c r="BG470" i="1"/>
  <c r="BF463" i="1"/>
  <c r="U465" i="1"/>
  <c r="T459" i="1"/>
  <c r="U464" i="1"/>
  <c r="S459" i="1"/>
  <c r="T458" i="1"/>
  <c r="BC457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AW456" i="1"/>
  <c r="AX456" i="1"/>
  <c r="AY456" i="1"/>
  <c r="AZ456" i="1"/>
  <c r="BA456" i="1"/>
  <c r="BB456" i="1"/>
  <c r="M456" i="1"/>
  <c r="Y456" i="1"/>
  <c r="AI455" i="1"/>
  <c r="AJ455" i="1"/>
  <c r="AK455" i="1"/>
  <c r="BH462" i="1" l="1"/>
  <c r="BI462" i="1"/>
  <c r="BG469" i="1"/>
  <c r="BF462" i="1"/>
  <c r="BJ462" i="1"/>
  <c r="BE456" i="1"/>
  <c r="U463" i="1"/>
  <c r="S458" i="1"/>
  <c r="T457" i="1"/>
  <c r="BD456" i="1"/>
  <c r="BC456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AW455" i="1"/>
  <c r="AX455" i="1"/>
  <c r="BH461" i="1" s="1"/>
  <c r="AY455" i="1"/>
  <c r="AZ455" i="1"/>
  <c r="BA455" i="1"/>
  <c r="BB455" i="1"/>
  <c r="M455" i="1"/>
  <c r="Y455" i="1"/>
  <c r="AI454" i="1"/>
  <c r="AJ454" i="1"/>
  <c r="AK454" i="1"/>
  <c r="BJ461" i="1" l="1"/>
  <c r="BE455" i="1"/>
  <c r="BI461" i="1"/>
  <c r="BG468" i="1"/>
  <c r="BF461" i="1"/>
  <c r="S457" i="1"/>
  <c r="R456" i="1"/>
  <c r="U462" i="1" s="1"/>
  <c r="BD455" i="1"/>
  <c r="BC455" i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AW454" i="1"/>
  <c r="AX454" i="1"/>
  <c r="AY454" i="1"/>
  <c r="AZ454" i="1"/>
  <c r="BA454" i="1"/>
  <c r="BB454" i="1"/>
  <c r="M454" i="1"/>
  <c r="Y454" i="1"/>
  <c r="AI453" i="1"/>
  <c r="AJ453" i="1"/>
  <c r="AK453" i="1"/>
  <c r="BH460" i="1" l="1"/>
  <c r="BI460" i="1"/>
  <c r="BG467" i="1"/>
  <c r="BF460" i="1"/>
  <c r="BJ460" i="1"/>
  <c r="BE454" i="1"/>
  <c r="U461" i="1"/>
  <c r="T456" i="1"/>
  <c r="S456" i="1"/>
  <c r="T455" i="1"/>
  <c r="BD454" i="1"/>
  <c r="W454" i="1"/>
  <c r="X454" i="1" s="1"/>
  <c r="BC454" i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AW453" i="1"/>
  <c r="AX453" i="1"/>
  <c r="AY453" i="1"/>
  <c r="AZ453" i="1"/>
  <c r="BA453" i="1"/>
  <c r="BB453" i="1"/>
  <c r="M453" i="1"/>
  <c r="Y453" i="1"/>
  <c r="AI452" i="1"/>
  <c r="AJ452" i="1"/>
  <c r="AK452" i="1"/>
  <c r="BH459" i="1" l="1"/>
  <c r="BE453" i="1"/>
  <c r="BJ459" i="1"/>
  <c r="BD453" i="1"/>
  <c r="BI459" i="1"/>
  <c r="BG466" i="1"/>
  <c r="BF459" i="1"/>
  <c r="R454" i="1"/>
  <c r="S455" i="1"/>
  <c r="BC453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BT452" i="1"/>
  <c r="B452" i="1" s="1"/>
  <c r="V453" i="1" s="1"/>
  <c r="AT452" i="1"/>
  <c r="AU452" i="1"/>
  <c r="AW452" i="1"/>
  <c r="AX452" i="1"/>
  <c r="AY452" i="1"/>
  <c r="AZ452" i="1"/>
  <c r="BA452" i="1"/>
  <c r="BB452" i="1"/>
  <c r="M452" i="1"/>
  <c r="Y452" i="1"/>
  <c r="C452" i="1"/>
  <c r="R453" i="1" s="1"/>
  <c r="AI451" i="1"/>
  <c r="AJ451" i="1"/>
  <c r="AK451" i="1"/>
  <c r="BH458" i="1" l="1"/>
  <c r="BD452" i="1"/>
  <c r="BI458" i="1"/>
  <c r="BG465" i="1"/>
  <c r="BF458" i="1"/>
  <c r="U459" i="1"/>
  <c r="BE452" i="1"/>
  <c r="BJ458" i="1"/>
  <c r="U460" i="1"/>
  <c r="T454" i="1"/>
  <c r="T453" i="1"/>
  <c r="BC452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AW451" i="1"/>
  <c r="AX451" i="1"/>
  <c r="BH457" i="1" s="1"/>
  <c r="AY451" i="1"/>
  <c r="AZ451" i="1"/>
  <c r="BA451" i="1"/>
  <c r="BB451" i="1"/>
  <c r="M451" i="1"/>
  <c r="Y451" i="1"/>
  <c r="AI450" i="1"/>
  <c r="AJ450" i="1"/>
  <c r="AK450" i="1"/>
  <c r="BE451" i="1" l="1"/>
  <c r="BJ457" i="1"/>
  <c r="BI457" i="1"/>
  <c r="BG464" i="1"/>
  <c r="BF457" i="1"/>
  <c r="W451" i="1"/>
  <c r="X451" i="1" s="1"/>
  <c r="R452" i="1"/>
  <c r="V452" i="1"/>
  <c r="BD451" i="1"/>
  <c r="BC451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AT450" i="1"/>
  <c r="AU450" i="1"/>
  <c r="AW450" i="1"/>
  <c r="AX450" i="1"/>
  <c r="AY450" i="1"/>
  <c r="AZ450" i="1"/>
  <c r="BA450" i="1"/>
  <c r="BB450" i="1"/>
  <c r="M450" i="1"/>
  <c r="Y450" i="1"/>
  <c r="B450" i="1"/>
  <c r="AI449" i="1"/>
  <c r="AJ449" i="1"/>
  <c r="AK449" i="1"/>
  <c r="BD450" i="1" l="1"/>
  <c r="BI456" i="1"/>
  <c r="BG463" i="1"/>
  <c r="BF456" i="1"/>
  <c r="BE450" i="1"/>
  <c r="BJ456" i="1"/>
  <c r="BH456" i="1"/>
  <c r="T452" i="1"/>
  <c r="W450" i="1"/>
  <c r="X450" i="1" s="1"/>
  <c r="R451" i="1"/>
  <c r="V451" i="1"/>
  <c r="U458" i="1"/>
  <c r="S452" i="1"/>
  <c r="BC450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AV449" i="1"/>
  <c r="AW449" i="1"/>
  <c r="AX449" i="1"/>
  <c r="AY449" i="1"/>
  <c r="AZ449" i="1"/>
  <c r="BI455" i="1" s="1"/>
  <c r="BA449" i="1"/>
  <c r="BB449" i="1"/>
  <c r="M449" i="1"/>
  <c r="Y449" i="1"/>
  <c r="BH455" i="1" l="1"/>
  <c r="BG462" i="1"/>
  <c r="BF455" i="1"/>
  <c r="BE449" i="1"/>
  <c r="BJ455" i="1"/>
  <c r="U456" i="1"/>
  <c r="U457" i="1"/>
  <c r="T451" i="1"/>
  <c r="T450" i="1"/>
  <c r="BD449" i="1"/>
  <c r="BC449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AW448" i="1"/>
  <c r="AX448" i="1"/>
  <c r="BH454" i="1" s="1"/>
  <c r="AY448" i="1"/>
  <c r="AZ448" i="1"/>
  <c r="BA448" i="1"/>
  <c r="BB448" i="1"/>
  <c r="M448" i="1"/>
  <c r="Y448" i="1"/>
  <c r="BE448" i="1" l="1"/>
  <c r="BJ454" i="1"/>
  <c r="BC448" i="1"/>
  <c r="BI454" i="1"/>
  <c r="BG461" i="1"/>
  <c r="BF454" i="1"/>
  <c r="W448" i="1"/>
  <c r="X448" i="1" s="1"/>
  <c r="R449" i="1"/>
  <c r="BD448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AW447" i="1"/>
  <c r="AX447" i="1"/>
  <c r="BH453" i="1" s="1"/>
  <c r="AY447" i="1"/>
  <c r="AZ447" i="1"/>
  <c r="BA447" i="1"/>
  <c r="BB447" i="1"/>
  <c r="M447" i="1"/>
  <c r="Y447" i="1"/>
  <c r="AI446" i="1"/>
  <c r="AJ446" i="1"/>
  <c r="AK446" i="1"/>
  <c r="BE447" i="1" l="1"/>
  <c r="BJ453" i="1"/>
  <c r="BD447" i="1"/>
  <c r="BI453" i="1"/>
  <c r="BG460" i="1"/>
  <c r="BF453" i="1"/>
  <c r="W447" i="1"/>
  <c r="X447" i="1" s="1"/>
  <c r="R448" i="1"/>
  <c r="V448" i="1"/>
  <c r="BC447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AW446" i="1"/>
  <c r="AX446" i="1"/>
  <c r="AY446" i="1"/>
  <c r="AZ446" i="1"/>
  <c r="BA446" i="1"/>
  <c r="BB446" i="1"/>
  <c r="M446" i="1"/>
  <c r="Y446" i="1"/>
  <c r="AI445" i="1"/>
  <c r="AJ445" i="1"/>
  <c r="AK445" i="1"/>
  <c r="BI452" i="1" l="1"/>
  <c r="BG459" i="1"/>
  <c r="BF452" i="1"/>
  <c r="BE446" i="1"/>
  <c r="BJ452" i="1"/>
  <c r="BH452" i="1"/>
  <c r="U454" i="1"/>
  <c r="T448" i="1"/>
  <c r="S448" i="1"/>
  <c r="R447" i="1"/>
  <c r="BD446" i="1"/>
  <c r="BC446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AW445" i="1"/>
  <c r="AX445" i="1"/>
  <c r="AY445" i="1"/>
  <c r="AZ445" i="1"/>
  <c r="BA445" i="1"/>
  <c r="BB445" i="1"/>
  <c r="M445" i="1"/>
  <c r="Y445" i="1"/>
  <c r="AI444" i="1"/>
  <c r="AJ444" i="1"/>
  <c r="AK444" i="1"/>
  <c r="BH451" i="1" l="1"/>
  <c r="BI451" i="1"/>
  <c r="BG458" i="1"/>
  <c r="BF451" i="1"/>
  <c r="BE445" i="1"/>
  <c r="BJ451" i="1"/>
  <c r="R446" i="1"/>
  <c r="U452" i="1" s="1"/>
  <c r="U453" i="1"/>
  <c r="T447" i="1"/>
  <c r="S447" i="1"/>
  <c r="T446" i="1"/>
  <c r="BD445" i="1"/>
  <c r="BC445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AW444" i="1"/>
  <c r="AX444" i="1"/>
  <c r="AY444" i="1"/>
  <c r="AZ444" i="1"/>
  <c r="BA444" i="1"/>
  <c r="BB444" i="1"/>
  <c r="M444" i="1"/>
  <c r="Y444" i="1"/>
  <c r="AI443" i="1"/>
  <c r="AJ443" i="1"/>
  <c r="AK443" i="1"/>
  <c r="BE444" i="1" l="1"/>
  <c r="BJ450" i="1"/>
  <c r="BH450" i="1"/>
  <c r="BI450" i="1"/>
  <c r="AV444" i="1"/>
  <c r="BG457" i="1"/>
  <c r="BF450" i="1"/>
  <c r="S446" i="1"/>
  <c r="R445" i="1"/>
  <c r="U451" i="1" s="1"/>
  <c r="BC444" i="1"/>
  <c r="O444" i="1"/>
  <c r="N444" i="1"/>
  <c r="S445" i="1" s="1"/>
  <c r="BD444" i="1"/>
  <c r="CR443" i="1"/>
  <c r="CS443" i="1"/>
  <c r="CO442" i="1"/>
  <c r="CN442" i="1"/>
  <c r="CM442" i="1"/>
  <c r="AZ443" i="1" s="1"/>
  <c r="CL442" i="1"/>
  <c r="AY443" i="1" s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AW443" i="1"/>
  <c r="AX443" i="1"/>
  <c r="BA443" i="1"/>
  <c r="BB443" i="1"/>
  <c r="M443" i="1"/>
  <c r="Y443" i="1"/>
  <c r="AI442" i="1"/>
  <c r="AJ442" i="1"/>
  <c r="AK442" i="1"/>
  <c r="BH449" i="1" l="1"/>
  <c r="CR442" i="1"/>
  <c r="BE443" i="1"/>
  <c r="BJ449" i="1"/>
  <c r="AV443" i="1"/>
  <c r="BG456" i="1"/>
  <c r="BF449" i="1"/>
  <c r="BI449" i="1"/>
  <c r="U450" i="1"/>
  <c r="T444" i="1"/>
  <c r="T445" i="1"/>
  <c r="BD443" i="1"/>
  <c r="BC443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AW442" i="1"/>
  <c r="AX442" i="1"/>
  <c r="BH448" i="1" s="1"/>
  <c r="AY442" i="1"/>
  <c r="AZ442" i="1"/>
  <c r="BA442" i="1"/>
  <c r="BB442" i="1"/>
  <c r="M442" i="1"/>
  <c r="Y442" i="1"/>
  <c r="AI441" i="1"/>
  <c r="AJ441" i="1"/>
  <c r="AK441" i="1"/>
  <c r="BE442" i="1" l="1"/>
  <c r="BJ448" i="1"/>
  <c r="BG455" i="1"/>
  <c r="BF448" i="1"/>
  <c r="BI448" i="1"/>
  <c r="W442" i="1"/>
  <c r="X442" i="1" s="1"/>
  <c r="R443" i="1"/>
  <c r="U449" i="1" s="1"/>
  <c r="BD442" i="1"/>
  <c r="BC442" i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W441" i="1"/>
  <c r="AX441" i="1"/>
  <c r="AY441" i="1"/>
  <c r="AZ441" i="1"/>
  <c r="BA441" i="1"/>
  <c r="BB441" i="1"/>
  <c r="AI440" i="1"/>
  <c r="AJ440" i="1"/>
  <c r="AK440" i="1"/>
  <c r="BI447" i="1" l="1"/>
  <c r="BG454" i="1"/>
  <c r="BF447" i="1"/>
  <c r="BE441" i="1"/>
  <c r="BJ447" i="1"/>
  <c r="BH447" i="1"/>
  <c r="T442" i="1"/>
  <c r="U448" i="1"/>
  <c r="S443" i="1"/>
  <c r="T443" i="1"/>
  <c r="BD441" i="1"/>
  <c r="BC441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BT440" i="1"/>
  <c r="B440" i="1" s="1"/>
  <c r="V441" i="1" s="1"/>
  <c r="AT440" i="1"/>
  <c r="AU440" i="1"/>
  <c r="AW440" i="1"/>
  <c r="AX440" i="1"/>
  <c r="AY440" i="1"/>
  <c r="AZ440" i="1"/>
  <c r="BA440" i="1"/>
  <c r="BB440" i="1"/>
  <c r="M440" i="1"/>
  <c r="Y440" i="1"/>
  <c r="C440" i="1"/>
  <c r="AI439" i="1"/>
  <c r="AJ439" i="1"/>
  <c r="AK439" i="1"/>
  <c r="BH446" i="1" l="1"/>
  <c r="BE440" i="1"/>
  <c r="BJ446" i="1"/>
  <c r="BI446" i="1"/>
  <c r="BG453" i="1"/>
  <c r="BF446" i="1"/>
  <c r="R441" i="1"/>
  <c r="U447" i="1" s="1"/>
  <c r="BD440" i="1"/>
  <c r="BC440" i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AW439" i="1"/>
  <c r="AX439" i="1"/>
  <c r="AY439" i="1"/>
  <c r="AZ439" i="1"/>
  <c r="BA439" i="1"/>
  <c r="BB439" i="1"/>
  <c r="M439" i="1"/>
  <c r="Y439" i="1"/>
  <c r="AI438" i="1"/>
  <c r="AJ438" i="1"/>
  <c r="AK438" i="1"/>
  <c r="BI445" i="1" l="1"/>
  <c r="AV439" i="1"/>
  <c r="BG452" i="1"/>
  <c r="BF445" i="1"/>
  <c r="BE439" i="1"/>
  <c r="BJ445" i="1"/>
  <c r="BH445" i="1"/>
  <c r="U446" i="1"/>
  <c r="T440" i="1"/>
  <c r="S441" i="1"/>
  <c r="T441" i="1"/>
  <c r="BD439" i="1"/>
  <c r="BC439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BT438" i="1"/>
  <c r="B438" i="1" s="1"/>
  <c r="AT438" i="1"/>
  <c r="AU438" i="1"/>
  <c r="AW438" i="1"/>
  <c r="AX438" i="1"/>
  <c r="AY438" i="1"/>
  <c r="AZ438" i="1"/>
  <c r="BA438" i="1"/>
  <c r="BB438" i="1"/>
  <c r="M438" i="1"/>
  <c r="Y438" i="1"/>
  <c r="C438" i="1"/>
  <c r="AI437" i="1"/>
  <c r="AJ437" i="1"/>
  <c r="AK437" i="1"/>
  <c r="BH444" i="1" l="1"/>
  <c r="BG451" i="1"/>
  <c r="BF444" i="1"/>
  <c r="BI444" i="1"/>
  <c r="BE438" i="1"/>
  <c r="BJ444" i="1"/>
  <c r="V439" i="1"/>
  <c r="R439" i="1"/>
  <c r="BD438" i="1"/>
  <c r="BC438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AW437" i="1"/>
  <c r="AX437" i="1"/>
  <c r="AY437" i="1"/>
  <c r="AZ437" i="1"/>
  <c r="BA437" i="1"/>
  <c r="BB437" i="1"/>
  <c r="M437" i="1"/>
  <c r="Y437" i="1"/>
  <c r="BI443" i="1" l="1"/>
  <c r="BG450" i="1"/>
  <c r="BF443" i="1"/>
  <c r="BE437" i="1"/>
  <c r="BJ443" i="1"/>
  <c r="BH443" i="1"/>
  <c r="V438" i="1"/>
  <c r="R438" i="1"/>
  <c r="U445" i="1"/>
  <c r="T439" i="1"/>
  <c r="BD437" i="1"/>
  <c r="BC437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AW436" i="1"/>
  <c r="AX436" i="1"/>
  <c r="AY436" i="1"/>
  <c r="AZ436" i="1"/>
  <c r="BI442" i="1" s="1"/>
  <c r="BA436" i="1"/>
  <c r="BB436" i="1"/>
  <c r="M436" i="1"/>
  <c r="Y436" i="1"/>
  <c r="BH442" i="1" l="1"/>
  <c r="BG449" i="1"/>
  <c r="BF442" i="1"/>
  <c r="BE436" i="1"/>
  <c r="BJ442" i="1"/>
  <c r="U443" i="1"/>
  <c r="T437" i="1"/>
  <c r="BD436" i="1"/>
  <c r="BC436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AW435" i="1"/>
  <c r="AX435" i="1"/>
  <c r="AY435" i="1"/>
  <c r="AZ435" i="1"/>
  <c r="BA435" i="1"/>
  <c r="BB435" i="1"/>
  <c r="M435" i="1"/>
  <c r="Y435" i="1"/>
  <c r="AI434" i="1"/>
  <c r="AJ434" i="1"/>
  <c r="AK434" i="1"/>
  <c r="BI441" i="1" l="1"/>
  <c r="BG448" i="1"/>
  <c r="BF441" i="1"/>
  <c r="BE435" i="1"/>
  <c r="BJ441" i="1"/>
  <c r="BH441" i="1"/>
  <c r="W435" i="1"/>
  <c r="X435" i="1" s="1"/>
  <c r="R436" i="1"/>
  <c r="BD435" i="1"/>
  <c r="BC435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AW434" i="1"/>
  <c r="AX434" i="1"/>
  <c r="AY434" i="1"/>
  <c r="AZ434" i="1"/>
  <c r="BA434" i="1"/>
  <c r="BB434" i="1"/>
  <c r="M434" i="1"/>
  <c r="Y434" i="1"/>
  <c r="AI433" i="1"/>
  <c r="AJ433" i="1"/>
  <c r="AK433" i="1"/>
  <c r="AV434" i="1" l="1"/>
  <c r="BH440" i="1"/>
  <c r="BI440" i="1"/>
  <c r="BG447" i="1"/>
  <c r="BF440" i="1"/>
  <c r="BE434" i="1"/>
  <c r="BJ440" i="1"/>
  <c r="V435" i="1"/>
  <c r="T435" i="1" s="1"/>
  <c r="U442" i="1"/>
  <c r="T436" i="1"/>
  <c r="S436" i="1"/>
  <c r="BD434" i="1"/>
  <c r="BC434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AW433" i="1"/>
  <c r="AX433" i="1"/>
  <c r="AY433" i="1"/>
  <c r="AZ433" i="1"/>
  <c r="BA433" i="1"/>
  <c r="BB433" i="1"/>
  <c r="M433" i="1"/>
  <c r="Y433" i="1"/>
  <c r="AI432" i="1"/>
  <c r="AJ432" i="1"/>
  <c r="AK432" i="1"/>
  <c r="R434" i="1" l="1"/>
  <c r="BH439" i="1"/>
  <c r="BE433" i="1"/>
  <c r="BJ439" i="1"/>
  <c r="BD433" i="1"/>
  <c r="BI439" i="1"/>
  <c r="BG446" i="1"/>
  <c r="BF439" i="1"/>
  <c r="V434" i="1"/>
  <c r="T434" i="1" s="1"/>
  <c r="U441" i="1"/>
  <c r="BC433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AW432" i="1"/>
  <c r="AX432" i="1"/>
  <c r="AY432" i="1"/>
  <c r="AZ432" i="1"/>
  <c r="BA432" i="1"/>
  <c r="BB432" i="1"/>
  <c r="M432" i="1"/>
  <c r="Y432" i="1"/>
  <c r="AI431" i="1"/>
  <c r="AJ431" i="1"/>
  <c r="AK431" i="1"/>
  <c r="BI438" i="1" l="1"/>
  <c r="U440" i="1"/>
  <c r="BH438" i="1"/>
  <c r="AV432" i="1"/>
  <c r="BG445" i="1"/>
  <c r="BF438" i="1"/>
  <c r="BE432" i="1"/>
  <c r="BJ438" i="1"/>
  <c r="W432" i="1"/>
  <c r="X432" i="1" s="1"/>
  <c r="R433" i="1"/>
  <c r="T433" i="1" s="1"/>
  <c r="BD432" i="1"/>
  <c r="BC432" i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AW431" i="1"/>
  <c r="AX431" i="1"/>
  <c r="AY431" i="1"/>
  <c r="AZ431" i="1"/>
  <c r="BA431" i="1"/>
  <c r="BB431" i="1"/>
  <c r="M431" i="1"/>
  <c r="Y431" i="1"/>
  <c r="AV431" i="1" l="1"/>
  <c r="BG444" i="1"/>
  <c r="BF437" i="1"/>
  <c r="BD431" i="1"/>
  <c r="BI437" i="1"/>
  <c r="BE431" i="1"/>
  <c r="BJ437" i="1"/>
  <c r="BH437" i="1"/>
  <c r="U439" i="1"/>
  <c r="R432" i="1"/>
  <c r="BC431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AW430" i="1"/>
  <c r="AX430" i="1"/>
  <c r="AY430" i="1"/>
  <c r="AZ430" i="1"/>
  <c r="BA430" i="1"/>
  <c r="BB430" i="1"/>
  <c r="M430" i="1"/>
  <c r="Y430" i="1"/>
  <c r="AI429" i="1"/>
  <c r="AJ429" i="1"/>
  <c r="AK429" i="1"/>
  <c r="BH436" i="1" l="1"/>
  <c r="U437" i="1"/>
  <c r="BE430" i="1"/>
  <c r="BJ436" i="1"/>
  <c r="BI436" i="1"/>
  <c r="BG443" i="1"/>
  <c r="BF436" i="1"/>
  <c r="T431" i="1"/>
  <c r="BD430" i="1"/>
  <c r="BC430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W429" i="1"/>
  <c r="AX429" i="1"/>
  <c r="AY429" i="1"/>
  <c r="AZ429" i="1"/>
  <c r="BA429" i="1"/>
  <c r="BB429" i="1"/>
  <c r="AI428" i="1"/>
  <c r="AJ428" i="1"/>
  <c r="AK428" i="1"/>
  <c r="M429" i="1"/>
  <c r="Y429" i="1"/>
  <c r="C429" i="1"/>
  <c r="R430" i="1" s="1"/>
  <c r="BH435" i="1" l="1"/>
  <c r="BI435" i="1"/>
  <c r="BG442" i="1"/>
  <c r="BF435" i="1"/>
  <c r="BE429" i="1"/>
  <c r="BJ435" i="1"/>
  <c r="T430" i="1"/>
  <c r="S431" i="1"/>
  <c r="U436" i="1"/>
  <c r="BD429" i="1"/>
  <c r="BC429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AW428" i="1"/>
  <c r="AX428" i="1"/>
  <c r="AY428" i="1"/>
  <c r="AZ428" i="1"/>
  <c r="BA428" i="1"/>
  <c r="BB428" i="1"/>
  <c r="M428" i="1"/>
  <c r="Y428" i="1"/>
  <c r="AI427" i="1"/>
  <c r="AJ427" i="1"/>
  <c r="AK427" i="1"/>
  <c r="BH434" i="1" l="1"/>
  <c r="T429" i="1"/>
  <c r="BI434" i="1"/>
  <c r="BE428" i="1"/>
  <c r="BJ434" i="1"/>
  <c r="AV428" i="1"/>
  <c r="BG441" i="1"/>
  <c r="BF434" i="1"/>
  <c r="U435" i="1"/>
  <c r="BD428" i="1"/>
  <c r="BC428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AW427" i="1"/>
  <c r="AX427" i="1"/>
  <c r="AY427" i="1"/>
  <c r="AZ427" i="1"/>
  <c r="BA427" i="1"/>
  <c r="BB427" i="1"/>
  <c r="M427" i="1"/>
  <c r="Y427" i="1"/>
  <c r="BH433" i="1" l="1"/>
  <c r="BE427" i="1"/>
  <c r="BJ433" i="1"/>
  <c r="BI433" i="1"/>
  <c r="BG440" i="1"/>
  <c r="BF433" i="1"/>
  <c r="V428" i="1"/>
  <c r="R428" i="1"/>
  <c r="U434" i="1" s="1"/>
  <c r="BD427" i="1"/>
  <c r="O427" i="1"/>
  <c r="W427" i="1"/>
  <c r="X427" i="1" s="1"/>
  <c r="BC427" i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AW426" i="1"/>
  <c r="AX426" i="1"/>
  <c r="AY426" i="1"/>
  <c r="AZ426" i="1"/>
  <c r="BA426" i="1"/>
  <c r="BB426" i="1"/>
  <c r="M426" i="1"/>
  <c r="Y426" i="1"/>
  <c r="AI425" i="1"/>
  <c r="AJ425" i="1"/>
  <c r="AK425" i="1"/>
  <c r="BH432" i="1" l="1"/>
  <c r="BI432" i="1"/>
  <c r="AV426" i="1"/>
  <c r="BG439" i="1"/>
  <c r="BF432" i="1"/>
  <c r="BE426" i="1"/>
  <c r="BJ432" i="1"/>
  <c r="R427" i="1"/>
  <c r="BD426" i="1"/>
  <c r="BC426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AW425" i="1"/>
  <c r="AX425" i="1"/>
  <c r="AY425" i="1"/>
  <c r="AZ425" i="1"/>
  <c r="BA425" i="1"/>
  <c r="BB425" i="1"/>
  <c r="M425" i="1"/>
  <c r="Y425" i="1"/>
  <c r="AI424" i="1"/>
  <c r="AJ424" i="1"/>
  <c r="AK424" i="1"/>
  <c r="BI431" i="1" l="1"/>
  <c r="BH431" i="1"/>
  <c r="BE425" i="1"/>
  <c r="BJ431" i="1"/>
  <c r="BG438" i="1"/>
  <c r="BF431" i="1"/>
  <c r="U433" i="1"/>
  <c r="T427" i="1"/>
  <c r="S427" i="1"/>
  <c r="R426" i="1"/>
  <c r="BD425" i="1"/>
  <c r="BC425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AW424" i="1"/>
  <c r="AX424" i="1"/>
  <c r="AY424" i="1"/>
  <c r="AZ424" i="1"/>
  <c r="BA424" i="1"/>
  <c r="BB424" i="1"/>
  <c r="M424" i="1"/>
  <c r="Y424" i="1"/>
  <c r="BI430" i="1" l="1"/>
  <c r="BH430" i="1"/>
  <c r="BE424" i="1"/>
  <c r="BJ430" i="1"/>
  <c r="BC424" i="1"/>
  <c r="BG437" i="1"/>
  <c r="BF430" i="1"/>
  <c r="U432" i="1"/>
  <c r="T426" i="1"/>
  <c r="S426" i="1"/>
  <c r="R425" i="1"/>
  <c r="BD424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AW423" i="1"/>
  <c r="AX423" i="1"/>
  <c r="AY423" i="1"/>
  <c r="AZ423" i="1"/>
  <c r="BA423" i="1"/>
  <c r="BB423" i="1"/>
  <c r="M423" i="1"/>
  <c r="Y423" i="1"/>
  <c r="AI422" i="1"/>
  <c r="AJ422" i="1"/>
  <c r="AK422" i="1"/>
  <c r="BH429" i="1" l="1"/>
  <c r="BE423" i="1"/>
  <c r="BJ429" i="1"/>
  <c r="BI429" i="1"/>
  <c r="BG436" i="1"/>
  <c r="BF429" i="1"/>
  <c r="R424" i="1"/>
  <c r="BD423" i="1"/>
  <c r="BC423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AW422" i="1"/>
  <c r="AX422" i="1"/>
  <c r="AY422" i="1"/>
  <c r="AZ422" i="1"/>
  <c r="BA422" i="1"/>
  <c r="BB422" i="1"/>
  <c r="M422" i="1"/>
  <c r="Y422" i="1"/>
  <c r="BD422" i="1" l="1"/>
  <c r="BI428" i="1"/>
  <c r="BG435" i="1"/>
  <c r="BF428" i="1"/>
  <c r="BE422" i="1"/>
  <c r="BJ428" i="1"/>
  <c r="BH428" i="1"/>
  <c r="W422" i="1"/>
  <c r="X422" i="1" s="1"/>
  <c r="R423" i="1"/>
  <c r="U429" i="1" s="1"/>
  <c r="S424" i="1"/>
  <c r="U430" i="1"/>
  <c r="T424" i="1"/>
  <c r="T423" i="1"/>
  <c r="BC422" i="1"/>
  <c r="O422" i="1"/>
  <c r="N422" i="1"/>
  <c r="S423" i="1" s="1"/>
  <c r="AV422" i="1"/>
  <c r="AI421" i="1"/>
  <c r="AJ421" i="1"/>
  <c r="AK421" i="1"/>
  <c r="CS421" i="1" l="1"/>
  <c r="CR421" i="1"/>
  <c r="CK421" i="1"/>
  <c r="CJ421" i="1"/>
  <c r="CC421" i="1"/>
  <c r="CB421" i="1"/>
  <c r="BU421" i="1"/>
  <c r="C421" i="1" s="1"/>
  <c r="BT421" i="1"/>
  <c r="B421" i="1" s="1"/>
  <c r="AT421" i="1"/>
  <c r="AU421" i="1"/>
  <c r="AW421" i="1"/>
  <c r="AX421" i="1"/>
  <c r="BH427" i="1" s="1"/>
  <c r="AY421" i="1"/>
  <c r="AZ421" i="1"/>
  <c r="BI427" i="1" s="1"/>
  <c r="BA421" i="1"/>
  <c r="BB421" i="1"/>
  <c r="M421" i="1"/>
  <c r="Y421" i="1"/>
  <c r="AI420" i="1"/>
  <c r="AJ420" i="1"/>
  <c r="AK420" i="1"/>
  <c r="BE421" i="1" l="1"/>
  <c r="BJ427" i="1"/>
  <c r="BG434" i="1"/>
  <c r="BF427" i="1"/>
  <c r="N421" i="1"/>
  <c r="V422" i="1"/>
  <c r="W421" i="1"/>
  <c r="X421" i="1" s="1"/>
  <c r="R422" i="1"/>
  <c r="BD421" i="1"/>
  <c r="BC421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AW420" i="1"/>
  <c r="AX420" i="1"/>
  <c r="BH426" i="1" s="1"/>
  <c r="AY420" i="1"/>
  <c r="AZ420" i="1"/>
  <c r="BA420" i="1"/>
  <c r="BB420" i="1"/>
  <c r="M420" i="1"/>
  <c r="Y420" i="1"/>
  <c r="AI419" i="1"/>
  <c r="AJ419" i="1"/>
  <c r="AK419" i="1"/>
  <c r="BE420" i="1" l="1"/>
  <c r="BJ426" i="1"/>
  <c r="BD420" i="1"/>
  <c r="BI426" i="1"/>
  <c r="BG433" i="1"/>
  <c r="BF426" i="1"/>
  <c r="U428" i="1"/>
  <c r="T422" i="1"/>
  <c r="R421" i="1"/>
  <c r="S422" i="1"/>
  <c r="BC420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BT419" i="1"/>
  <c r="B419" i="1" s="1"/>
  <c r="V420" i="1" s="1"/>
  <c r="AT419" i="1"/>
  <c r="AU419" i="1"/>
  <c r="AW419" i="1"/>
  <c r="AX419" i="1"/>
  <c r="AY419" i="1"/>
  <c r="AZ419" i="1"/>
  <c r="BA419" i="1"/>
  <c r="BB419" i="1"/>
  <c r="M419" i="1"/>
  <c r="Y419" i="1"/>
  <c r="C419" i="1"/>
  <c r="W419" i="1" s="1"/>
  <c r="X419" i="1" s="1"/>
  <c r="AI418" i="1"/>
  <c r="AJ418" i="1"/>
  <c r="AK418" i="1"/>
  <c r="BH425" i="1" l="1"/>
  <c r="AV419" i="1"/>
  <c r="BI425" i="1"/>
  <c r="BE419" i="1"/>
  <c r="BJ425" i="1"/>
  <c r="BD419" i="1"/>
  <c r="BG432" i="1"/>
  <c r="BF425" i="1"/>
  <c r="R420" i="1"/>
  <c r="U426" i="1" s="1"/>
  <c r="S421" i="1"/>
  <c r="U427" i="1"/>
  <c r="T421" i="1"/>
  <c r="BC419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AW418" i="1"/>
  <c r="AX418" i="1"/>
  <c r="AY418" i="1"/>
  <c r="AZ418" i="1"/>
  <c r="BA418" i="1"/>
  <c r="BB418" i="1"/>
  <c r="M418" i="1"/>
  <c r="Y418" i="1"/>
  <c r="AI417" i="1"/>
  <c r="AJ417" i="1"/>
  <c r="AK417" i="1"/>
  <c r="T420" i="1" l="1"/>
  <c r="BI424" i="1"/>
  <c r="BH424" i="1"/>
  <c r="N418" i="1"/>
  <c r="S419" i="1" s="1"/>
  <c r="BE418" i="1"/>
  <c r="BJ424" i="1"/>
  <c r="BG431" i="1"/>
  <c r="BF424" i="1"/>
  <c r="R419" i="1"/>
  <c r="U425" i="1" s="1"/>
  <c r="BD418" i="1"/>
  <c r="BC418" i="1"/>
  <c r="O418" i="1"/>
  <c r="W418" i="1"/>
  <c r="X418" i="1" s="1"/>
  <c r="AV418" i="1"/>
  <c r="CS417" i="1"/>
  <c r="CR417" i="1"/>
  <c r="CK417" i="1"/>
  <c r="CJ417" i="1"/>
  <c r="CC417" i="1"/>
  <c r="CB417" i="1"/>
  <c r="BU417" i="1"/>
  <c r="BT417" i="1"/>
  <c r="B417" i="1" s="1"/>
  <c r="V418" i="1" s="1"/>
  <c r="AT417" i="1"/>
  <c r="AU417" i="1"/>
  <c r="AW417" i="1"/>
  <c r="AX417" i="1"/>
  <c r="AY417" i="1"/>
  <c r="AZ417" i="1"/>
  <c r="BA417" i="1"/>
  <c r="BB417" i="1"/>
  <c r="M417" i="1"/>
  <c r="Y417" i="1"/>
  <c r="C417" i="1"/>
  <c r="R418" i="1" s="1"/>
  <c r="AI416" i="1"/>
  <c r="AJ416" i="1"/>
  <c r="AK416" i="1"/>
  <c r="BH423" i="1" l="1"/>
  <c r="BE417" i="1"/>
  <c r="BJ423" i="1"/>
  <c r="BI423" i="1"/>
  <c r="BG430" i="1"/>
  <c r="BF423" i="1"/>
  <c r="U424" i="1"/>
  <c r="N417" i="1"/>
  <c r="T419" i="1"/>
  <c r="T418" i="1"/>
  <c r="BD417" i="1"/>
  <c r="BC417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W416" i="1"/>
  <c r="AX416" i="1"/>
  <c r="BC416" i="1" s="1"/>
  <c r="AY416" i="1"/>
  <c r="AZ416" i="1"/>
  <c r="BA416" i="1"/>
  <c r="BB416" i="1"/>
  <c r="AI415" i="1"/>
  <c r="AJ415" i="1"/>
  <c r="AK415" i="1"/>
  <c r="M416" i="1"/>
  <c r="Y416" i="1"/>
  <c r="BI422" i="1" l="1"/>
  <c r="BG429" i="1"/>
  <c r="BF422" i="1"/>
  <c r="BH422" i="1"/>
  <c r="BE416" i="1"/>
  <c r="BJ422" i="1"/>
  <c r="R417" i="1"/>
  <c r="U423" i="1" s="1"/>
  <c r="S418" i="1"/>
  <c r="BD416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AW415" i="1"/>
  <c r="AX415" i="1"/>
  <c r="BH421" i="1" s="1"/>
  <c r="AY415" i="1"/>
  <c r="AZ415" i="1"/>
  <c r="BI421" i="1" s="1"/>
  <c r="BA415" i="1"/>
  <c r="BB415" i="1"/>
  <c r="M415" i="1"/>
  <c r="Y415" i="1"/>
  <c r="BE415" i="1" l="1"/>
  <c r="BJ421" i="1"/>
  <c r="U422" i="1"/>
  <c r="AV415" i="1"/>
  <c r="BG428" i="1"/>
  <c r="BF421" i="1"/>
  <c r="BD415" i="1"/>
  <c r="T417" i="1"/>
  <c r="T416" i="1"/>
  <c r="BC415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AW414" i="1"/>
  <c r="AX414" i="1"/>
  <c r="BH420" i="1" s="1"/>
  <c r="AY414" i="1"/>
  <c r="AZ414" i="1"/>
  <c r="BA414" i="1"/>
  <c r="BB414" i="1"/>
  <c r="M414" i="1"/>
  <c r="Y414" i="1"/>
  <c r="BE414" i="1" l="1"/>
  <c r="BJ420" i="1"/>
  <c r="BD414" i="1"/>
  <c r="BI420" i="1"/>
  <c r="BG427" i="1"/>
  <c r="BF420" i="1"/>
  <c r="U421" i="1"/>
  <c r="T415" i="1"/>
  <c r="BC414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AW413" i="1"/>
  <c r="AX413" i="1"/>
  <c r="AY413" i="1"/>
  <c r="AZ413" i="1"/>
  <c r="BA413" i="1"/>
  <c r="BB413" i="1"/>
  <c r="M413" i="1"/>
  <c r="Y413" i="1"/>
  <c r="AI412" i="1"/>
  <c r="AJ412" i="1"/>
  <c r="AK412" i="1"/>
  <c r="BH419" i="1" l="1"/>
  <c r="BE413" i="1"/>
  <c r="BJ419" i="1"/>
  <c r="BI419" i="1"/>
  <c r="BG426" i="1"/>
  <c r="BF419" i="1"/>
  <c r="V414" i="1"/>
  <c r="R414" i="1"/>
  <c r="BD413" i="1"/>
  <c r="BC413" i="1"/>
  <c r="W413" i="1"/>
  <c r="X413" i="1" s="1"/>
  <c r="O413" i="1"/>
  <c r="N413" i="1"/>
  <c r="AV413" i="1"/>
  <c r="CK412" i="1"/>
  <c r="CJ412" i="1"/>
  <c r="CC412" i="1"/>
  <c r="CB412" i="1"/>
  <c r="BU412" i="1"/>
  <c r="BT412" i="1"/>
  <c r="B412" i="1" s="1"/>
  <c r="AT412" i="1"/>
  <c r="AU412" i="1"/>
  <c r="AW412" i="1"/>
  <c r="AX412" i="1"/>
  <c r="BH418" i="1" s="1"/>
  <c r="AY412" i="1"/>
  <c r="AZ412" i="1"/>
  <c r="BA412" i="1"/>
  <c r="BB412" i="1"/>
  <c r="M412" i="1"/>
  <c r="Y412" i="1"/>
  <c r="C412" i="1"/>
  <c r="R413" i="1" s="1"/>
  <c r="AI411" i="1"/>
  <c r="AJ411" i="1"/>
  <c r="AK411" i="1"/>
  <c r="BI418" i="1" l="1"/>
  <c r="BG425" i="1"/>
  <c r="BF418" i="1"/>
  <c r="BE412" i="1"/>
  <c r="BJ418" i="1"/>
  <c r="V413" i="1"/>
  <c r="U419" i="1" s="1"/>
  <c r="U420" i="1"/>
  <c r="T414" i="1"/>
  <c r="S414" i="1"/>
  <c r="BD412" i="1"/>
  <c r="BC412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AW411" i="1"/>
  <c r="AX411" i="1"/>
  <c r="AY411" i="1"/>
  <c r="AZ411" i="1"/>
  <c r="BA411" i="1"/>
  <c r="BB411" i="1"/>
  <c r="M411" i="1"/>
  <c r="Y411" i="1"/>
  <c r="BI417" i="1" l="1"/>
  <c r="BG424" i="1"/>
  <c r="BF417" i="1"/>
  <c r="T413" i="1"/>
  <c r="BE411" i="1"/>
  <c r="BJ417" i="1"/>
  <c r="BH417" i="1"/>
  <c r="W411" i="1"/>
  <c r="X411" i="1" s="1"/>
  <c r="R412" i="1"/>
  <c r="S413" i="1"/>
  <c r="BD411" i="1"/>
  <c r="BC411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BT410" i="1"/>
  <c r="B410" i="1" s="1"/>
  <c r="AT410" i="1"/>
  <c r="AU410" i="1"/>
  <c r="AW410" i="1"/>
  <c r="AX410" i="1"/>
  <c r="AY410" i="1"/>
  <c r="AZ410" i="1"/>
  <c r="BA410" i="1"/>
  <c r="BB410" i="1"/>
  <c r="M410" i="1"/>
  <c r="Y410" i="1"/>
  <c r="C410" i="1"/>
  <c r="AI409" i="1"/>
  <c r="AJ409" i="1"/>
  <c r="AK409" i="1"/>
  <c r="BH416" i="1" l="1"/>
  <c r="BE410" i="1"/>
  <c r="BJ416" i="1"/>
  <c r="BI416" i="1"/>
  <c r="BG423" i="1"/>
  <c r="BF416" i="1"/>
  <c r="V411" i="1"/>
  <c r="R411" i="1"/>
  <c r="BD410" i="1"/>
  <c r="BC410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AW409" i="1"/>
  <c r="AX409" i="1"/>
  <c r="AY409" i="1"/>
  <c r="AZ409" i="1"/>
  <c r="BI415" i="1" s="1"/>
  <c r="BA409" i="1"/>
  <c r="BB409" i="1"/>
  <c r="M409" i="1"/>
  <c r="Y409" i="1"/>
  <c r="BH415" i="1" l="1"/>
  <c r="BE409" i="1"/>
  <c r="BJ415" i="1"/>
  <c r="BG422" i="1"/>
  <c r="BF415" i="1"/>
  <c r="W409" i="1"/>
  <c r="X409" i="1" s="1"/>
  <c r="R410" i="1"/>
  <c r="T411" i="1"/>
  <c r="U417" i="1"/>
  <c r="S411" i="1"/>
  <c r="N409" i="1"/>
  <c r="S410" i="1" s="1"/>
  <c r="BD409" i="1"/>
  <c r="BC409" i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AW408" i="1"/>
  <c r="AX408" i="1"/>
  <c r="AY408" i="1"/>
  <c r="AZ408" i="1"/>
  <c r="BA408" i="1"/>
  <c r="BB408" i="1"/>
  <c r="M408" i="1"/>
  <c r="Y408" i="1"/>
  <c r="AI407" i="1"/>
  <c r="AJ407" i="1"/>
  <c r="AK407" i="1"/>
  <c r="BH414" i="1" l="1"/>
  <c r="BI414" i="1"/>
  <c r="BE408" i="1"/>
  <c r="BJ414" i="1"/>
  <c r="BG421" i="1"/>
  <c r="BF414" i="1"/>
  <c r="W408" i="1"/>
  <c r="X408" i="1" s="1"/>
  <c r="R409" i="1"/>
  <c r="BD408" i="1"/>
  <c r="BC408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AW407" i="1"/>
  <c r="AX407" i="1"/>
  <c r="AY407" i="1"/>
  <c r="AZ407" i="1"/>
  <c r="BA407" i="1"/>
  <c r="BB407" i="1"/>
  <c r="M407" i="1"/>
  <c r="Y407" i="1"/>
  <c r="AI406" i="1"/>
  <c r="AJ406" i="1"/>
  <c r="AK406" i="1"/>
  <c r="BH413" i="1" l="1"/>
  <c r="AV407" i="1"/>
  <c r="BI413" i="1"/>
  <c r="BE407" i="1"/>
  <c r="BJ413" i="1"/>
  <c r="BD407" i="1"/>
  <c r="BG420" i="1"/>
  <c r="BF413" i="1"/>
  <c r="S409" i="1"/>
  <c r="U415" i="1"/>
  <c r="T409" i="1"/>
  <c r="R408" i="1"/>
  <c r="N407" i="1"/>
  <c r="W407" i="1"/>
  <c r="X407" i="1" s="1"/>
  <c r="BC407" i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W406" i="1"/>
  <c r="AX406" i="1"/>
  <c r="AY406" i="1"/>
  <c r="AZ406" i="1"/>
  <c r="BA406" i="1"/>
  <c r="BB406" i="1"/>
  <c r="AI405" i="1"/>
  <c r="AJ405" i="1"/>
  <c r="AK405" i="1"/>
  <c r="M406" i="1"/>
  <c r="Y406" i="1"/>
  <c r="BH412" i="1" l="1"/>
  <c r="BE406" i="1"/>
  <c r="BJ412" i="1"/>
  <c r="BI412" i="1"/>
  <c r="BG419" i="1"/>
  <c r="BF412" i="1"/>
  <c r="R407" i="1"/>
  <c r="U413" i="1" s="1"/>
  <c r="T408" i="1"/>
  <c r="U414" i="1"/>
  <c r="S408" i="1"/>
  <c r="BD406" i="1"/>
  <c r="BC406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AW405" i="1"/>
  <c r="AX405" i="1"/>
  <c r="AY405" i="1"/>
  <c r="AZ405" i="1"/>
  <c r="BA405" i="1"/>
  <c r="BB405" i="1"/>
  <c r="M405" i="1"/>
  <c r="Y405" i="1"/>
  <c r="AI404" i="1"/>
  <c r="AJ404" i="1"/>
  <c r="AK404" i="1"/>
  <c r="BH411" i="1" l="1"/>
  <c r="BE405" i="1"/>
  <c r="BJ411" i="1"/>
  <c r="BG418" i="1"/>
  <c r="BF411" i="1"/>
  <c r="BD405" i="1"/>
  <c r="BI411" i="1"/>
  <c r="T407" i="1"/>
  <c r="V406" i="1"/>
  <c r="R406" i="1"/>
  <c r="O405" i="1"/>
  <c r="N405" i="1"/>
  <c r="S406" i="1" s="1"/>
  <c r="AV405" i="1"/>
  <c r="BC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AV404" i="1" s="1"/>
  <c r="AW404" i="1"/>
  <c r="AX404" i="1"/>
  <c r="AY404" i="1"/>
  <c r="AZ404" i="1"/>
  <c r="BI410" i="1" s="1"/>
  <c r="BA404" i="1"/>
  <c r="BB404" i="1"/>
  <c r="M404" i="1"/>
  <c r="Y404" i="1"/>
  <c r="AI403" i="1"/>
  <c r="AJ403" i="1"/>
  <c r="AK403" i="1"/>
  <c r="BD404" i="1" l="1"/>
  <c r="BG417" i="1"/>
  <c r="BF410" i="1"/>
  <c r="BC404" i="1"/>
  <c r="BH410" i="1"/>
  <c r="BE404" i="1"/>
  <c r="BJ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AW403" i="1"/>
  <c r="AX403" i="1"/>
  <c r="AY403" i="1"/>
  <c r="AZ403" i="1"/>
  <c r="BA403" i="1"/>
  <c r="BB403" i="1"/>
  <c r="M403" i="1"/>
  <c r="Y403" i="1"/>
  <c r="AI402" i="1"/>
  <c r="AJ402" i="1"/>
  <c r="AK402" i="1"/>
  <c r="BI409" i="1" l="1"/>
  <c r="BC403" i="1"/>
  <c r="U410" i="1"/>
  <c r="BG416" i="1"/>
  <c r="BF409" i="1"/>
  <c r="BE403" i="1"/>
  <c r="BJ409" i="1"/>
  <c r="BH409" i="1"/>
  <c r="U411" i="1"/>
  <c r="T405" i="1"/>
  <c r="T404" i="1"/>
  <c r="BD403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AW402" i="1"/>
  <c r="AX402" i="1"/>
  <c r="BH408" i="1" s="1"/>
  <c r="AY402" i="1"/>
  <c r="AZ402" i="1"/>
  <c r="BA402" i="1"/>
  <c r="BB402" i="1"/>
  <c r="M402" i="1"/>
  <c r="Y402" i="1"/>
  <c r="BI408" i="1" l="1"/>
  <c r="BE402" i="1"/>
  <c r="BJ408" i="1"/>
  <c r="BG415" i="1"/>
  <c r="BF408" i="1"/>
  <c r="V403" i="1"/>
  <c r="S404" i="1"/>
  <c r="R403" i="1"/>
  <c r="BD402" i="1"/>
  <c r="BC402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AW401" i="1"/>
  <c r="AX401" i="1"/>
  <c r="AY401" i="1"/>
  <c r="AZ401" i="1"/>
  <c r="BA401" i="1"/>
  <c r="BB401" i="1"/>
  <c r="M401" i="1"/>
  <c r="Y401" i="1"/>
  <c r="AV401" i="1" l="1"/>
  <c r="BI407" i="1"/>
  <c r="BG414" i="1"/>
  <c r="BF407" i="1"/>
  <c r="BE401" i="1"/>
  <c r="BJ407" i="1"/>
  <c r="BH407" i="1"/>
  <c r="N401" i="1"/>
  <c r="R402" i="1"/>
  <c r="BD401" i="1"/>
  <c r="BC401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AW400" i="1"/>
  <c r="AX400" i="1"/>
  <c r="AY400" i="1"/>
  <c r="AZ400" i="1"/>
  <c r="BA400" i="1"/>
  <c r="BB400" i="1"/>
  <c r="M400" i="1"/>
  <c r="Y400" i="1"/>
  <c r="AI399" i="1"/>
  <c r="AJ399" i="1"/>
  <c r="AK399" i="1"/>
  <c r="BE400" i="1" l="1"/>
  <c r="BJ406" i="1"/>
  <c r="BC400" i="1"/>
  <c r="BH406" i="1"/>
  <c r="BD400" i="1"/>
  <c r="BI406" i="1"/>
  <c r="BG413" i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AW399" i="1"/>
  <c r="AX399" i="1"/>
  <c r="BH405" i="1" s="1"/>
  <c r="AY399" i="1"/>
  <c r="AZ399" i="1"/>
  <c r="BA399" i="1"/>
  <c r="BB399" i="1"/>
  <c r="M399" i="1"/>
  <c r="Y399" i="1"/>
  <c r="T401" i="1" l="1"/>
  <c r="BE399" i="1"/>
  <c r="BJ405" i="1"/>
  <c r="BI405" i="1"/>
  <c r="BG412" i="1"/>
  <c r="BF405" i="1"/>
  <c r="U406" i="1"/>
  <c r="T400" i="1"/>
  <c r="S401" i="1"/>
  <c r="BD399" i="1"/>
  <c r="BC399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AW398" i="1"/>
  <c r="AX398" i="1"/>
  <c r="AY398" i="1"/>
  <c r="AZ398" i="1"/>
  <c r="BA398" i="1"/>
  <c r="BB398" i="1"/>
  <c r="M398" i="1"/>
  <c r="Y398" i="1"/>
  <c r="AI397" i="1"/>
  <c r="AJ397" i="1"/>
  <c r="AK397" i="1"/>
  <c r="BI404" i="1" l="1"/>
  <c r="BC398" i="1"/>
  <c r="BH404" i="1"/>
  <c r="BG411" i="1"/>
  <c r="BF404" i="1"/>
  <c r="BE398" i="1"/>
  <c r="BJ404" i="1"/>
  <c r="W398" i="1"/>
  <c r="X398" i="1" s="1"/>
  <c r="N398" i="1"/>
  <c r="V399" i="1"/>
  <c r="BD398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AW397" i="1"/>
  <c r="AX397" i="1"/>
  <c r="AY397" i="1"/>
  <c r="AZ397" i="1"/>
  <c r="BA397" i="1"/>
  <c r="BB397" i="1"/>
  <c r="M397" i="1"/>
  <c r="Y397" i="1"/>
  <c r="AI396" i="1"/>
  <c r="AJ396" i="1"/>
  <c r="AK396" i="1"/>
  <c r="BH403" i="1" l="1"/>
  <c r="BE397" i="1"/>
  <c r="BJ403" i="1"/>
  <c r="BD397" i="1"/>
  <c r="BI403" i="1"/>
  <c r="BG410" i="1"/>
  <c r="BF403" i="1"/>
  <c r="W397" i="1"/>
  <c r="X397" i="1" s="1"/>
  <c r="R398" i="1"/>
  <c r="S399" i="1"/>
  <c r="U405" i="1"/>
  <c r="V398" i="1"/>
  <c r="T399" i="1"/>
  <c r="BC397" i="1"/>
  <c r="O397" i="1"/>
  <c r="N397" i="1"/>
  <c r="AV397" i="1"/>
  <c r="CS396" i="1"/>
  <c r="CR396" i="1"/>
  <c r="CK396" i="1"/>
  <c r="CJ396" i="1"/>
  <c r="CC396" i="1"/>
  <c r="CB396" i="1"/>
  <c r="BU396" i="1"/>
  <c r="BT396" i="1"/>
  <c r="B396" i="1" s="1"/>
  <c r="V397" i="1" s="1"/>
  <c r="AT396" i="1"/>
  <c r="AU396" i="1"/>
  <c r="AW396" i="1"/>
  <c r="AX396" i="1"/>
  <c r="AY396" i="1"/>
  <c r="AZ396" i="1"/>
  <c r="BA396" i="1"/>
  <c r="BB396" i="1"/>
  <c r="M396" i="1"/>
  <c r="Y396" i="1"/>
  <c r="C396" i="1"/>
  <c r="R397" i="1" s="1"/>
  <c r="AI395" i="1"/>
  <c r="AJ395" i="1"/>
  <c r="AK395" i="1"/>
  <c r="BH402" i="1" l="1"/>
  <c r="BE396" i="1"/>
  <c r="BJ402" i="1"/>
  <c r="BI402" i="1"/>
  <c r="BG409" i="1"/>
  <c r="BF402" i="1"/>
  <c r="U403" i="1"/>
  <c r="T397" i="1"/>
  <c r="U404" i="1"/>
  <c r="T398" i="1"/>
  <c r="S398" i="1"/>
  <c r="BD396" i="1"/>
  <c r="BC396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AW395" i="1"/>
  <c r="AX395" i="1"/>
  <c r="AY395" i="1"/>
  <c r="AZ395" i="1"/>
  <c r="BA395" i="1"/>
  <c r="BB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BI401" i="1"/>
  <c r="BE395" i="1"/>
  <c r="BJ401" i="1"/>
  <c r="BH401" i="1"/>
  <c r="U402" i="1"/>
  <c r="S397" i="1"/>
  <c r="BD395" i="1"/>
  <c r="BC395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AW394" i="1"/>
  <c r="AX394" i="1"/>
  <c r="AY394" i="1"/>
  <c r="AZ394" i="1"/>
  <c r="BA394" i="1"/>
  <c r="BB394" i="1"/>
  <c r="M394" i="1"/>
  <c r="Y394" i="1"/>
  <c r="AI393" i="1"/>
  <c r="AJ393" i="1"/>
  <c r="AK393" i="1"/>
  <c r="BH400" i="1" l="1"/>
  <c r="BE394" i="1"/>
  <c r="BJ400" i="1"/>
  <c r="BI400" i="1"/>
  <c r="BG407" i="1"/>
  <c r="BF400" i="1"/>
  <c r="W394" i="1"/>
  <c r="X394" i="1" s="1"/>
  <c r="R395" i="1"/>
  <c r="S396" i="1"/>
  <c r="BD394" i="1"/>
  <c r="BC394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AW393" i="1"/>
  <c r="AX393" i="1"/>
  <c r="AY393" i="1"/>
  <c r="AZ393" i="1"/>
  <c r="BA393" i="1"/>
  <c r="BB393" i="1"/>
  <c r="M393" i="1"/>
  <c r="Y393" i="1"/>
  <c r="AI392" i="1"/>
  <c r="AJ392" i="1"/>
  <c r="AK392" i="1"/>
  <c r="BG406" i="1" l="1"/>
  <c r="BF399" i="1"/>
  <c r="BI399" i="1"/>
  <c r="BE393" i="1"/>
  <c r="BJ399" i="1"/>
  <c r="BH399" i="1"/>
  <c r="R394" i="1"/>
  <c r="T395" i="1"/>
  <c r="U401" i="1"/>
  <c r="BD393" i="1"/>
  <c r="BC393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AW392" i="1"/>
  <c r="AX392" i="1"/>
  <c r="AY392" i="1"/>
  <c r="AZ392" i="1"/>
  <c r="BA392" i="1"/>
  <c r="BB392" i="1"/>
  <c r="M392" i="1"/>
  <c r="Y392" i="1"/>
  <c r="BH398" i="1" l="1"/>
  <c r="BC392" i="1"/>
  <c r="BE392" i="1"/>
  <c r="BJ398" i="1"/>
  <c r="BD392" i="1"/>
  <c r="BI398" i="1"/>
  <c r="BG405" i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AW391" i="1"/>
  <c r="AX391" i="1"/>
  <c r="AY391" i="1"/>
  <c r="AZ391" i="1"/>
  <c r="BI397" i="1" s="1"/>
  <c r="BA391" i="1"/>
  <c r="BB391" i="1"/>
  <c r="M391" i="1"/>
  <c r="Y391" i="1"/>
  <c r="AI390" i="1"/>
  <c r="AJ390" i="1"/>
  <c r="AK390" i="1"/>
  <c r="AV391" i="1" l="1"/>
  <c r="BG404" i="1"/>
  <c r="BF397" i="1"/>
  <c r="BE391" i="1"/>
  <c r="BJ397" i="1"/>
  <c r="BH397" i="1"/>
  <c r="R392" i="1"/>
  <c r="BD391" i="1"/>
  <c r="BC391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AW390" i="1"/>
  <c r="AX390" i="1"/>
  <c r="AY390" i="1"/>
  <c r="AZ390" i="1"/>
  <c r="BA390" i="1"/>
  <c r="BB390" i="1"/>
  <c r="M390" i="1"/>
  <c r="Y390" i="1"/>
  <c r="AI389" i="1"/>
  <c r="AJ389" i="1"/>
  <c r="AK389" i="1"/>
  <c r="AV390" i="1" l="1"/>
  <c r="BE390" i="1"/>
  <c r="BJ396" i="1"/>
  <c r="BC390" i="1"/>
  <c r="BH396" i="1"/>
  <c r="BD390" i="1"/>
  <c r="BI396" i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AW389" i="1"/>
  <c r="AX389" i="1"/>
  <c r="AY389" i="1"/>
  <c r="AZ389" i="1"/>
  <c r="BA389" i="1"/>
  <c r="BB389" i="1"/>
  <c r="M389" i="1"/>
  <c r="Y389" i="1"/>
  <c r="T391" i="1" l="1"/>
  <c r="BG402" i="1"/>
  <c r="BF395" i="1"/>
  <c r="BI395" i="1"/>
  <c r="BE389" i="1"/>
  <c r="BJ395" i="1"/>
  <c r="BH395" i="1"/>
  <c r="V390" i="1"/>
  <c r="N389" i="1"/>
  <c r="U397" i="1"/>
  <c r="R390" i="1"/>
  <c r="BD389" i="1"/>
  <c r="BC389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AW388" i="1"/>
  <c r="AX388" i="1"/>
  <c r="BH394" i="1" s="1"/>
  <c r="AY388" i="1"/>
  <c r="AZ388" i="1"/>
  <c r="BA388" i="1"/>
  <c r="BB388" i="1"/>
  <c r="M388" i="1"/>
  <c r="Y388" i="1"/>
  <c r="AI387" i="1"/>
  <c r="AJ387" i="1"/>
  <c r="AK387" i="1"/>
  <c r="BE388" i="1" l="1"/>
  <c r="BJ394" i="1"/>
  <c r="BI394" i="1"/>
  <c r="BG401" i="1"/>
  <c r="BF394" i="1"/>
  <c r="V389" i="1"/>
  <c r="T389" i="1" s="1"/>
  <c r="BD388" i="1"/>
  <c r="BC388" i="1"/>
  <c r="W388" i="1"/>
  <c r="X388" i="1" s="1"/>
  <c r="N388" i="1"/>
  <c r="O388" i="1"/>
  <c r="AV388" i="1"/>
  <c r="AT387" i="1"/>
  <c r="AU387" i="1"/>
  <c r="AV387" i="1" s="1"/>
  <c r="AW387" i="1"/>
  <c r="AX387" i="1"/>
  <c r="AY387" i="1"/>
  <c r="AZ387" i="1"/>
  <c r="BI393" i="1" s="1"/>
  <c r="BA387" i="1"/>
  <c r="BB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U395" i="1" l="1"/>
  <c r="BC387" i="1"/>
  <c r="BH393" i="1"/>
  <c r="BD387" i="1"/>
  <c r="BG400" i="1"/>
  <c r="BF393" i="1"/>
  <c r="BE387" i="1"/>
  <c r="BJ393" i="1"/>
  <c r="W387" i="1"/>
  <c r="X387" i="1" s="1"/>
  <c r="R388" i="1"/>
  <c r="S389" i="1"/>
  <c r="N387" i="1"/>
  <c r="S388" i="1" s="1"/>
  <c r="O387" i="1"/>
  <c r="AT386" i="1"/>
  <c r="AU386" i="1"/>
  <c r="AW386" i="1"/>
  <c r="AX386" i="1"/>
  <c r="AY386" i="1"/>
  <c r="AZ386" i="1"/>
  <c r="BA386" i="1"/>
  <c r="BB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BH392" i="1" l="1"/>
  <c r="AV386" i="1"/>
  <c r="BI392" i="1"/>
  <c r="BD386" i="1"/>
  <c r="BG399" i="1"/>
  <c r="BF392" i="1"/>
  <c r="BE386" i="1"/>
  <c r="BJ392" i="1"/>
  <c r="BC386" i="1"/>
  <c r="R387" i="1"/>
  <c r="U394" i="1"/>
  <c r="T388" i="1"/>
  <c r="W386" i="1"/>
  <c r="X386" i="1" s="1"/>
  <c r="N386" i="1"/>
  <c r="O386" i="1"/>
  <c r="AT385" i="1"/>
  <c r="AU385" i="1"/>
  <c r="AW385" i="1"/>
  <c r="AX385" i="1"/>
  <c r="AY385" i="1"/>
  <c r="AZ385" i="1"/>
  <c r="BA385" i="1"/>
  <c r="BB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BI391" i="1" l="1"/>
  <c r="AV385" i="1"/>
  <c r="N385" i="1"/>
  <c r="BH391" i="1"/>
  <c r="BE385" i="1"/>
  <c r="BJ391" i="1"/>
  <c r="BC385" i="1"/>
  <c r="BD385" i="1"/>
  <c r="BG398" i="1"/>
  <c r="BF391" i="1"/>
  <c r="S386" i="1"/>
  <c r="S387" i="1"/>
  <c r="V386" i="1"/>
  <c r="U393" i="1"/>
  <c r="T387" i="1"/>
  <c r="R386" i="1"/>
  <c r="O385" i="1"/>
  <c r="AT384" i="1"/>
  <c r="AU384" i="1"/>
  <c r="AW384" i="1"/>
  <c r="AX384" i="1"/>
  <c r="AY384" i="1"/>
  <c r="AZ384" i="1"/>
  <c r="BI390" i="1" s="1"/>
  <c r="BA384" i="1"/>
  <c r="BB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BC384" i="1" l="1"/>
  <c r="AV384" i="1"/>
  <c r="BD384" i="1"/>
  <c r="BG397" i="1"/>
  <c r="BF390" i="1"/>
  <c r="BE384" i="1"/>
  <c r="BJ390" i="1"/>
  <c r="BH390" i="1"/>
  <c r="U391" i="1"/>
  <c r="T385" i="1"/>
  <c r="U392" i="1"/>
  <c r="T386" i="1"/>
  <c r="W384" i="1"/>
  <c r="X384" i="1" s="1"/>
  <c r="N384" i="1"/>
  <c r="O384" i="1"/>
  <c r="AT383" i="1"/>
  <c r="AU383" i="1"/>
  <c r="AW383" i="1"/>
  <c r="AX383" i="1"/>
  <c r="AY383" i="1"/>
  <c r="AZ383" i="1"/>
  <c r="BA383" i="1"/>
  <c r="BB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I389" i="1"/>
  <c r="BC383" i="1"/>
  <c r="BD383" i="1"/>
  <c r="BG396" i="1"/>
  <c r="BF389" i="1"/>
  <c r="BE383" i="1"/>
  <c r="BJ389" i="1"/>
  <c r="BH389" i="1"/>
  <c r="S385" i="1"/>
  <c r="R384" i="1"/>
  <c r="W383" i="1"/>
  <c r="X383" i="1" s="1"/>
  <c r="N383" i="1"/>
  <c r="O383" i="1"/>
  <c r="AT382" i="1"/>
  <c r="AU382" i="1"/>
  <c r="AV382" i="1" s="1"/>
  <c r="AW382" i="1"/>
  <c r="AX382" i="1"/>
  <c r="AY382" i="1"/>
  <c r="AZ382" i="1"/>
  <c r="BA382" i="1"/>
  <c r="BB382" i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I388" i="1" l="1"/>
  <c r="BH388" i="1"/>
  <c r="BD382" i="1"/>
  <c r="BG395" i="1"/>
  <c r="BF388" i="1"/>
  <c r="BE382" i="1"/>
  <c r="BJ388" i="1"/>
  <c r="BC382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AW381" i="1"/>
  <c r="AX381" i="1"/>
  <c r="BH387" i="1" s="1"/>
  <c r="AY381" i="1"/>
  <c r="AZ381" i="1"/>
  <c r="BA381" i="1"/>
  <c r="BB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D381" i="1" l="1"/>
  <c r="BG394" i="1"/>
  <c r="BF387" i="1"/>
  <c r="BE381" i="1"/>
  <c r="BJ387" i="1"/>
  <c r="BC381" i="1"/>
  <c r="BI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AW380" i="1"/>
  <c r="AX380" i="1"/>
  <c r="AY380" i="1"/>
  <c r="AZ380" i="1"/>
  <c r="BA380" i="1"/>
  <c r="BB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BD380" i="1" l="1"/>
  <c r="BH386" i="1"/>
  <c r="BE380" i="1"/>
  <c r="BJ386" i="1"/>
  <c r="BC380" i="1"/>
  <c r="BI386" i="1"/>
  <c r="AV380" i="1"/>
  <c r="BG393" i="1"/>
  <c r="BF386" i="1"/>
  <c r="R381" i="1"/>
  <c r="W380" i="1"/>
  <c r="X380" i="1" s="1"/>
  <c r="O380" i="1"/>
  <c r="N380" i="1"/>
  <c r="AT379" i="1"/>
  <c r="AU379" i="1"/>
  <c r="AW379" i="1"/>
  <c r="AX379" i="1"/>
  <c r="AY379" i="1"/>
  <c r="AZ379" i="1"/>
  <c r="BA379" i="1"/>
  <c r="BB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BC379" i="1" l="1"/>
  <c r="BI385" i="1"/>
  <c r="BD379" i="1"/>
  <c r="AV379" i="1"/>
  <c r="BG392" i="1"/>
  <c r="BF385" i="1"/>
  <c r="BE379" i="1"/>
  <c r="BJ385" i="1"/>
  <c r="BH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AW378" i="1"/>
  <c r="AX378" i="1"/>
  <c r="AY378" i="1"/>
  <c r="AZ378" i="1"/>
  <c r="BA378" i="1"/>
  <c r="BB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C378" i="1" l="1"/>
  <c r="BH384" i="1"/>
  <c r="BD378" i="1"/>
  <c r="BG391" i="1"/>
  <c r="BF384" i="1"/>
  <c r="BE378" i="1"/>
  <c r="BJ384" i="1"/>
  <c r="BI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AW377" i="1"/>
  <c r="AX377" i="1"/>
  <c r="AY377" i="1"/>
  <c r="AZ377" i="1"/>
  <c r="BA377" i="1"/>
  <c r="BB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H383" i="1"/>
  <c r="BI383" i="1"/>
  <c r="BE377" i="1"/>
  <c r="BJ383" i="1"/>
  <c r="BC377" i="1"/>
  <c r="BD377" i="1"/>
  <c r="BG390" i="1"/>
  <c r="BF383" i="1"/>
  <c r="W377" i="1"/>
  <c r="X377" i="1" s="1"/>
  <c r="R378" i="1"/>
  <c r="N377" i="1"/>
  <c r="O377" i="1"/>
  <c r="AT376" i="1"/>
  <c r="AU376" i="1"/>
  <c r="AW376" i="1"/>
  <c r="AX376" i="1"/>
  <c r="AY376" i="1"/>
  <c r="AZ376" i="1"/>
  <c r="BA376" i="1"/>
  <c r="BB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I382" i="1"/>
  <c r="BC376" i="1"/>
  <c r="BD376" i="1"/>
  <c r="BG389" i="1"/>
  <c r="BF382" i="1"/>
  <c r="BE376" i="1"/>
  <c r="BJ382" i="1"/>
  <c r="BH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AW375" i="1"/>
  <c r="AX375" i="1"/>
  <c r="AY375" i="1"/>
  <c r="AZ375" i="1"/>
  <c r="BA375" i="1"/>
  <c r="BB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BD375" i="1" l="1"/>
  <c r="BE375" i="1"/>
  <c r="BJ381" i="1"/>
  <c r="BC375" i="1"/>
  <c r="BH381" i="1"/>
  <c r="BI381" i="1"/>
  <c r="AV375" i="1"/>
  <c r="BG388" i="1"/>
  <c r="BF381" i="1"/>
  <c r="R376" i="1"/>
  <c r="W375" i="1"/>
  <c r="X375" i="1" s="1"/>
  <c r="N375" i="1"/>
  <c r="O375" i="1"/>
  <c r="AT374" i="1"/>
  <c r="AU374" i="1"/>
  <c r="AW374" i="1"/>
  <c r="AX374" i="1"/>
  <c r="AY374" i="1"/>
  <c r="AZ374" i="1"/>
  <c r="BA374" i="1"/>
  <c r="BB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H380" i="1" l="1"/>
  <c r="BD374" i="1"/>
  <c r="BG387" i="1"/>
  <c r="BF380" i="1"/>
  <c r="BE374" i="1"/>
  <c r="BJ380" i="1"/>
  <c r="BC374" i="1"/>
  <c r="BI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AW373" i="1"/>
  <c r="AX373" i="1"/>
  <c r="BH379" i="1" s="1"/>
  <c r="AY373" i="1"/>
  <c r="AZ373" i="1"/>
  <c r="BA373" i="1"/>
  <c r="BB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I379" i="1" l="1"/>
  <c r="BE373" i="1"/>
  <c r="BJ379" i="1"/>
  <c r="BC373" i="1"/>
  <c r="BD373" i="1"/>
  <c r="BG386" i="1"/>
  <c r="BF379" i="1"/>
  <c r="W373" i="1"/>
  <c r="X373" i="1" s="1"/>
  <c r="R374" i="1"/>
  <c r="N373" i="1"/>
  <c r="O373" i="1"/>
  <c r="AT372" i="1"/>
  <c r="AU372" i="1"/>
  <c r="AW372" i="1"/>
  <c r="AX372" i="1"/>
  <c r="AY372" i="1"/>
  <c r="AZ372" i="1"/>
  <c r="BA372" i="1"/>
  <c r="BB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I378" i="1"/>
  <c r="BC372" i="1"/>
  <c r="BG385" i="1"/>
  <c r="BF378" i="1"/>
  <c r="BD372" i="1"/>
  <c r="BE372" i="1"/>
  <c r="BJ378" i="1"/>
  <c r="BH378" i="1"/>
  <c r="R373" i="1"/>
  <c r="U380" i="1"/>
  <c r="T374" i="1"/>
  <c r="V373" i="1"/>
  <c r="S374" i="1"/>
  <c r="O372" i="1"/>
  <c r="N372" i="1"/>
  <c r="AT371" i="1"/>
  <c r="AU371" i="1"/>
  <c r="AW371" i="1"/>
  <c r="AX371" i="1"/>
  <c r="AY371" i="1"/>
  <c r="AZ371" i="1"/>
  <c r="BA371" i="1"/>
  <c r="BB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BH377" i="1" l="1"/>
  <c r="BI377" i="1"/>
  <c r="AV371" i="1"/>
  <c r="BD371" i="1"/>
  <c r="BE371" i="1"/>
  <c r="BJ377" i="1"/>
  <c r="BC371" i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AW370" i="1"/>
  <c r="AX370" i="1"/>
  <c r="BH376" i="1" s="1"/>
  <c r="AY370" i="1"/>
  <c r="AZ370" i="1"/>
  <c r="BA370" i="1"/>
  <c r="BB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BI376" i="1" l="1"/>
  <c r="AV370" i="1"/>
  <c r="BE370" i="1"/>
  <c r="BJ376" i="1"/>
  <c r="BC370" i="1"/>
  <c r="BD370" i="1"/>
  <c r="BG383" i="1"/>
  <c r="BF376" i="1"/>
  <c r="U378" i="1"/>
  <c r="T372" i="1"/>
  <c r="R371" i="1"/>
  <c r="S372" i="1"/>
  <c r="O370" i="1"/>
  <c r="N370" i="1"/>
  <c r="AT369" i="1"/>
  <c r="AU369" i="1"/>
  <c r="AV369" i="1" s="1"/>
  <c r="AW369" i="1"/>
  <c r="AX369" i="1"/>
  <c r="BH375" i="1" s="1"/>
  <c r="AY369" i="1"/>
  <c r="AZ369" i="1"/>
  <c r="BA369" i="1"/>
  <c r="BB369" i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I375" i="1" l="1"/>
  <c r="BD369" i="1"/>
  <c r="BG382" i="1"/>
  <c r="BF375" i="1"/>
  <c r="BE369" i="1"/>
  <c r="BJ375" i="1"/>
  <c r="BC369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W368" i="1"/>
  <c r="AX368" i="1"/>
  <c r="BH374" i="1" s="1"/>
  <c r="AY368" i="1"/>
  <c r="AZ368" i="1"/>
  <c r="BA368" i="1"/>
  <c r="BB368" i="1"/>
  <c r="BI374" i="1" l="1"/>
  <c r="BE368" i="1"/>
  <c r="BJ374" i="1"/>
  <c r="BC368" i="1"/>
  <c r="AV368" i="1"/>
  <c r="BG381" i="1"/>
  <c r="BF374" i="1"/>
  <c r="BD368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AW367" i="1"/>
  <c r="AX367" i="1"/>
  <c r="AY367" i="1"/>
  <c r="AZ367" i="1"/>
  <c r="BI373" i="1" s="1"/>
  <c r="BA367" i="1"/>
  <c r="BB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E367" i="1" l="1"/>
  <c r="BJ373" i="1"/>
  <c r="BG380" i="1"/>
  <c r="BF373" i="1"/>
  <c r="BD367" i="1"/>
  <c r="BC367" i="1"/>
  <c r="BH373" i="1"/>
  <c r="W367" i="1"/>
  <c r="X367" i="1" s="1"/>
  <c r="R368" i="1"/>
  <c r="AV367" i="1"/>
  <c r="N367" i="1"/>
  <c r="O367" i="1"/>
  <c r="AT366" i="1"/>
  <c r="AU366" i="1"/>
  <c r="AV366" i="1" s="1"/>
  <c r="AW366" i="1"/>
  <c r="AX366" i="1"/>
  <c r="AY366" i="1"/>
  <c r="AZ366" i="1"/>
  <c r="BA366" i="1"/>
  <c r="BB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BC366" i="1" l="1"/>
  <c r="BI372" i="1"/>
  <c r="R367" i="1"/>
  <c r="U373" i="1" s="1"/>
  <c r="BD366" i="1"/>
  <c r="BG379" i="1"/>
  <c r="BF372" i="1"/>
  <c r="BE366" i="1"/>
  <c r="BJ372" i="1"/>
  <c r="BH372" i="1"/>
  <c r="S368" i="1"/>
  <c r="T367" i="1"/>
  <c r="U374" i="1"/>
  <c r="T368" i="1"/>
  <c r="N366" i="1"/>
  <c r="O366" i="1"/>
  <c r="AI365" i="1"/>
  <c r="AJ365" i="1"/>
  <c r="AK365" i="1"/>
  <c r="S367" i="1" l="1"/>
  <c r="AT365" i="1"/>
  <c r="AU365" i="1"/>
  <c r="AW365" i="1"/>
  <c r="AX365" i="1"/>
  <c r="AY365" i="1"/>
  <c r="AZ365" i="1"/>
  <c r="BI371" i="1" s="1"/>
  <c r="BA365" i="1"/>
  <c r="BB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H371" i="1"/>
  <c r="BC365" i="1"/>
  <c r="BD365" i="1"/>
  <c r="BG378" i="1"/>
  <c r="BF371" i="1"/>
  <c r="BE365" i="1"/>
  <c r="BJ371" i="1"/>
  <c r="U372" i="1"/>
  <c r="T366" i="1"/>
  <c r="W365" i="1"/>
  <c r="X365" i="1" s="1"/>
  <c r="N365" i="1"/>
  <c r="O365" i="1"/>
  <c r="AI363" i="1"/>
  <c r="AJ363" i="1"/>
  <c r="AK363" i="1"/>
  <c r="AT364" i="1"/>
  <c r="AU364" i="1"/>
  <c r="AW364" i="1"/>
  <c r="AX364" i="1"/>
  <c r="AY364" i="1"/>
  <c r="AZ364" i="1"/>
  <c r="BA364" i="1"/>
  <c r="BB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BI370" i="1" l="1"/>
  <c r="AV364" i="1"/>
  <c r="BD364" i="1"/>
  <c r="BG377" i="1"/>
  <c r="BF370" i="1"/>
  <c r="BE364" i="1"/>
  <c r="BJ370" i="1"/>
  <c r="BH370" i="1"/>
  <c r="U371" i="1"/>
  <c r="T365" i="1"/>
  <c r="S366" i="1"/>
  <c r="BC364" i="1"/>
  <c r="W364" i="1"/>
  <c r="X364" i="1" s="1"/>
  <c r="N364" i="1"/>
  <c r="S365" i="1" s="1"/>
  <c r="O364" i="1"/>
  <c r="AT363" i="1"/>
  <c r="AU363" i="1"/>
  <c r="AW363" i="1"/>
  <c r="AX363" i="1"/>
  <c r="AY363" i="1"/>
  <c r="AZ363" i="1"/>
  <c r="BA363" i="1"/>
  <c r="BB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BI369" i="1" l="1"/>
  <c r="BH369" i="1"/>
  <c r="BE363" i="1"/>
  <c r="BJ369" i="1"/>
  <c r="BC363" i="1"/>
  <c r="AV363" i="1"/>
  <c r="BG376" i="1"/>
  <c r="BF369" i="1"/>
  <c r="BD363" i="1"/>
  <c r="R364" i="1"/>
  <c r="U370" i="1" s="1"/>
  <c r="O363" i="1"/>
  <c r="N363" i="1"/>
  <c r="AT362" i="1"/>
  <c r="AU362" i="1"/>
  <c r="AW362" i="1"/>
  <c r="AX362" i="1"/>
  <c r="AY362" i="1"/>
  <c r="AZ362" i="1"/>
  <c r="BA362" i="1"/>
  <c r="BB362" i="1"/>
  <c r="CS362" i="1"/>
  <c r="CR362" i="1"/>
  <c r="CK362" i="1"/>
  <c r="CJ362" i="1"/>
  <c r="CC362" i="1"/>
  <c r="CB362" i="1"/>
  <c r="BU362" i="1"/>
  <c r="BT362" i="1"/>
  <c r="M362" i="1"/>
  <c r="Y362" i="1"/>
  <c r="BI368" i="1" l="1"/>
  <c r="T364" i="1"/>
  <c r="BC362" i="1"/>
  <c r="AV362" i="1"/>
  <c r="BG375" i="1"/>
  <c r="BF368" i="1"/>
  <c r="BD362" i="1"/>
  <c r="BE362" i="1"/>
  <c r="BJ368" i="1"/>
  <c r="BH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AW361" i="1"/>
  <c r="BC361" i="1" s="1"/>
  <c r="AX361" i="1"/>
  <c r="AY361" i="1"/>
  <c r="AZ361" i="1"/>
  <c r="BI367" i="1" s="1"/>
  <c r="BA361" i="1"/>
  <c r="BB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D361" i="1" l="1"/>
  <c r="BH367" i="1"/>
  <c r="BG374" i="1"/>
  <c r="BF367" i="1"/>
  <c r="BE361" i="1"/>
  <c r="BJ367" i="1"/>
  <c r="S363" i="1"/>
  <c r="U368" i="1"/>
  <c r="T362" i="1"/>
  <c r="AV361" i="1"/>
  <c r="W361" i="1"/>
  <c r="X361" i="1" s="1"/>
  <c r="N361" i="1"/>
  <c r="O361" i="1"/>
  <c r="AT360" i="1"/>
  <c r="AU360" i="1"/>
  <c r="AV360" i="1" s="1"/>
  <c r="AW360" i="1"/>
  <c r="AX360" i="1"/>
  <c r="AY360" i="1"/>
  <c r="AZ360" i="1"/>
  <c r="BI366" i="1" s="1"/>
  <c r="BA360" i="1"/>
  <c r="BB360" i="1"/>
  <c r="CS360" i="1"/>
  <c r="CR360" i="1"/>
  <c r="CK360" i="1"/>
  <c r="CJ360" i="1"/>
  <c r="CC360" i="1"/>
  <c r="CB360" i="1"/>
  <c r="BU360" i="1"/>
  <c r="C360" i="1" s="1"/>
  <c r="BT360" i="1"/>
  <c r="M360" i="1"/>
  <c r="Y360" i="1"/>
  <c r="B360" i="1"/>
  <c r="V361" i="1" s="1"/>
  <c r="AI359" i="1"/>
  <c r="AJ359" i="1"/>
  <c r="AK359" i="1"/>
  <c r="BH366" i="1" l="1"/>
  <c r="BD360" i="1"/>
  <c r="BE360" i="1"/>
  <c r="BJ366" i="1"/>
  <c r="BC360" i="1"/>
  <c r="BG373" i="1"/>
  <c r="BF366" i="1"/>
  <c r="W360" i="1"/>
  <c r="X360" i="1" s="1"/>
  <c r="R361" i="1"/>
  <c r="U367" i="1" s="1"/>
  <c r="N360" i="1"/>
  <c r="S362" i="1"/>
  <c r="O360" i="1"/>
  <c r="AT359" i="1"/>
  <c r="AU359" i="1"/>
  <c r="AW359" i="1"/>
  <c r="AX359" i="1"/>
  <c r="AY359" i="1"/>
  <c r="AZ359" i="1"/>
  <c r="BA359" i="1"/>
  <c r="BB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BI365" i="1" l="1"/>
  <c r="AV359" i="1"/>
  <c r="T361" i="1"/>
  <c r="BH365" i="1"/>
  <c r="BD359" i="1"/>
  <c r="BG372" i="1"/>
  <c r="BF365" i="1"/>
  <c r="BE359" i="1"/>
  <c r="BJ365" i="1"/>
  <c r="BC359" i="1"/>
  <c r="R360" i="1"/>
  <c r="S361" i="1"/>
  <c r="N359" i="1"/>
  <c r="O359" i="1"/>
  <c r="AT358" i="1"/>
  <c r="AU358" i="1"/>
  <c r="AW358" i="1"/>
  <c r="AX358" i="1"/>
  <c r="AY358" i="1"/>
  <c r="AZ358" i="1"/>
  <c r="BI364" i="1" s="1"/>
  <c r="BA358" i="1"/>
  <c r="BB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BC358" i="1" l="1"/>
  <c r="BD358" i="1"/>
  <c r="AV358" i="1"/>
  <c r="BG371" i="1"/>
  <c r="BF364" i="1"/>
  <c r="BE358" i="1"/>
  <c r="BJ364" i="1"/>
  <c r="BH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AW357" i="1"/>
  <c r="AX357" i="1"/>
  <c r="BH363" i="1" s="1"/>
  <c r="AY357" i="1"/>
  <c r="AZ357" i="1"/>
  <c r="BA357" i="1"/>
  <c r="BB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BI363" i="1" l="1"/>
  <c r="BC357" i="1"/>
  <c r="AV357" i="1"/>
  <c r="BG370" i="1"/>
  <c r="BF363" i="1"/>
  <c r="BE357" i="1"/>
  <c r="BJ363" i="1"/>
  <c r="BD357" i="1"/>
  <c r="R358" i="1"/>
  <c r="V358" i="1"/>
  <c r="W357" i="1"/>
  <c r="X357" i="1" s="1"/>
  <c r="O357" i="1"/>
  <c r="N357" i="1"/>
  <c r="AI355" i="1"/>
  <c r="AJ355" i="1"/>
  <c r="AK355" i="1"/>
  <c r="AT356" i="1"/>
  <c r="AU356" i="1"/>
  <c r="AW356" i="1"/>
  <c r="AX356" i="1"/>
  <c r="AY356" i="1"/>
  <c r="AZ356" i="1"/>
  <c r="BA356" i="1"/>
  <c r="BB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BC356" i="1" l="1"/>
  <c r="BI362" i="1"/>
  <c r="AV356" i="1"/>
  <c r="BG369" i="1"/>
  <c r="BF362" i="1"/>
  <c r="BD356" i="1"/>
  <c r="BE356" i="1"/>
  <c r="BJ362" i="1"/>
  <c r="BH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AW355" i="1"/>
  <c r="AX355" i="1"/>
  <c r="AY355" i="1"/>
  <c r="AZ355" i="1"/>
  <c r="BA355" i="1"/>
  <c r="BB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BI361" i="1" l="1"/>
  <c r="AV355" i="1"/>
  <c r="BD355" i="1"/>
  <c r="BH361" i="1"/>
  <c r="BE355" i="1"/>
  <c r="BJ361" i="1"/>
  <c r="BC355" i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AW354" i="1"/>
  <c r="AX354" i="1"/>
  <c r="AY354" i="1"/>
  <c r="AZ354" i="1"/>
  <c r="BI360" i="1" s="1"/>
  <c r="BA354" i="1"/>
  <c r="BB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C354" i="1"/>
  <c r="BD354" i="1"/>
  <c r="BG367" i="1"/>
  <c r="BF360" i="1"/>
  <c r="BE354" i="1"/>
  <c r="BJ360" i="1"/>
  <c r="BH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AW353" i="1"/>
  <c r="AX353" i="1"/>
  <c r="AY353" i="1"/>
  <c r="AZ353" i="1"/>
  <c r="BA353" i="1"/>
  <c r="BB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BH359" i="1" l="1"/>
  <c r="BI359" i="1"/>
  <c r="AV353" i="1"/>
  <c r="BE353" i="1"/>
  <c r="BJ359" i="1"/>
  <c r="BD353" i="1"/>
  <c r="BG366" i="1"/>
  <c r="BF359" i="1"/>
  <c r="R354" i="1"/>
  <c r="BC353" i="1"/>
  <c r="W353" i="1"/>
  <c r="X353" i="1" s="1"/>
  <c r="N353" i="1"/>
  <c r="O353" i="1"/>
  <c r="AT352" i="1"/>
  <c r="AU352" i="1"/>
  <c r="AW352" i="1"/>
  <c r="AX352" i="1"/>
  <c r="AY352" i="1"/>
  <c r="AZ352" i="1"/>
  <c r="BA352" i="1"/>
  <c r="BB352" i="1"/>
  <c r="CS352" i="1"/>
  <c r="AB353" i="1" s="1"/>
  <c r="AK353" i="1" s="1"/>
  <c r="CR352" i="1"/>
  <c r="CK352" i="1"/>
  <c r="AA353" i="1" s="1"/>
  <c r="AJ353" i="1" s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BH358" i="1" l="1"/>
  <c r="BI358" i="1"/>
  <c r="BC352" i="1"/>
  <c r="AV352" i="1"/>
  <c r="BG365" i="1"/>
  <c r="BF358" i="1"/>
  <c r="BE352" i="1"/>
  <c r="BJ358" i="1"/>
  <c r="U359" i="1"/>
  <c r="BD352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AW351" i="1"/>
  <c r="AX351" i="1"/>
  <c r="AY351" i="1"/>
  <c r="AZ351" i="1"/>
  <c r="BA351" i="1"/>
  <c r="BB351" i="1"/>
  <c r="CS351" i="1"/>
  <c r="AB352" i="1" s="1"/>
  <c r="AK352" i="1" s="1"/>
  <c r="CR351" i="1"/>
  <c r="CK351" i="1"/>
  <c r="AA352" i="1" s="1"/>
  <c r="AJ352" i="1" s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BC351" i="1" l="1"/>
  <c r="BD351" i="1"/>
  <c r="BI357" i="1"/>
  <c r="BG364" i="1"/>
  <c r="BF357" i="1"/>
  <c r="BE351" i="1"/>
  <c r="BJ357" i="1"/>
  <c r="BH357" i="1"/>
  <c r="R352" i="1"/>
  <c r="U358" i="1" s="1"/>
  <c r="S353" i="1"/>
  <c r="AV351" i="1"/>
  <c r="N351" i="1"/>
  <c r="S352" i="1" s="1"/>
  <c r="O351" i="1"/>
  <c r="AT350" i="1"/>
  <c r="AU350" i="1"/>
  <c r="AW350" i="1"/>
  <c r="AX350" i="1"/>
  <c r="AY350" i="1"/>
  <c r="AZ350" i="1"/>
  <c r="BD350" i="1" s="1"/>
  <c r="BA350" i="1"/>
  <c r="BB350" i="1"/>
  <c r="CS350" i="1"/>
  <c r="AB351" i="1" s="1"/>
  <c r="AK351" i="1" s="1"/>
  <c r="CR350" i="1"/>
  <c r="CK350" i="1"/>
  <c r="AA351" i="1" s="1"/>
  <c r="AJ351" i="1" s="1"/>
  <c r="CJ350" i="1"/>
  <c r="CC350" i="1"/>
  <c r="CB350" i="1"/>
  <c r="BU350" i="1"/>
  <c r="C350" i="1" s="1"/>
  <c r="BT350" i="1"/>
  <c r="B350" i="1" s="1"/>
  <c r="M350" i="1"/>
  <c r="Y350" i="1"/>
  <c r="T352" i="1" l="1"/>
  <c r="BH356" i="1"/>
  <c r="BC350" i="1"/>
  <c r="BE350" i="1"/>
  <c r="BJ356" i="1"/>
  <c r="BI356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AW349" i="1"/>
  <c r="AX349" i="1"/>
  <c r="AY349" i="1"/>
  <c r="AZ349" i="1"/>
  <c r="BA349" i="1"/>
  <c r="BB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D349" i="1" l="1"/>
  <c r="BH355" i="1"/>
  <c r="BE349" i="1"/>
  <c r="BJ355" i="1"/>
  <c r="BC349" i="1"/>
  <c r="BG362" i="1"/>
  <c r="BF355" i="1"/>
  <c r="BI355" i="1"/>
  <c r="AV349" i="1"/>
  <c r="V350" i="1"/>
  <c r="T350" i="1" s="1"/>
  <c r="W349" i="1"/>
  <c r="X349" i="1" s="1"/>
  <c r="O349" i="1"/>
  <c r="N349" i="1"/>
  <c r="AT348" i="1"/>
  <c r="AU348" i="1"/>
  <c r="AW348" i="1"/>
  <c r="AX348" i="1"/>
  <c r="AY348" i="1"/>
  <c r="AZ348" i="1"/>
  <c r="BA348" i="1"/>
  <c r="BB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BC348" i="1" l="1"/>
  <c r="BI354" i="1"/>
  <c r="AV348" i="1"/>
  <c r="BG361" i="1"/>
  <c r="BF354" i="1"/>
  <c r="R349" i="1"/>
  <c r="U355" i="1" s="1"/>
  <c r="BD348" i="1"/>
  <c r="BE348" i="1"/>
  <c r="BJ354" i="1"/>
  <c r="BH354" i="1"/>
  <c r="S350" i="1"/>
  <c r="U356" i="1"/>
  <c r="N348" i="1"/>
  <c r="S349" i="1" s="1"/>
  <c r="O348" i="1"/>
  <c r="AT347" i="1"/>
  <c r="AU347" i="1"/>
  <c r="AW347" i="1"/>
  <c r="AX347" i="1"/>
  <c r="AY347" i="1"/>
  <c r="AZ347" i="1"/>
  <c r="BA347" i="1"/>
  <c r="BB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BD347" i="1" l="1"/>
  <c r="BH353" i="1"/>
  <c r="BE347" i="1"/>
  <c r="BJ353" i="1"/>
  <c r="BC347" i="1"/>
  <c r="T349" i="1"/>
  <c r="BI353" i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AW346" i="1"/>
  <c r="AX346" i="1"/>
  <c r="BH352" i="1" s="1"/>
  <c r="AY346" i="1"/>
  <c r="AZ346" i="1"/>
  <c r="BA346" i="1"/>
  <c r="BB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D346" i="1" l="1"/>
  <c r="BG359" i="1"/>
  <c r="BF352" i="1"/>
  <c r="BE346" i="1"/>
  <c r="BJ352" i="1"/>
  <c r="BC346" i="1"/>
  <c r="BI352" i="1"/>
  <c r="AV346" i="1"/>
  <c r="W346" i="1"/>
  <c r="X346" i="1" s="1"/>
  <c r="R347" i="1"/>
  <c r="U354" i="1"/>
  <c r="T348" i="1"/>
  <c r="N346" i="1"/>
  <c r="S347" i="1" s="1"/>
  <c r="O346" i="1"/>
  <c r="AT345" i="1"/>
  <c r="AU345" i="1"/>
  <c r="AW345" i="1"/>
  <c r="AX345" i="1"/>
  <c r="AY345" i="1"/>
  <c r="AZ345" i="1"/>
  <c r="BI351" i="1" s="1"/>
  <c r="BA345" i="1"/>
  <c r="BB345" i="1"/>
  <c r="CS345" i="1"/>
  <c r="CR345" i="1"/>
  <c r="CK345" i="1"/>
  <c r="CJ345" i="1"/>
  <c r="CC345" i="1"/>
  <c r="CB345" i="1"/>
  <c r="BU345" i="1"/>
  <c r="BT345" i="1"/>
  <c r="B345" i="1" s="1"/>
  <c r="V346" i="1" s="1"/>
  <c r="Y345" i="1"/>
  <c r="M345" i="1"/>
  <c r="C345" i="1"/>
  <c r="W345" i="1" s="1"/>
  <c r="X345" i="1" s="1"/>
  <c r="AV345" i="1" l="1"/>
  <c r="BH351" i="1"/>
  <c r="BD345" i="1"/>
  <c r="BG358" i="1"/>
  <c r="BF351" i="1"/>
  <c r="BE345" i="1"/>
  <c r="BJ351" i="1"/>
  <c r="BC345" i="1"/>
  <c r="U353" i="1"/>
  <c r="T347" i="1"/>
  <c r="R346" i="1"/>
  <c r="O345" i="1"/>
  <c r="N345" i="1"/>
  <c r="U352" i="1" l="1"/>
  <c r="T346" i="1"/>
  <c r="S346" i="1"/>
  <c r="AT344" i="1"/>
  <c r="AU344" i="1"/>
  <c r="AW344" i="1"/>
  <c r="AX344" i="1"/>
  <c r="BH350" i="1" s="1"/>
  <c r="AY344" i="1"/>
  <c r="AZ344" i="1"/>
  <c r="BA344" i="1"/>
  <c r="BB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BC344" i="1" l="1"/>
  <c r="N344" i="1"/>
  <c r="S345" i="1" s="1"/>
  <c r="U351" i="1"/>
  <c r="BI350" i="1"/>
  <c r="O344" i="1"/>
  <c r="AV344" i="1"/>
  <c r="BG357" i="1"/>
  <c r="BF350" i="1"/>
  <c r="BD344" i="1"/>
  <c r="W344" i="1"/>
  <c r="X344" i="1" s="1"/>
  <c r="BE344" i="1"/>
  <c r="BJ350" i="1"/>
  <c r="T345" i="1"/>
  <c r="AT343" i="1"/>
  <c r="AU343" i="1"/>
  <c r="AV343" i="1" s="1"/>
  <c r="AW343" i="1"/>
  <c r="AX343" i="1"/>
  <c r="AY343" i="1"/>
  <c r="AZ343" i="1"/>
  <c r="BA343" i="1"/>
  <c r="BB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BH349" i="1" l="1"/>
  <c r="BD343" i="1"/>
  <c r="BI349" i="1"/>
  <c r="BG356" i="1"/>
  <c r="BF349" i="1"/>
  <c r="BE343" i="1"/>
  <c r="BJ349" i="1"/>
  <c r="R344" i="1"/>
  <c r="BC343" i="1"/>
  <c r="W343" i="1"/>
  <c r="X343" i="1" s="1"/>
  <c r="N343" i="1"/>
  <c r="O343" i="1"/>
  <c r="AT342" i="1"/>
  <c r="AU342" i="1"/>
  <c r="AW342" i="1"/>
  <c r="AX342" i="1"/>
  <c r="AY342" i="1"/>
  <c r="AZ342" i="1"/>
  <c r="BA342" i="1"/>
  <c r="BB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BH348" i="1" l="1"/>
  <c r="BI348" i="1"/>
  <c r="BE342" i="1"/>
  <c r="BJ348" i="1"/>
  <c r="T344" i="1"/>
  <c r="U350" i="1"/>
  <c r="BC342" i="1"/>
  <c r="AV342" i="1"/>
  <c r="BG355" i="1"/>
  <c r="BF348" i="1"/>
  <c r="BD342" i="1"/>
  <c r="R343" i="1"/>
  <c r="W342" i="1"/>
  <c r="X342" i="1" s="1"/>
  <c r="S344" i="1"/>
  <c r="N342" i="1"/>
  <c r="S343" i="1" s="1"/>
  <c r="O342" i="1"/>
  <c r="AT341" i="1"/>
  <c r="AU341" i="1"/>
  <c r="AW341" i="1"/>
  <c r="AX341" i="1"/>
  <c r="BH347" i="1" s="1"/>
  <c r="AY341" i="1"/>
  <c r="AZ341" i="1"/>
  <c r="BA341" i="1"/>
  <c r="BB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P1" i="1"/>
  <c r="CR341" i="1"/>
  <c r="AI340" i="1"/>
  <c r="AJ340" i="1"/>
  <c r="AK340" i="1"/>
  <c r="AV341" i="1" l="1"/>
  <c r="BI347" i="1"/>
  <c r="T343" i="1"/>
  <c r="U349" i="1"/>
  <c r="BE341" i="1"/>
  <c r="BJ347" i="1"/>
  <c r="BG354" i="1"/>
  <c r="BF347" i="1"/>
  <c r="BD341" i="1"/>
  <c r="N341" i="1"/>
  <c r="S342" i="1" s="1"/>
  <c r="V341" i="1"/>
  <c r="V342" i="1"/>
  <c r="R342" i="1"/>
  <c r="O341" i="1"/>
  <c r="W341" i="1"/>
  <c r="X341" i="1" s="1"/>
  <c r="R341" i="1"/>
  <c r="BC341" i="1"/>
  <c r="AT340" i="1"/>
  <c r="AU340" i="1"/>
  <c r="AW340" i="1"/>
  <c r="AX340" i="1"/>
  <c r="AY340" i="1"/>
  <c r="AZ340" i="1"/>
  <c r="BI346" i="1" s="1"/>
  <c r="BA340" i="1"/>
  <c r="BB340" i="1"/>
  <c r="M340" i="1"/>
  <c r="N340" i="1"/>
  <c r="O340" i="1"/>
  <c r="R340" i="1"/>
  <c r="V340" i="1"/>
  <c r="W340" i="1"/>
  <c r="X340" i="1" s="1"/>
  <c r="Y340" i="1"/>
  <c r="AI339" i="1"/>
  <c r="AJ339" i="1"/>
  <c r="AK339" i="1"/>
  <c r="BH346" i="1" l="1"/>
  <c r="U348" i="1"/>
  <c r="L7" i="8"/>
  <c r="B45" i="9" s="1"/>
  <c r="B42" i="9"/>
  <c r="L6" i="8"/>
  <c r="B44" i="9" s="1"/>
  <c r="L8" i="8"/>
  <c r="B46" i="9" s="1"/>
  <c r="L10" i="8"/>
  <c r="B48" i="9" s="1"/>
  <c r="L5" i="8"/>
  <c r="B43" i="9" s="1"/>
  <c r="L9" i="8"/>
  <c r="B47" i="9" s="1"/>
  <c r="L11" i="8"/>
  <c r="B49" i="9" s="1"/>
  <c r="BE340" i="1"/>
  <c r="BJ346" i="1"/>
  <c r="U347" i="1"/>
  <c r="U346" i="1"/>
  <c r="BG353" i="1"/>
  <c r="BF346" i="1"/>
  <c r="T341" i="1"/>
  <c r="T342" i="1"/>
  <c r="BD340" i="1"/>
  <c r="BC340" i="1"/>
  <c r="AV340" i="1"/>
  <c r="T340" i="1"/>
  <c r="S341" i="1"/>
  <c r="AT339" i="1"/>
  <c r="AU339" i="1"/>
  <c r="AW339" i="1"/>
  <c r="AX339" i="1"/>
  <c r="AY339" i="1"/>
  <c r="AZ339" i="1"/>
  <c r="BA339" i="1"/>
  <c r="BB339" i="1"/>
  <c r="M339" i="1"/>
  <c r="N339" i="1"/>
  <c r="O339" i="1"/>
  <c r="R339" i="1"/>
  <c r="V339" i="1"/>
  <c r="W339" i="1"/>
  <c r="X339" i="1" s="1"/>
  <c r="Y339" i="1"/>
  <c r="L13" i="8" l="1"/>
  <c r="BI345" i="1"/>
  <c r="U345" i="1"/>
  <c r="BH345" i="1"/>
  <c r="AV339" i="1"/>
  <c r="BG352" i="1"/>
  <c r="BF345" i="1"/>
  <c r="BE339" i="1"/>
  <c r="BJ345" i="1"/>
  <c r="BD339" i="1"/>
  <c r="T339" i="1"/>
  <c r="BC339" i="1"/>
  <c r="S340" i="1"/>
  <c r="AI338" i="1"/>
  <c r="AJ338" i="1"/>
  <c r="AK338" i="1"/>
  <c r="AT338" i="1" l="1"/>
  <c r="AU338" i="1"/>
  <c r="AW338" i="1"/>
  <c r="AX338" i="1"/>
  <c r="BH344" i="1" s="1"/>
  <c r="AY338" i="1"/>
  <c r="AZ338" i="1"/>
  <c r="BA338" i="1"/>
  <c r="BB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C338" i="1" l="1"/>
  <c r="BG351" i="1"/>
  <c r="BF344" i="1"/>
  <c r="BD338" i="1"/>
  <c r="BI344" i="1"/>
  <c r="AV338" i="1"/>
  <c r="BE338" i="1"/>
  <c r="BJ344" i="1"/>
  <c r="T338" i="1"/>
  <c r="U344" i="1"/>
  <c r="AT337" i="1"/>
  <c r="AU337" i="1"/>
  <c r="BG350" i="1" s="1"/>
  <c r="AW337" i="1"/>
  <c r="AX337" i="1"/>
  <c r="AY337" i="1"/>
  <c r="AZ337" i="1"/>
  <c r="BA337" i="1"/>
  <c r="BB337" i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AV337" i="1"/>
  <c r="BJ343" i="1"/>
  <c r="BE337" i="1"/>
  <c r="BI343" i="1"/>
  <c r="BC337" i="1"/>
  <c r="T337" i="1"/>
  <c r="U343" i="1"/>
  <c r="BD337" i="1"/>
  <c r="BF343" i="1"/>
  <c r="S338" i="1"/>
  <c r="AT336" i="1"/>
  <c r="AU336" i="1"/>
  <c r="AW336" i="1"/>
  <c r="AX336" i="1"/>
  <c r="AY336" i="1"/>
  <c r="AZ336" i="1"/>
  <c r="BA336" i="1"/>
  <c r="BB336" i="1"/>
  <c r="M336" i="1"/>
  <c r="N336" i="1"/>
  <c r="O336" i="1"/>
  <c r="R336" i="1"/>
  <c r="V336" i="1"/>
  <c r="W336" i="1"/>
  <c r="X336" i="1" s="1"/>
  <c r="Y336" i="1"/>
  <c r="AI335" i="1"/>
  <c r="AJ335" i="1"/>
  <c r="AK335" i="1"/>
  <c r="BH342" i="1" l="1"/>
  <c r="BG349" i="1"/>
  <c r="BJ342" i="1"/>
  <c r="BE336" i="1"/>
  <c r="BC336" i="1"/>
  <c r="AV336" i="1"/>
  <c r="BF342" i="1"/>
  <c r="S337" i="1"/>
  <c r="BD336" i="1"/>
  <c r="BI342" i="1"/>
  <c r="T336" i="1"/>
  <c r="U342" i="1"/>
  <c r="AI334" i="1"/>
  <c r="AJ334" i="1"/>
  <c r="AK334" i="1"/>
  <c r="AI333" i="1"/>
  <c r="AJ333" i="1"/>
  <c r="AK333" i="1"/>
  <c r="AT335" i="1"/>
  <c r="AU335" i="1"/>
  <c r="BG348" i="1" s="1"/>
  <c r="AW335" i="1"/>
  <c r="AX335" i="1"/>
  <c r="AY335" i="1"/>
  <c r="AZ335" i="1"/>
  <c r="BA335" i="1"/>
  <c r="BB335" i="1"/>
  <c r="M335" i="1"/>
  <c r="N335" i="1"/>
  <c r="O335" i="1"/>
  <c r="R335" i="1"/>
  <c r="V335" i="1"/>
  <c r="W335" i="1"/>
  <c r="X335" i="1" s="1"/>
  <c r="Y335" i="1"/>
  <c r="BH341" i="1" l="1"/>
  <c r="BJ341" i="1"/>
  <c r="BE335" i="1"/>
  <c r="BI341" i="1"/>
  <c r="T335" i="1"/>
  <c r="U341" i="1"/>
  <c r="AV335" i="1"/>
  <c r="BF341" i="1"/>
  <c r="BC335" i="1"/>
  <c r="BD335" i="1"/>
  <c r="S336" i="1"/>
  <c r="AT334" i="1"/>
  <c r="AU334" i="1"/>
  <c r="AW334" i="1"/>
  <c r="AX334" i="1"/>
  <c r="AY334" i="1"/>
  <c r="AZ334" i="1"/>
  <c r="BA334" i="1"/>
  <c r="BB334" i="1"/>
  <c r="M334" i="1"/>
  <c r="N334" i="1"/>
  <c r="O334" i="1"/>
  <c r="R334" i="1"/>
  <c r="V334" i="1"/>
  <c r="W334" i="1"/>
  <c r="X334" i="1" s="1"/>
  <c r="Y334" i="1"/>
  <c r="BG347" i="1" l="1"/>
  <c r="BE334" i="1"/>
  <c r="T334" i="1"/>
  <c r="U340" i="1"/>
  <c r="BI340" i="1"/>
  <c r="BD334" i="1"/>
  <c r="AV334" i="1"/>
  <c r="BF340" i="1"/>
  <c r="BJ340" i="1"/>
  <c r="BC334" i="1"/>
  <c r="BH340" i="1"/>
  <c r="S335" i="1"/>
  <c r="AT333" i="1"/>
  <c r="AU333" i="1"/>
  <c r="AW333" i="1"/>
  <c r="AX333" i="1"/>
  <c r="BH339" i="1" s="1"/>
  <c r="AY333" i="1"/>
  <c r="AZ333" i="1"/>
  <c r="BA333" i="1"/>
  <c r="BB333" i="1"/>
  <c r="M333" i="1"/>
  <c r="N333" i="1"/>
  <c r="S334" i="1" s="1"/>
  <c r="O333" i="1"/>
  <c r="R333" i="1"/>
  <c r="V333" i="1"/>
  <c r="W333" i="1"/>
  <c r="X333" i="1" s="1"/>
  <c r="Y333" i="1"/>
  <c r="BG346" i="1" l="1"/>
  <c r="BJ339" i="1"/>
  <c r="BE333" i="1"/>
  <c r="BD333" i="1"/>
  <c r="BC333" i="1"/>
  <c r="T333" i="1"/>
  <c r="U339" i="1"/>
  <c r="BI339" i="1"/>
  <c r="AV333" i="1"/>
  <c r="BF339" i="1"/>
  <c r="AI332" i="1"/>
  <c r="AJ332" i="1"/>
  <c r="AK332" i="1"/>
  <c r="AT332" i="1" l="1"/>
  <c r="AU332" i="1"/>
  <c r="AW332" i="1"/>
  <c r="AX332" i="1"/>
  <c r="BH338" i="1" s="1"/>
  <c r="AY332" i="1"/>
  <c r="AZ332" i="1"/>
  <c r="BA332" i="1"/>
  <c r="BB332" i="1"/>
  <c r="M332" i="1"/>
  <c r="N332" i="1"/>
  <c r="S333" i="1" s="1"/>
  <c r="O332" i="1"/>
  <c r="R332" i="1"/>
  <c r="V332" i="1"/>
  <c r="W332" i="1"/>
  <c r="X332" i="1" s="1"/>
  <c r="Y332" i="1"/>
  <c r="BI338" i="1" l="1"/>
  <c r="BG345" i="1"/>
  <c r="BJ338" i="1"/>
  <c r="BE332" i="1"/>
  <c r="AV332" i="1"/>
  <c r="BF338" i="1"/>
  <c r="T332" i="1"/>
  <c r="U338" i="1"/>
  <c r="BC332" i="1"/>
  <c r="BD332" i="1"/>
  <c r="AI331" i="1"/>
  <c r="AJ331" i="1"/>
  <c r="AK331" i="1"/>
  <c r="AT331" i="1" l="1"/>
  <c r="AU331" i="1"/>
  <c r="AW331" i="1"/>
  <c r="AX331" i="1"/>
  <c r="AY331" i="1"/>
  <c r="AZ331" i="1"/>
  <c r="BA331" i="1"/>
  <c r="BB331" i="1"/>
  <c r="BE331" i="1" s="1"/>
  <c r="M331" i="1"/>
  <c r="N331" i="1"/>
  <c r="S332" i="1" s="1"/>
  <c r="O331" i="1"/>
  <c r="R331" i="1"/>
  <c r="V331" i="1"/>
  <c r="W331" i="1"/>
  <c r="X331" i="1" s="1"/>
  <c r="Y331" i="1"/>
  <c r="BG344" i="1" l="1"/>
  <c r="BC331" i="1"/>
  <c r="AV331" i="1"/>
  <c r="BD331" i="1"/>
  <c r="BI337" i="1"/>
  <c r="BF337" i="1"/>
  <c r="T331" i="1"/>
  <c r="U337" i="1"/>
  <c r="BJ337" i="1"/>
  <c r="BH337" i="1"/>
  <c r="AI330" i="1"/>
  <c r="AJ330" i="1"/>
  <c r="AK330" i="1"/>
  <c r="AT330" i="1" l="1"/>
  <c r="AU330" i="1"/>
  <c r="AV330" i="1" s="1"/>
  <c r="AW330" i="1"/>
  <c r="AX330" i="1"/>
  <c r="AY330" i="1"/>
  <c r="AZ330" i="1"/>
  <c r="BI336" i="1" s="1"/>
  <c r="BA330" i="1"/>
  <c r="BB330" i="1"/>
  <c r="M330" i="1"/>
  <c r="N330" i="1"/>
  <c r="S331" i="1" s="1"/>
  <c r="O330" i="1"/>
  <c r="R330" i="1"/>
  <c r="V330" i="1"/>
  <c r="W330" i="1"/>
  <c r="X330" i="1" s="1"/>
  <c r="Y330" i="1"/>
  <c r="BE330" i="1" l="1"/>
  <c r="T330" i="1"/>
  <c r="U336" i="1"/>
  <c r="BD330" i="1"/>
  <c r="BG343" i="1"/>
  <c r="BF336" i="1"/>
  <c r="BJ336" i="1"/>
  <c r="BH336" i="1"/>
  <c r="BC330" i="1"/>
  <c r="AI329" i="1"/>
  <c r="AJ329" i="1"/>
  <c r="AK329" i="1"/>
  <c r="AT329" i="1" l="1"/>
  <c r="AU329" i="1"/>
  <c r="AW329" i="1"/>
  <c r="AX329" i="1"/>
  <c r="AY329" i="1"/>
  <c r="AZ329" i="1"/>
  <c r="BA329" i="1"/>
  <c r="BB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E329" i="1"/>
  <c r="BD329" i="1"/>
  <c r="BI335" i="1"/>
  <c r="BG342" i="1"/>
  <c r="BF335" i="1"/>
  <c r="T329" i="1"/>
  <c r="U335" i="1"/>
  <c r="BJ335" i="1"/>
  <c r="BH335" i="1"/>
  <c r="BC329" i="1"/>
  <c r="AT328" i="1"/>
  <c r="AU328" i="1"/>
  <c r="AW328" i="1"/>
  <c r="AX328" i="1"/>
  <c r="BH334" i="1" s="1"/>
  <c r="AY328" i="1"/>
  <c r="AZ328" i="1"/>
  <c r="BA328" i="1"/>
  <c r="BB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J334" i="1"/>
  <c r="BE328" i="1"/>
  <c r="BG341" i="1"/>
  <c r="BF334" i="1"/>
  <c r="U334" i="1"/>
  <c r="BD328" i="1"/>
  <c r="BI334" i="1"/>
  <c r="BC328" i="1"/>
  <c r="S329" i="1"/>
  <c r="T328" i="1"/>
  <c r="AT327" i="1"/>
  <c r="AU327" i="1"/>
  <c r="AW327" i="1"/>
  <c r="AX327" i="1"/>
  <c r="AY327" i="1"/>
  <c r="AZ327" i="1"/>
  <c r="BA327" i="1"/>
  <c r="BB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BE327" i="1" l="1"/>
  <c r="AV327" i="1"/>
  <c r="BG340" i="1"/>
  <c r="BF333" i="1"/>
  <c r="T327" i="1"/>
  <c r="U333" i="1"/>
  <c r="BD327" i="1"/>
  <c r="BI333" i="1"/>
  <c r="BJ333" i="1"/>
  <c r="BH333" i="1"/>
  <c r="BC327" i="1"/>
  <c r="AT326" i="1"/>
  <c r="AU326" i="1"/>
  <c r="AW326" i="1"/>
  <c r="AX326" i="1"/>
  <c r="AY326" i="1"/>
  <c r="AZ326" i="1"/>
  <c r="BA326" i="1"/>
  <c r="BB326" i="1"/>
  <c r="M326" i="1"/>
  <c r="N326" i="1"/>
  <c r="S327" i="1" s="1"/>
  <c r="O326" i="1"/>
  <c r="R326" i="1"/>
  <c r="V326" i="1"/>
  <c r="W326" i="1"/>
  <c r="X326" i="1" s="1"/>
  <c r="Y326" i="1"/>
  <c r="BJ332" i="1" l="1"/>
  <c r="BE326" i="1"/>
  <c r="BI332" i="1"/>
  <c r="BG339" i="1"/>
  <c r="BF332" i="1"/>
  <c r="BD326" i="1"/>
  <c r="U332" i="1"/>
  <c r="AV326" i="1"/>
  <c r="BC326" i="1"/>
  <c r="BH332" i="1"/>
  <c r="T326" i="1"/>
  <c r="AI325" i="1"/>
  <c r="AJ325" i="1"/>
  <c r="AK325" i="1"/>
  <c r="AT325" i="1" l="1"/>
  <c r="AU325" i="1"/>
  <c r="AW325" i="1"/>
  <c r="AX325" i="1"/>
  <c r="AY325" i="1"/>
  <c r="AZ325" i="1"/>
  <c r="BA325" i="1"/>
  <c r="BB325" i="1"/>
  <c r="BE325" i="1" s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BC325" i="1" l="1"/>
  <c r="AV325" i="1"/>
  <c r="BG338" i="1"/>
  <c r="BD325" i="1"/>
  <c r="T325" i="1"/>
  <c r="U331" i="1"/>
  <c r="BI331" i="1"/>
  <c r="BF331" i="1"/>
  <c r="BJ331" i="1"/>
  <c r="BH331" i="1"/>
  <c r="AU324" i="1"/>
  <c r="AV324" i="1" s="1"/>
  <c r="AW324" i="1"/>
  <c r="AX324" i="1"/>
  <c r="AY324" i="1"/>
  <c r="AZ324" i="1"/>
  <c r="BA324" i="1"/>
  <c r="BB324" i="1"/>
  <c r="M324" i="1"/>
  <c r="N324" i="1"/>
  <c r="O324" i="1"/>
  <c r="R324" i="1"/>
  <c r="V324" i="1"/>
  <c r="W324" i="1"/>
  <c r="X324" i="1" s="1"/>
  <c r="Y324" i="1"/>
  <c r="AI323" i="1"/>
  <c r="AJ323" i="1"/>
  <c r="AK323" i="1"/>
  <c r="BI330" i="1" l="1"/>
  <c r="BE324" i="1"/>
  <c r="BF330" i="1"/>
  <c r="BG337" i="1"/>
  <c r="BC324" i="1"/>
  <c r="BJ330" i="1"/>
  <c r="BH330" i="1"/>
  <c r="S325" i="1"/>
  <c r="T324" i="1"/>
  <c r="U330" i="1"/>
  <c r="BD324" i="1"/>
  <c r="AT323" i="1"/>
  <c r="AU323" i="1"/>
  <c r="AW323" i="1"/>
  <c r="AX323" i="1"/>
  <c r="AY323" i="1"/>
  <c r="AZ323" i="1"/>
  <c r="BA323" i="1"/>
  <c r="BB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I329" i="1" l="1"/>
  <c r="BG336" i="1"/>
  <c r="BH329" i="1"/>
  <c r="BJ329" i="1"/>
  <c r="BE323" i="1"/>
  <c r="AV323" i="1"/>
  <c r="BF329" i="1"/>
  <c r="BC323" i="1"/>
  <c r="BD323" i="1"/>
  <c r="T323" i="1"/>
  <c r="U329" i="1"/>
  <c r="S324" i="1"/>
  <c r="AT322" i="1"/>
  <c r="AU322" i="1"/>
  <c r="AW322" i="1"/>
  <c r="AX322" i="1"/>
  <c r="AY322" i="1"/>
  <c r="AZ322" i="1"/>
  <c r="BA322" i="1"/>
  <c r="BB322" i="1"/>
  <c r="M322" i="1"/>
  <c r="N322" i="1"/>
  <c r="S323" i="1" s="1"/>
  <c r="O322" i="1"/>
  <c r="R322" i="1"/>
  <c r="V322" i="1"/>
  <c r="W322" i="1"/>
  <c r="X322" i="1" s="1"/>
  <c r="Y322" i="1"/>
  <c r="BI328" i="1" l="1"/>
  <c r="BG335" i="1"/>
  <c r="BE322" i="1"/>
  <c r="AV322" i="1"/>
  <c r="BF328" i="1"/>
  <c r="BD322" i="1"/>
  <c r="T322" i="1"/>
  <c r="U328" i="1"/>
  <c r="BJ328" i="1"/>
  <c r="BC322" i="1"/>
  <c r="BH328" i="1"/>
  <c r="AT321" i="1"/>
  <c r="AU321" i="1"/>
  <c r="AW321" i="1"/>
  <c r="AX321" i="1"/>
  <c r="AY321" i="1"/>
  <c r="AZ321" i="1"/>
  <c r="BA321" i="1"/>
  <c r="BB321" i="1"/>
  <c r="M321" i="1"/>
  <c r="N321" i="1"/>
  <c r="S322" i="1" s="1"/>
  <c r="O321" i="1"/>
  <c r="R321" i="1"/>
  <c r="V321" i="1"/>
  <c r="W321" i="1"/>
  <c r="X321" i="1" s="1"/>
  <c r="Y321" i="1"/>
  <c r="BH327" i="1" l="1"/>
  <c r="BJ327" i="1"/>
  <c r="BE321" i="1"/>
  <c r="AV321" i="1"/>
  <c r="BG334" i="1"/>
  <c r="BD321" i="1"/>
  <c r="BI327" i="1"/>
  <c r="T321" i="1"/>
  <c r="U327" i="1"/>
  <c r="BC321" i="1"/>
  <c r="BF327" i="1"/>
  <c r="AI320" i="1"/>
  <c r="AJ320" i="1"/>
  <c r="AK320" i="1"/>
  <c r="AT320" i="1" l="1"/>
  <c r="AU320" i="1"/>
  <c r="BG333" i="1" s="1"/>
  <c r="AW320" i="1"/>
  <c r="AX320" i="1"/>
  <c r="BH326" i="1" s="1"/>
  <c r="AY320" i="1"/>
  <c r="AZ320" i="1"/>
  <c r="BI326" i="1" s="1"/>
  <c r="BA320" i="1"/>
  <c r="BB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J326" i="1" l="1"/>
  <c r="BE320" i="1"/>
  <c r="T320" i="1"/>
  <c r="U326" i="1"/>
  <c r="BF326" i="1"/>
  <c r="BC320" i="1"/>
  <c r="BD320" i="1"/>
  <c r="AV320" i="1"/>
  <c r="AT319" i="1"/>
  <c r="AU319" i="1"/>
  <c r="AW319" i="1"/>
  <c r="AX319" i="1"/>
  <c r="BH325" i="1" s="1"/>
  <c r="AY319" i="1"/>
  <c r="AZ319" i="1"/>
  <c r="BA319" i="1"/>
  <c r="BB319" i="1"/>
  <c r="M319" i="1"/>
  <c r="N319" i="1"/>
  <c r="O319" i="1"/>
  <c r="R319" i="1"/>
  <c r="V319" i="1"/>
  <c r="W319" i="1"/>
  <c r="X319" i="1" s="1"/>
  <c r="Y319" i="1"/>
  <c r="BD319" i="1" l="1"/>
  <c r="BJ325" i="1"/>
  <c r="BE319" i="1"/>
  <c r="BF325" i="1"/>
  <c r="BG332" i="1"/>
  <c r="BC319" i="1"/>
  <c r="T319" i="1"/>
  <c r="U325" i="1"/>
  <c r="BI325" i="1"/>
  <c r="AV319" i="1"/>
  <c r="S320" i="1"/>
  <c r="AI318" i="1"/>
  <c r="AJ318" i="1"/>
  <c r="AK318" i="1"/>
  <c r="AT318" i="1" l="1"/>
  <c r="AU318" i="1"/>
  <c r="AW318" i="1"/>
  <c r="AX318" i="1"/>
  <c r="AY318" i="1"/>
  <c r="AZ318" i="1"/>
  <c r="BA318" i="1"/>
  <c r="BB318" i="1"/>
  <c r="BE318" i="1" s="1"/>
  <c r="M318" i="1"/>
  <c r="N318" i="1"/>
  <c r="S319" i="1" s="1"/>
  <c r="O318" i="1"/>
  <c r="R318" i="1"/>
  <c r="V318" i="1"/>
  <c r="W318" i="1"/>
  <c r="X318" i="1" s="1"/>
  <c r="Y318" i="1"/>
  <c r="BI324" i="1" l="1"/>
  <c r="AV318" i="1"/>
  <c r="BC318" i="1"/>
  <c r="BD318" i="1"/>
  <c r="BG331" i="1"/>
  <c r="BF324" i="1"/>
  <c r="T318" i="1"/>
  <c r="U324" i="1"/>
  <c r="BJ324" i="1"/>
  <c r="BH324" i="1"/>
  <c r="AI317" i="1"/>
  <c r="AJ317" i="1"/>
  <c r="AK317" i="1"/>
  <c r="AT317" i="1" l="1"/>
  <c r="AU317" i="1"/>
  <c r="AW317" i="1"/>
  <c r="AX317" i="1"/>
  <c r="AY317" i="1"/>
  <c r="AZ317" i="1"/>
  <c r="BA317" i="1"/>
  <c r="BB317" i="1"/>
  <c r="BE317" i="1" s="1"/>
  <c r="M317" i="1"/>
  <c r="N317" i="1"/>
  <c r="S318" i="1" s="1"/>
  <c r="O317" i="1"/>
  <c r="R317" i="1"/>
  <c r="V317" i="1"/>
  <c r="W317" i="1"/>
  <c r="X317" i="1" s="1"/>
  <c r="Y317" i="1"/>
  <c r="BI323" i="1" l="1"/>
  <c r="AV317" i="1"/>
  <c r="U323" i="1"/>
  <c r="BD317" i="1"/>
  <c r="BG330" i="1"/>
  <c r="BF323" i="1"/>
  <c r="BJ323" i="1"/>
  <c r="BH323" i="1"/>
  <c r="BC317" i="1"/>
  <c r="T317" i="1"/>
  <c r="AI316" i="1" l="1"/>
  <c r="AJ316" i="1"/>
  <c r="AK316" i="1"/>
  <c r="AT316" i="1" l="1"/>
  <c r="AU316" i="1"/>
  <c r="AW316" i="1"/>
  <c r="AX316" i="1"/>
  <c r="AY316" i="1"/>
  <c r="AZ316" i="1"/>
  <c r="BI322" i="1" s="1"/>
  <c r="BA316" i="1"/>
  <c r="BB316" i="1"/>
  <c r="M316" i="1"/>
  <c r="N316" i="1"/>
  <c r="O316" i="1"/>
  <c r="R316" i="1"/>
  <c r="V316" i="1"/>
  <c r="W316" i="1"/>
  <c r="X316" i="1" s="1"/>
  <c r="Y316" i="1"/>
  <c r="AI315" i="1"/>
  <c r="AJ315" i="1"/>
  <c r="AK315" i="1"/>
  <c r="BJ322" i="1" l="1"/>
  <c r="BE316" i="1"/>
  <c r="BC316" i="1"/>
  <c r="BH322" i="1"/>
  <c r="AV316" i="1"/>
  <c r="BG329" i="1"/>
  <c r="BF322" i="1"/>
  <c r="T316" i="1"/>
  <c r="U322" i="1"/>
  <c r="S317" i="1"/>
  <c r="BD316" i="1"/>
  <c r="AT315" i="1"/>
  <c r="AU315" i="1"/>
  <c r="AW315" i="1"/>
  <c r="AX315" i="1"/>
  <c r="AY315" i="1"/>
  <c r="AZ315" i="1"/>
  <c r="BA315" i="1"/>
  <c r="BB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E315" i="1" l="1"/>
  <c r="BI321" i="1"/>
  <c r="BC315" i="1"/>
  <c r="BD315" i="1"/>
  <c r="BG328" i="1"/>
  <c r="BF321" i="1"/>
  <c r="T315" i="1"/>
  <c r="U321" i="1"/>
  <c r="BJ321" i="1"/>
  <c r="BH321" i="1"/>
  <c r="AV315" i="1"/>
  <c r="AT314" i="1"/>
  <c r="AU314" i="1"/>
  <c r="AW314" i="1"/>
  <c r="AX314" i="1"/>
  <c r="AY314" i="1"/>
  <c r="AZ314" i="1"/>
  <c r="BA314" i="1"/>
  <c r="BB314" i="1"/>
  <c r="M314" i="1"/>
  <c r="N314" i="1"/>
  <c r="S315" i="1" s="1"/>
  <c r="O314" i="1"/>
  <c r="R314" i="1"/>
  <c r="V314" i="1"/>
  <c r="W314" i="1"/>
  <c r="X314" i="1" s="1"/>
  <c r="Y314" i="1"/>
  <c r="AV314" i="1" l="1"/>
  <c r="BE314" i="1"/>
  <c r="BI320" i="1"/>
  <c r="BC314" i="1"/>
  <c r="T314" i="1"/>
  <c r="U320" i="1"/>
  <c r="BD314" i="1"/>
  <c r="BG327" i="1"/>
  <c r="BF320" i="1"/>
  <c r="BJ320" i="1"/>
  <c r="BH320" i="1"/>
  <c r="AI313" i="1"/>
  <c r="AJ313" i="1"/>
  <c r="AK313" i="1"/>
  <c r="AT313" i="1" l="1"/>
  <c r="AU313" i="1"/>
  <c r="AW313" i="1"/>
  <c r="AX313" i="1"/>
  <c r="AY313" i="1"/>
  <c r="AZ313" i="1"/>
  <c r="BA313" i="1"/>
  <c r="BB313" i="1"/>
  <c r="M313" i="1"/>
  <c r="N313" i="1"/>
  <c r="O313" i="1"/>
  <c r="R313" i="1"/>
  <c r="V313" i="1"/>
  <c r="W313" i="1"/>
  <c r="X313" i="1" s="1"/>
  <c r="Y313" i="1"/>
  <c r="BC313" i="1" l="1"/>
  <c r="AV313" i="1"/>
  <c r="BE313" i="1"/>
  <c r="BD313" i="1"/>
  <c r="BI319" i="1"/>
  <c r="BG326" i="1"/>
  <c r="BF319" i="1"/>
  <c r="U319" i="1"/>
  <c r="S314" i="1"/>
  <c r="BJ319" i="1"/>
  <c r="BH319" i="1"/>
  <c r="T313" i="1"/>
  <c r="AI312" i="1"/>
  <c r="AJ312" i="1"/>
  <c r="AK312" i="1"/>
  <c r="AT312" i="1" l="1"/>
  <c r="AV312" i="1" s="1"/>
  <c r="AU312" i="1"/>
  <c r="AW312" i="1"/>
  <c r="BC312" i="1" s="1"/>
  <c r="AX312" i="1"/>
  <c r="AY312" i="1"/>
  <c r="AZ312" i="1"/>
  <c r="BI318" i="1" s="1"/>
  <c r="BA312" i="1"/>
  <c r="BB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E312" i="1" l="1"/>
  <c r="BJ318" i="1"/>
  <c r="BH318" i="1"/>
  <c r="BD312" i="1"/>
  <c r="BG325" i="1"/>
  <c r="BF318" i="1"/>
  <c r="T312" i="1"/>
  <c r="U318" i="1"/>
  <c r="AT311" i="1"/>
  <c r="AU311" i="1"/>
  <c r="AW311" i="1"/>
  <c r="AX311" i="1"/>
  <c r="AY311" i="1"/>
  <c r="AZ311" i="1"/>
  <c r="BI317" i="1" s="1"/>
  <c r="BA311" i="1"/>
  <c r="BB311" i="1"/>
  <c r="BE311" i="1" s="1"/>
  <c r="M311" i="1"/>
  <c r="N311" i="1"/>
  <c r="O311" i="1"/>
  <c r="R311" i="1"/>
  <c r="V311" i="1"/>
  <c r="W311" i="1"/>
  <c r="X311" i="1" s="1"/>
  <c r="Y311" i="1"/>
  <c r="AI310" i="1"/>
  <c r="AJ310" i="1"/>
  <c r="AK310" i="1"/>
  <c r="BC311" i="1" l="1"/>
  <c r="T311" i="1"/>
  <c r="U317" i="1"/>
  <c r="AV311" i="1"/>
  <c r="BG324" i="1"/>
  <c r="BF317" i="1"/>
  <c r="BD311" i="1"/>
  <c r="BJ317" i="1"/>
  <c r="BH317" i="1"/>
  <c r="S312" i="1"/>
  <c r="AT310" i="1"/>
  <c r="AU310" i="1"/>
  <c r="AW310" i="1"/>
  <c r="AX310" i="1"/>
  <c r="AY310" i="1"/>
  <c r="AZ310" i="1"/>
  <c r="BA310" i="1"/>
  <c r="BB310" i="1"/>
  <c r="M310" i="1"/>
  <c r="N310" i="1"/>
  <c r="O310" i="1"/>
  <c r="R310" i="1"/>
  <c r="V310" i="1"/>
  <c r="W310" i="1"/>
  <c r="X310" i="1" s="1"/>
  <c r="Y310" i="1"/>
  <c r="AI309" i="1"/>
  <c r="AJ309" i="1"/>
  <c r="AK309" i="1"/>
  <c r="BE310" i="1" l="1"/>
  <c r="BC310" i="1"/>
  <c r="BD310" i="1"/>
  <c r="BI316" i="1"/>
  <c r="BG323" i="1"/>
  <c r="BF316" i="1"/>
  <c r="S311" i="1"/>
  <c r="T310" i="1"/>
  <c r="U316" i="1"/>
  <c r="BJ316" i="1"/>
  <c r="BH316" i="1"/>
  <c r="AV310" i="1"/>
  <c r="AT309" i="1"/>
  <c r="AU309" i="1"/>
  <c r="AW309" i="1"/>
  <c r="AX309" i="1"/>
  <c r="AY309" i="1"/>
  <c r="AZ309" i="1"/>
  <c r="BA309" i="1"/>
  <c r="BB309" i="1"/>
  <c r="M309" i="1"/>
  <c r="N309" i="1"/>
  <c r="O309" i="1"/>
  <c r="R309" i="1"/>
  <c r="V309" i="1"/>
  <c r="W309" i="1"/>
  <c r="X309" i="1" s="1"/>
  <c r="Y309" i="1"/>
  <c r="AI308" i="1"/>
  <c r="AJ308" i="1"/>
  <c r="AK308" i="1"/>
  <c r="BJ315" i="1" l="1"/>
  <c r="BE309" i="1"/>
  <c r="BD309" i="1"/>
  <c r="T309" i="1"/>
  <c r="U315" i="1"/>
  <c r="BC309" i="1"/>
  <c r="BH315" i="1"/>
  <c r="BI315" i="1"/>
  <c r="AV309" i="1"/>
  <c r="BG322" i="1"/>
  <c r="BF315" i="1"/>
  <c r="S310" i="1"/>
  <c r="AT308" i="1"/>
  <c r="AU308" i="1"/>
  <c r="AW308" i="1"/>
  <c r="AX308" i="1"/>
  <c r="BH314" i="1" s="1"/>
  <c r="AY308" i="1"/>
  <c r="AZ308" i="1"/>
  <c r="BA308" i="1"/>
  <c r="BB308" i="1"/>
  <c r="M308" i="1"/>
  <c r="N308" i="1"/>
  <c r="O308" i="1"/>
  <c r="R308" i="1"/>
  <c r="V308" i="1"/>
  <c r="W308" i="1"/>
  <c r="X308" i="1" s="1"/>
  <c r="Y308" i="1"/>
  <c r="AI307" i="1"/>
  <c r="AJ307" i="1"/>
  <c r="AK307" i="1"/>
  <c r="BD308" i="1" l="1"/>
  <c r="BJ314" i="1"/>
  <c r="BE308" i="1"/>
  <c r="AV308" i="1"/>
  <c r="BI314" i="1"/>
  <c r="S309" i="1"/>
  <c r="T308" i="1"/>
  <c r="U314" i="1"/>
  <c r="BC308" i="1"/>
  <c r="BG321" i="1"/>
  <c r="BF314" i="1"/>
  <c r="AT307" i="1"/>
  <c r="AU307" i="1"/>
  <c r="AW307" i="1"/>
  <c r="AX307" i="1"/>
  <c r="BH313" i="1" s="1"/>
  <c r="AY307" i="1"/>
  <c r="AZ307" i="1"/>
  <c r="BA307" i="1"/>
  <c r="BB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J313" i="1" l="1"/>
  <c r="BE307" i="1"/>
  <c r="BI313" i="1"/>
  <c r="BC307" i="1"/>
  <c r="BD307" i="1"/>
  <c r="AV307" i="1"/>
  <c r="BG320" i="1"/>
  <c r="BF313" i="1"/>
  <c r="U313" i="1"/>
  <c r="T307" i="1"/>
  <c r="AT306" i="1"/>
  <c r="AU306" i="1"/>
  <c r="AW306" i="1"/>
  <c r="AX306" i="1"/>
  <c r="AY306" i="1"/>
  <c r="AZ306" i="1"/>
  <c r="BI312" i="1" s="1"/>
  <c r="BA306" i="1"/>
  <c r="BB306" i="1"/>
  <c r="M306" i="1"/>
  <c r="N306" i="1"/>
  <c r="O306" i="1"/>
  <c r="R306" i="1"/>
  <c r="V306" i="1"/>
  <c r="W306" i="1"/>
  <c r="X306" i="1" s="1"/>
  <c r="Y306" i="1"/>
  <c r="AI305" i="1"/>
  <c r="AJ305" i="1"/>
  <c r="AK305" i="1"/>
  <c r="BE306" i="1" l="1"/>
  <c r="BJ312" i="1"/>
  <c r="BH312" i="1"/>
  <c r="AV306" i="1"/>
  <c r="BG319" i="1"/>
  <c r="BF312" i="1"/>
  <c r="T306" i="1"/>
  <c r="U312" i="1"/>
  <c r="BD306" i="1"/>
  <c r="S307" i="1"/>
  <c r="BC306" i="1"/>
  <c r="AT305" i="1"/>
  <c r="AU305" i="1"/>
  <c r="AW305" i="1"/>
  <c r="AX305" i="1"/>
  <c r="AY305" i="1"/>
  <c r="AZ305" i="1"/>
  <c r="BA305" i="1"/>
  <c r="BB305" i="1"/>
  <c r="BE305" i="1" s="1"/>
  <c r="M305" i="1"/>
  <c r="N305" i="1"/>
  <c r="O305" i="1"/>
  <c r="R305" i="1"/>
  <c r="V305" i="1"/>
  <c r="W305" i="1"/>
  <c r="X305" i="1" s="1"/>
  <c r="Y305" i="1"/>
  <c r="AI304" i="1"/>
  <c r="AJ304" i="1"/>
  <c r="AK304" i="1"/>
  <c r="BD305" i="1" l="1"/>
  <c r="U311" i="1"/>
  <c r="BI311" i="1"/>
  <c r="AV305" i="1"/>
  <c r="BG318" i="1"/>
  <c r="BF311" i="1"/>
  <c r="BJ311" i="1"/>
  <c r="BH311" i="1"/>
  <c r="S306" i="1"/>
  <c r="BC305" i="1"/>
  <c r="T305" i="1"/>
  <c r="AT304" i="1"/>
  <c r="AU304" i="1"/>
  <c r="AW304" i="1"/>
  <c r="AX304" i="1"/>
  <c r="AY304" i="1"/>
  <c r="AZ304" i="1"/>
  <c r="BA304" i="1"/>
  <c r="BB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H310" i="1" l="1"/>
  <c r="BJ310" i="1"/>
  <c r="BE304" i="1"/>
  <c r="BI310" i="1"/>
  <c r="AV304" i="1"/>
  <c r="BG317" i="1"/>
  <c r="BF310" i="1"/>
  <c r="U310" i="1"/>
  <c r="BC304" i="1"/>
  <c r="BD304" i="1"/>
  <c r="T304" i="1"/>
  <c r="AT303" i="1"/>
  <c r="AU303" i="1"/>
  <c r="AW303" i="1"/>
  <c r="AX303" i="1"/>
  <c r="AY303" i="1"/>
  <c r="AZ303" i="1"/>
  <c r="BA303" i="1"/>
  <c r="BB303" i="1"/>
  <c r="M303" i="1"/>
  <c r="N303" i="1"/>
  <c r="O303" i="1"/>
  <c r="R303" i="1"/>
  <c r="V303" i="1"/>
  <c r="W303" i="1"/>
  <c r="X303" i="1" s="1"/>
  <c r="Y303" i="1"/>
  <c r="AV303" i="1" l="1"/>
  <c r="BH309" i="1"/>
  <c r="BJ309" i="1"/>
  <c r="BE303" i="1"/>
  <c r="BD303" i="1"/>
  <c r="BI309" i="1"/>
  <c r="BG316" i="1"/>
  <c r="BF309" i="1"/>
  <c r="U309" i="1"/>
  <c r="BC303" i="1"/>
  <c r="T303" i="1"/>
  <c r="S304" i="1"/>
  <c r="AI302" i="1"/>
  <c r="AJ302" i="1"/>
  <c r="AK302" i="1"/>
  <c r="AT302" i="1" l="1"/>
  <c r="AU302" i="1"/>
  <c r="AW302" i="1"/>
  <c r="AX302" i="1"/>
  <c r="AY302" i="1"/>
  <c r="AZ302" i="1"/>
  <c r="BA302" i="1"/>
  <c r="BB302" i="1"/>
  <c r="M302" i="1"/>
  <c r="N302" i="1"/>
  <c r="O302" i="1"/>
  <c r="R302" i="1"/>
  <c r="V302" i="1"/>
  <c r="W302" i="1"/>
  <c r="X302" i="1" s="1"/>
  <c r="Y302" i="1"/>
  <c r="BI308" i="1" l="1"/>
  <c r="BJ308" i="1"/>
  <c r="BE302" i="1"/>
  <c r="BG315" i="1"/>
  <c r="BF308" i="1"/>
  <c r="BC302" i="1"/>
  <c r="BH308" i="1"/>
  <c r="U308" i="1"/>
  <c r="S303" i="1"/>
  <c r="T302" i="1"/>
  <c r="BD302" i="1"/>
  <c r="AV302" i="1"/>
  <c r="AI301" i="1"/>
  <c r="AJ301" i="1"/>
  <c r="AK301" i="1"/>
  <c r="AT301" i="1" l="1"/>
  <c r="AU301" i="1"/>
  <c r="AW301" i="1"/>
  <c r="AX301" i="1"/>
  <c r="BH307" i="1" s="1"/>
  <c r="AY301" i="1"/>
  <c r="AZ301" i="1"/>
  <c r="BA301" i="1"/>
  <c r="BB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I307" i="1" l="1"/>
  <c r="BG314" i="1"/>
  <c r="BJ307" i="1"/>
  <c r="BE301" i="1"/>
  <c r="BD301" i="1"/>
  <c r="BC301" i="1"/>
  <c r="AV301" i="1"/>
  <c r="BF307" i="1"/>
  <c r="T301" i="1"/>
  <c r="U307" i="1"/>
  <c r="AT300" i="1"/>
  <c r="AU300" i="1"/>
  <c r="AW300" i="1"/>
  <c r="AX300" i="1"/>
  <c r="BH306" i="1" s="1"/>
  <c r="AY300" i="1"/>
  <c r="AZ300" i="1"/>
  <c r="BA300" i="1"/>
  <c r="BB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BJ306" i="1"/>
  <c r="BE300" i="1"/>
  <c r="BD300" i="1"/>
  <c r="T300" i="1"/>
  <c r="U306" i="1"/>
  <c r="S301" i="1"/>
  <c r="BC300" i="1"/>
  <c r="BI306" i="1"/>
  <c r="AV300" i="1"/>
  <c r="BF306" i="1"/>
  <c r="AT299" i="1"/>
  <c r="AU299" i="1"/>
  <c r="AW299" i="1"/>
  <c r="AX299" i="1"/>
  <c r="AY299" i="1"/>
  <c r="AZ299" i="1"/>
  <c r="BA299" i="1"/>
  <c r="BB299" i="1"/>
  <c r="M299" i="1"/>
  <c r="N299" i="1"/>
  <c r="S300" i="1" s="1"/>
  <c r="O299" i="1"/>
  <c r="R299" i="1"/>
  <c r="V299" i="1"/>
  <c r="W299" i="1"/>
  <c r="X299" i="1" s="1"/>
  <c r="Y299" i="1"/>
  <c r="BD299" i="1" l="1"/>
  <c r="BG312" i="1"/>
  <c r="BH305" i="1"/>
  <c r="BJ305" i="1"/>
  <c r="BE299" i="1"/>
  <c r="U305" i="1"/>
  <c r="T299" i="1"/>
  <c r="BI305" i="1"/>
  <c r="AV299" i="1"/>
  <c r="BF305" i="1"/>
  <c r="BC299" i="1"/>
  <c r="AI298" i="1"/>
  <c r="AJ298" i="1"/>
  <c r="AK298" i="1"/>
  <c r="AT298" i="1" l="1"/>
  <c r="AU298" i="1"/>
  <c r="AW298" i="1"/>
  <c r="AX298" i="1"/>
  <c r="AY298" i="1"/>
  <c r="AZ298" i="1"/>
  <c r="BD298" i="1" s="1"/>
  <c r="BA298" i="1"/>
  <c r="BB298" i="1"/>
  <c r="BE298" i="1" s="1"/>
  <c r="M298" i="1"/>
  <c r="N298" i="1"/>
  <c r="O298" i="1"/>
  <c r="R298" i="1"/>
  <c r="V298" i="1"/>
  <c r="W298" i="1"/>
  <c r="X298" i="1" s="1"/>
  <c r="Y298" i="1"/>
  <c r="AI297" i="1"/>
  <c r="AJ297" i="1"/>
  <c r="AK297" i="1"/>
  <c r="BC298" i="1" l="1"/>
  <c r="BF304" i="1"/>
  <c r="BG311" i="1"/>
  <c r="S299" i="1"/>
  <c r="BI304" i="1"/>
  <c r="AV298" i="1"/>
  <c r="T298" i="1"/>
  <c r="U304" i="1"/>
  <c r="BJ304" i="1"/>
  <c r="BH304" i="1"/>
  <c r="AT297" i="1"/>
  <c r="AU297" i="1"/>
  <c r="AW297" i="1"/>
  <c r="AX297" i="1"/>
  <c r="AY297" i="1"/>
  <c r="AZ297" i="1"/>
  <c r="BA297" i="1"/>
  <c r="BB297" i="1"/>
  <c r="M297" i="1"/>
  <c r="N297" i="1"/>
  <c r="O297" i="1"/>
  <c r="R297" i="1"/>
  <c r="V297" i="1"/>
  <c r="W297" i="1"/>
  <c r="X297" i="1" s="1"/>
  <c r="Y297" i="1"/>
  <c r="AI296" i="1"/>
  <c r="AJ296" i="1"/>
  <c r="AK296" i="1"/>
  <c r="BH303" i="1" l="1"/>
  <c r="BD297" i="1"/>
  <c r="BJ303" i="1"/>
  <c r="BE297" i="1"/>
  <c r="BG310" i="1"/>
  <c r="T297" i="1"/>
  <c r="U303" i="1"/>
  <c r="BC297" i="1"/>
  <c r="BI303" i="1"/>
  <c r="BF303" i="1"/>
  <c r="S298" i="1"/>
  <c r="AV297" i="1"/>
  <c r="AT296" i="1"/>
  <c r="AU296" i="1"/>
  <c r="AW296" i="1"/>
  <c r="AX296" i="1"/>
  <c r="AY296" i="1"/>
  <c r="AZ296" i="1"/>
  <c r="BA296" i="1"/>
  <c r="BB296" i="1"/>
  <c r="BE296" i="1" s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D296" i="1" l="1"/>
  <c r="AV296" i="1"/>
  <c r="BC296" i="1"/>
  <c r="BI302" i="1"/>
  <c r="BF302" i="1"/>
  <c r="BG309" i="1"/>
  <c r="T296" i="1"/>
  <c r="U302" i="1"/>
  <c r="BJ302" i="1"/>
  <c r="BH302" i="1"/>
  <c r="AT295" i="1"/>
  <c r="AU295" i="1"/>
  <c r="AW295" i="1"/>
  <c r="AX295" i="1"/>
  <c r="AY295" i="1"/>
  <c r="AZ295" i="1"/>
  <c r="BA295" i="1"/>
  <c r="BB295" i="1"/>
  <c r="M295" i="1"/>
  <c r="N295" i="1"/>
  <c r="O295" i="1"/>
  <c r="R295" i="1"/>
  <c r="V295" i="1"/>
  <c r="W295" i="1"/>
  <c r="X295" i="1" s="1"/>
  <c r="Y295" i="1"/>
  <c r="BH301" i="1" l="1"/>
  <c r="BJ301" i="1"/>
  <c r="BE295" i="1"/>
  <c r="BD295" i="1"/>
  <c r="BF301" i="1"/>
  <c r="BG308" i="1"/>
  <c r="S296" i="1"/>
  <c r="BC295" i="1"/>
  <c r="T295" i="1"/>
  <c r="U301" i="1"/>
  <c r="BI301" i="1"/>
  <c r="AV295" i="1"/>
  <c r="AI294" i="1"/>
  <c r="AJ294" i="1"/>
  <c r="AK294" i="1"/>
  <c r="AT294" i="1" l="1"/>
  <c r="AU294" i="1"/>
  <c r="AW294" i="1"/>
  <c r="AX294" i="1"/>
  <c r="AY294" i="1"/>
  <c r="AZ294" i="1"/>
  <c r="BA294" i="1"/>
  <c r="BB294" i="1"/>
  <c r="M294" i="1"/>
  <c r="N294" i="1"/>
  <c r="O294" i="1"/>
  <c r="R294" i="1"/>
  <c r="V294" i="1"/>
  <c r="W294" i="1"/>
  <c r="X294" i="1" s="1"/>
  <c r="Y294" i="1"/>
  <c r="BH300" i="1" l="1"/>
  <c r="BJ300" i="1"/>
  <c r="BE294" i="1"/>
  <c r="BI300" i="1"/>
  <c r="BC294" i="1"/>
  <c r="AV294" i="1"/>
  <c r="BG307" i="1"/>
  <c r="BF300" i="1"/>
  <c r="S295" i="1"/>
  <c r="T294" i="1"/>
  <c r="U300" i="1"/>
  <c r="BD294" i="1"/>
  <c r="AI292" i="1"/>
  <c r="AJ292" i="1"/>
  <c r="AK292" i="1"/>
  <c r="AI293" i="1"/>
  <c r="AJ293" i="1"/>
  <c r="AK293" i="1"/>
  <c r="AT293" i="1" l="1"/>
  <c r="AU293" i="1"/>
  <c r="AW293" i="1"/>
  <c r="AX293" i="1"/>
  <c r="AY293" i="1"/>
  <c r="AZ293" i="1"/>
  <c r="BA293" i="1"/>
  <c r="BB293" i="1"/>
  <c r="M293" i="1"/>
  <c r="N293" i="1"/>
  <c r="S294" i="1" s="1"/>
  <c r="O293" i="1"/>
  <c r="R293" i="1"/>
  <c r="V293" i="1"/>
  <c r="W293" i="1"/>
  <c r="X293" i="1" s="1"/>
  <c r="Y293" i="1"/>
  <c r="BI299" i="1" l="1"/>
  <c r="BJ299" i="1"/>
  <c r="BE293" i="1"/>
  <c r="BC293" i="1"/>
  <c r="BH299" i="1"/>
  <c r="T293" i="1"/>
  <c r="U299" i="1"/>
  <c r="AV293" i="1"/>
  <c r="BG306" i="1"/>
  <c r="BF299" i="1"/>
  <c r="BD293" i="1"/>
  <c r="AT292" i="1"/>
  <c r="AU292" i="1"/>
  <c r="AW292" i="1"/>
  <c r="AX292" i="1"/>
  <c r="AY292" i="1"/>
  <c r="AZ292" i="1"/>
  <c r="BA292" i="1"/>
  <c r="BB292" i="1"/>
  <c r="M292" i="1"/>
  <c r="N292" i="1"/>
  <c r="S293" i="1" s="1"/>
  <c r="O292" i="1"/>
  <c r="R292" i="1"/>
  <c r="V292" i="1"/>
  <c r="W292" i="1"/>
  <c r="X292" i="1" s="1"/>
  <c r="Y292" i="1"/>
  <c r="BH298" i="1" l="1"/>
  <c r="BJ298" i="1"/>
  <c r="BE292" i="1"/>
  <c r="BD292" i="1"/>
  <c r="BC292" i="1"/>
  <c r="T292" i="1"/>
  <c r="U298" i="1"/>
  <c r="BI298" i="1"/>
  <c r="AV292" i="1"/>
  <c r="BG305" i="1"/>
  <c r="BF298" i="1"/>
  <c r="AI291" i="1"/>
  <c r="AJ291" i="1"/>
  <c r="AK291" i="1"/>
  <c r="AT291" i="1" l="1"/>
  <c r="AU291" i="1"/>
  <c r="AV291" i="1" s="1"/>
  <c r="AW291" i="1"/>
  <c r="AX291" i="1"/>
  <c r="AY291" i="1"/>
  <c r="AZ291" i="1"/>
  <c r="BI297" i="1" s="1"/>
  <c r="BA291" i="1"/>
  <c r="BB291" i="1"/>
  <c r="BE291" i="1" s="1"/>
  <c r="M291" i="1"/>
  <c r="N291" i="1"/>
  <c r="S292" i="1" s="1"/>
  <c r="O291" i="1"/>
  <c r="R291" i="1"/>
  <c r="V291" i="1"/>
  <c r="W291" i="1"/>
  <c r="X291" i="1" s="1"/>
  <c r="Y291" i="1"/>
  <c r="BC291" i="1" l="1"/>
  <c r="T291" i="1"/>
  <c r="U297" i="1"/>
  <c r="BG304" i="1"/>
  <c r="BF297" i="1"/>
  <c r="BD291" i="1"/>
  <c r="BJ297" i="1"/>
  <c r="BH297" i="1"/>
  <c r="AI290" i="1"/>
  <c r="AJ290" i="1"/>
  <c r="AK290" i="1"/>
  <c r="AT290" i="1" l="1"/>
  <c r="AU290" i="1"/>
  <c r="AW290" i="1"/>
  <c r="AX290" i="1"/>
  <c r="BH296" i="1" s="1"/>
  <c r="AY290" i="1"/>
  <c r="AZ290" i="1"/>
  <c r="BA290" i="1"/>
  <c r="BB290" i="1"/>
  <c r="AI289" i="1"/>
  <c r="AJ289" i="1"/>
  <c r="AK289" i="1"/>
  <c r="M290" i="1"/>
  <c r="N290" i="1"/>
  <c r="O290" i="1"/>
  <c r="R290" i="1"/>
  <c r="V290" i="1"/>
  <c r="W290" i="1"/>
  <c r="X290" i="1" s="1"/>
  <c r="Y290" i="1"/>
  <c r="BJ296" i="1" l="1"/>
  <c r="BE290" i="1"/>
  <c r="BI296" i="1"/>
  <c r="T290" i="1"/>
  <c r="U296" i="1"/>
  <c r="BC290" i="1"/>
  <c r="AV290" i="1"/>
  <c r="BG303" i="1"/>
  <c r="BF296" i="1"/>
  <c r="S291" i="1"/>
  <c r="BD290" i="1"/>
  <c r="AT289" i="1"/>
  <c r="AU289" i="1"/>
  <c r="AW289" i="1"/>
  <c r="AX289" i="1"/>
  <c r="AY289" i="1"/>
  <c r="AZ289" i="1"/>
  <c r="BA289" i="1"/>
  <c r="BB289" i="1"/>
  <c r="BE289" i="1" s="1"/>
  <c r="M289" i="1"/>
  <c r="N289" i="1"/>
  <c r="O289" i="1"/>
  <c r="R289" i="1"/>
  <c r="V289" i="1"/>
  <c r="W289" i="1"/>
  <c r="X289" i="1" s="1"/>
  <c r="Y289" i="1"/>
  <c r="AI288" i="1"/>
  <c r="AJ288" i="1"/>
  <c r="AK288" i="1"/>
  <c r="BI295" i="1" l="1"/>
  <c r="BC289" i="1"/>
  <c r="S290" i="1"/>
  <c r="AV289" i="1"/>
  <c r="BG302" i="1"/>
  <c r="BF295" i="1"/>
  <c r="BD289" i="1"/>
  <c r="T289" i="1"/>
  <c r="U295" i="1"/>
  <c r="BJ295" i="1"/>
  <c r="BH295" i="1"/>
  <c r="AT288" i="1"/>
  <c r="AU288" i="1"/>
  <c r="AW288" i="1"/>
  <c r="AX288" i="1"/>
  <c r="AY288" i="1"/>
  <c r="AZ288" i="1"/>
  <c r="BA288" i="1"/>
  <c r="BB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H294" i="1" l="1"/>
  <c r="AV288" i="1"/>
  <c r="BJ294" i="1"/>
  <c r="BE288" i="1"/>
  <c r="BI294" i="1"/>
  <c r="T288" i="1"/>
  <c r="U294" i="1"/>
  <c r="BD288" i="1"/>
  <c r="BG301" i="1"/>
  <c r="BF294" i="1"/>
  <c r="BC288" i="1"/>
  <c r="AT287" i="1"/>
  <c r="AU287" i="1"/>
  <c r="AW287" i="1"/>
  <c r="AX287" i="1"/>
  <c r="AY287" i="1"/>
  <c r="AZ287" i="1"/>
  <c r="BA287" i="1"/>
  <c r="BB287" i="1"/>
  <c r="BE287" i="1" s="1"/>
  <c r="M287" i="1"/>
  <c r="N287" i="1"/>
  <c r="O287" i="1"/>
  <c r="R287" i="1"/>
  <c r="V287" i="1"/>
  <c r="W287" i="1"/>
  <c r="X287" i="1" s="1"/>
  <c r="Y287" i="1"/>
  <c r="BI293" i="1" l="1"/>
  <c r="AV287" i="1"/>
  <c r="BD287" i="1"/>
  <c r="T287" i="1"/>
  <c r="U293" i="1"/>
  <c r="BC287" i="1"/>
  <c r="BG300" i="1"/>
  <c r="BF293" i="1"/>
  <c r="S288" i="1"/>
  <c r="BJ293" i="1"/>
  <c r="BH293" i="1"/>
  <c r="AI286" i="1"/>
  <c r="AJ286" i="1"/>
  <c r="AK286" i="1"/>
  <c r="AT286" i="1" l="1"/>
  <c r="AU286" i="1"/>
  <c r="AW286" i="1"/>
  <c r="AX286" i="1"/>
  <c r="AY286" i="1"/>
  <c r="AZ286" i="1"/>
  <c r="BA286" i="1"/>
  <c r="BB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J292" i="1" l="1"/>
  <c r="BE286" i="1"/>
  <c r="BC286" i="1"/>
  <c r="BH292" i="1"/>
  <c r="T286" i="1"/>
  <c r="U292" i="1"/>
  <c r="BI292" i="1"/>
  <c r="AV286" i="1"/>
  <c r="BG299" i="1"/>
  <c r="BF292" i="1"/>
  <c r="BD286" i="1"/>
  <c r="AT285" i="1"/>
  <c r="AU285" i="1"/>
  <c r="AW285" i="1"/>
  <c r="AX285" i="1"/>
  <c r="AY285" i="1"/>
  <c r="AZ285" i="1"/>
  <c r="BA285" i="1"/>
  <c r="BB285" i="1"/>
  <c r="M285" i="1"/>
  <c r="N285" i="1"/>
  <c r="S286" i="1" s="1"/>
  <c r="O285" i="1"/>
  <c r="R285" i="1"/>
  <c r="V285" i="1"/>
  <c r="W285" i="1"/>
  <c r="X285" i="1" s="1"/>
  <c r="Y285" i="1"/>
  <c r="BE285" i="1" l="1"/>
  <c r="BI291" i="1"/>
  <c r="AV285" i="1"/>
  <c r="BG298" i="1"/>
  <c r="BF291" i="1"/>
  <c r="BD285" i="1"/>
  <c r="T285" i="1"/>
  <c r="U291" i="1"/>
  <c r="BJ291" i="1"/>
  <c r="BH291" i="1"/>
  <c r="BC285" i="1"/>
  <c r="AT284" i="1"/>
  <c r="AU284" i="1"/>
  <c r="AW284" i="1"/>
  <c r="AX284" i="1"/>
  <c r="AY284" i="1"/>
  <c r="AZ284" i="1"/>
  <c r="BA284" i="1"/>
  <c r="BB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H290" i="1" l="1"/>
  <c r="BI290" i="1"/>
  <c r="AV284" i="1"/>
  <c r="BJ290" i="1"/>
  <c r="BE284" i="1"/>
  <c r="BD284" i="1"/>
  <c r="BG297" i="1"/>
  <c r="BF290" i="1"/>
  <c r="T284" i="1"/>
  <c r="U290" i="1"/>
  <c r="BC284" i="1"/>
  <c r="AT283" i="1"/>
  <c r="AU283" i="1"/>
  <c r="AW283" i="1"/>
  <c r="AX283" i="1"/>
  <c r="AY283" i="1"/>
  <c r="AZ283" i="1"/>
  <c r="BA283" i="1"/>
  <c r="BB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AW282" i="1"/>
  <c r="AX282" i="1"/>
  <c r="AY282" i="1"/>
  <c r="AZ282" i="1"/>
  <c r="BA282" i="1"/>
  <c r="BB282" i="1"/>
  <c r="M282" i="1"/>
  <c r="N282" i="1"/>
  <c r="O282" i="1"/>
  <c r="R282" i="1"/>
  <c r="V282" i="1"/>
  <c r="W282" i="1"/>
  <c r="X282" i="1" s="1"/>
  <c r="Y282" i="1"/>
  <c r="AI281" i="1"/>
  <c r="AJ281" i="1"/>
  <c r="AK281" i="1"/>
  <c r="BJ289" i="1" l="1"/>
  <c r="BE283" i="1"/>
  <c r="BJ288" i="1"/>
  <c r="BE282" i="1"/>
  <c r="BH289" i="1"/>
  <c r="S283" i="1"/>
  <c r="AV283" i="1"/>
  <c r="BI289" i="1"/>
  <c r="BC282" i="1"/>
  <c r="BH288" i="1"/>
  <c r="T282" i="1"/>
  <c r="U288" i="1"/>
  <c r="T283" i="1"/>
  <c r="U289" i="1"/>
  <c r="BD283" i="1"/>
  <c r="BG296" i="1"/>
  <c r="BF289" i="1"/>
  <c r="BI288" i="1"/>
  <c r="AV282" i="1"/>
  <c r="BG295" i="1"/>
  <c r="BF288" i="1"/>
  <c r="BD282" i="1"/>
  <c r="BC283" i="1"/>
  <c r="AT281" i="1"/>
  <c r="AU281" i="1"/>
  <c r="AW281" i="1"/>
  <c r="AX281" i="1"/>
  <c r="AY281" i="1"/>
  <c r="AZ281" i="1"/>
  <c r="BA281" i="1"/>
  <c r="BB281" i="1"/>
  <c r="M281" i="1"/>
  <c r="N281" i="1"/>
  <c r="S282" i="1" s="1"/>
  <c r="O281" i="1"/>
  <c r="R281" i="1"/>
  <c r="V281" i="1"/>
  <c r="W281" i="1"/>
  <c r="X281" i="1" s="1"/>
  <c r="Y281" i="1"/>
  <c r="BE281" i="1" l="1"/>
  <c r="BI287" i="1"/>
  <c r="BJ287" i="1"/>
  <c r="BG294" i="1"/>
  <c r="BF287" i="1"/>
  <c r="U287" i="1"/>
  <c r="BD281" i="1"/>
  <c r="BC281" i="1"/>
  <c r="BH287" i="1"/>
  <c r="T281" i="1"/>
  <c r="AV281" i="1"/>
  <c r="AI280" i="1"/>
  <c r="AJ280" i="1"/>
  <c r="AK280" i="1"/>
  <c r="AT280" i="1" l="1"/>
  <c r="AU280" i="1"/>
  <c r="AW280" i="1"/>
  <c r="AX280" i="1"/>
  <c r="AY280" i="1"/>
  <c r="AZ280" i="1"/>
  <c r="BA280" i="1"/>
  <c r="BB280" i="1"/>
  <c r="BE280" i="1" s="1"/>
  <c r="M280" i="1"/>
  <c r="N280" i="1"/>
  <c r="S281" i="1" s="1"/>
  <c r="O280" i="1"/>
  <c r="R280" i="1"/>
  <c r="V280" i="1"/>
  <c r="W280" i="1"/>
  <c r="X280" i="1" s="1"/>
  <c r="Y280" i="1"/>
  <c r="AV280" i="1" l="1"/>
  <c r="BC280" i="1"/>
  <c r="BD280" i="1"/>
  <c r="BI286" i="1"/>
  <c r="BG293" i="1"/>
  <c r="BF286" i="1"/>
  <c r="U286" i="1"/>
  <c r="BJ286" i="1"/>
  <c r="BH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AW279" i="1"/>
  <c r="AX279" i="1"/>
  <c r="AY279" i="1"/>
  <c r="AZ279" i="1"/>
  <c r="BA279" i="1"/>
  <c r="BB279" i="1"/>
  <c r="M279" i="1"/>
  <c r="N279" i="1"/>
  <c r="O279" i="1"/>
  <c r="R279" i="1"/>
  <c r="V279" i="1"/>
  <c r="W279" i="1"/>
  <c r="X279" i="1" s="1"/>
  <c r="Y279" i="1"/>
  <c r="BJ285" i="1" l="1"/>
  <c r="BE279" i="1"/>
  <c r="AV279" i="1"/>
  <c r="BG292" i="1"/>
  <c r="BF285" i="1"/>
  <c r="U285" i="1"/>
  <c r="BC279" i="1"/>
  <c r="BH285" i="1"/>
  <c r="BI285" i="1"/>
  <c r="S280" i="1"/>
  <c r="BD279" i="1"/>
  <c r="T279" i="1"/>
  <c r="AT278" i="1"/>
  <c r="AU278" i="1"/>
  <c r="AW278" i="1"/>
  <c r="AX278" i="1"/>
  <c r="AY278" i="1"/>
  <c r="AZ278" i="1"/>
  <c r="BA278" i="1"/>
  <c r="BB278" i="1"/>
  <c r="M278" i="1"/>
  <c r="N278" i="1"/>
  <c r="S279" i="1" s="1"/>
  <c r="O278" i="1"/>
  <c r="R278" i="1"/>
  <c r="V278" i="1"/>
  <c r="W278" i="1"/>
  <c r="X278" i="1" s="1"/>
  <c r="Y278" i="1"/>
  <c r="BE278" i="1" l="1"/>
  <c r="BJ284" i="1"/>
  <c r="BC278" i="1"/>
  <c r="BH284" i="1"/>
  <c r="U284" i="1"/>
  <c r="BI284" i="1"/>
  <c r="BG291" i="1"/>
  <c r="BF284" i="1"/>
  <c r="T278" i="1"/>
  <c r="BD278" i="1"/>
  <c r="AV278" i="1"/>
  <c r="AT277" i="1"/>
  <c r="AU277" i="1"/>
  <c r="AW277" i="1"/>
  <c r="AX277" i="1"/>
  <c r="AY277" i="1"/>
  <c r="AZ277" i="1"/>
  <c r="BA277" i="1"/>
  <c r="BB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E277" i="1" l="1"/>
  <c r="BD277" i="1"/>
  <c r="BI283" i="1"/>
  <c r="AV277" i="1"/>
  <c r="BG290" i="1"/>
  <c r="BF283" i="1"/>
  <c r="T277" i="1"/>
  <c r="U283" i="1"/>
  <c r="BJ283" i="1"/>
  <c r="BC277" i="1"/>
  <c r="BH283" i="1"/>
  <c r="AT276" i="1"/>
  <c r="AU276" i="1"/>
  <c r="AW276" i="1"/>
  <c r="AX276" i="1"/>
  <c r="AY276" i="1"/>
  <c r="AZ276" i="1"/>
  <c r="BA276" i="1"/>
  <c r="BB276" i="1"/>
  <c r="M276" i="1"/>
  <c r="N276" i="1"/>
  <c r="O276" i="1"/>
  <c r="R276" i="1"/>
  <c r="V276" i="1"/>
  <c r="W276" i="1"/>
  <c r="X276" i="1" s="1"/>
  <c r="Y276" i="1"/>
  <c r="BH282" i="1" l="1"/>
  <c r="BJ282" i="1"/>
  <c r="BE276" i="1"/>
  <c r="BI282" i="1"/>
  <c r="AV276" i="1"/>
  <c r="BG289" i="1"/>
  <c r="BF282" i="1"/>
  <c r="U282" i="1"/>
  <c r="BD276" i="1"/>
  <c r="T276" i="1"/>
  <c r="S277" i="1"/>
  <c r="BC276" i="1"/>
  <c r="AI274" i="1"/>
  <c r="AJ274" i="1"/>
  <c r="AK274" i="1"/>
  <c r="AI275" i="1"/>
  <c r="AJ275" i="1"/>
  <c r="AK275" i="1"/>
  <c r="AT275" i="1" l="1"/>
  <c r="AU275" i="1"/>
  <c r="AW275" i="1"/>
  <c r="AX275" i="1"/>
  <c r="AY275" i="1"/>
  <c r="AZ275" i="1"/>
  <c r="BA275" i="1"/>
  <c r="BB275" i="1"/>
  <c r="Y275" i="1"/>
  <c r="M275" i="1"/>
  <c r="N275" i="1"/>
  <c r="S276" i="1" s="1"/>
  <c r="O275" i="1"/>
  <c r="R275" i="1"/>
  <c r="V275" i="1"/>
  <c r="W275" i="1"/>
  <c r="X275" i="1" s="1"/>
  <c r="BI281" i="1" l="1"/>
  <c r="BG288" i="1"/>
  <c r="BJ281" i="1"/>
  <c r="BE275" i="1"/>
  <c r="BC275" i="1"/>
  <c r="BH281" i="1"/>
  <c r="AV275" i="1"/>
  <c r="BF281" i="1"/>
  <c r="T275" i="1"/>
  <c r="U281" i="1"/>
  <c r="BD275" i="1"/>
  <c r="AT274" i="1"/>
  <c r="AU274" i="1"/>
  <c r="AW274" i="1"/>
  <c r="AX274" i="1"/>
  <c r="AY274" i="1"/>
  <c r="AZ274" i="1"/>
  <c r="BA274" i="1"/>
  <c r="BB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BH280" i="1"/>
  <c r="BJ280" i="1"/>
  <c r="BE274" i="1"/>
  <c r="BD274" i="1"/>
  <c r="T274" i="1"/>
  <c r="U280" i="1"/>
  <c r="BI280" i="1"/>
  <c r="AV274" i="1"/>
  <c r="BF280" i="1"/>
  <c r="BC274" i="1"/>
  <c r="AU273" i="1"/>
  <c r="BG286" i="1" s="1"/>
  <c r="AW273" i="1"/>
  <c r="AX273" i="1"/>
  <c r="AY273" i="1"/>
  <c r="AZ273" i="1"/>
  <c r="BA273" i="1"/>
  <c r="BB273" i="1"/>
  <c r="M273" i="1"/>
  <c r="N273" i="1"/>
  <c r="S274" i="1" s="1"/>
  <c r="O273" i="1"/>
  <c r="R273" i="1"/>
  <c r="V273" i="1"/>
  <c r="W273" i="1"/>
  <c r="X273" i="1" s="1"/>
  <c r="Y273" i="1"/>
  <c r="BE273" i="1" l="1"/>
  <c r="BC273" i="1"/>
  <c r="BI279" i="1"/>
  <c r="BD273" i="1"/>
  <c r="AV273" i="1"/>
  <c r="BF279" i="1"/>
  <c r="T273" i="1"/>
  <c r="U279" i="1"/>
  <c r="BJ279" i="1"/>
  <c r="BH279" i="1"/>
  <c r="AT272" i="1"/>
  <c r="AU272" i="1"/>
  <c r="AW272" i="1"/>
  <c r="AX272" i="1"/>
  <c r="AY272" i="1"/>
  <c r="AZ272" i="1"/>
  <c r="BA272" i="1"/>
  <c r="BB272" i="1"/>
  <c r="AI272" i="1"/>
  <c r="AJ272" i="1"/>
  <c r="AK272" i="1"/>
  <c r="BE272" i="1" l="1"/>
  <c r="BJ278" i="1"/>
  <c r="BH278" i="1"/>
  <c r="BI278" i="1"/>
  <c r="BG285" i="1"/>
  <c r="BD272" i="1"/>
  <c r="AV272" i="1"/>
  <c r="BF278" i="1"/>
  <c r="BC272" i="1"/>
  <c r="BN262" i="1"/>
  <c r="AT530" i="1" s="1"/>
  <c r="AV530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A530" i="1" s="1"/>
  <c r="BE530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BA525" i="1" l="1"/>
  <c r="BE525" i="1" s="1"/>
  <c r="BA521" i="1"/>
  <c r="BE521" i="1" s="1"/>
  <c r="BA516" i="1"/>
  <c r="BE516" i="1" s="1"/>
  <c r="AT516" i="1"/>
  <c r="AV516" i="1" s="1"/>
  <c r="AT525" i="1"/>
  <c r="AV525" i="1" s="1"/>
  <c r="AT521" i="1"/>
  <c r="AV521" i="1" s="1"/>
  <c r="BA513" i="1"/>
  <c r="BE513" i="1" s="1"/>
  <c r="AT513" i="1"/>
  <c r="AV513" i="1" s="1"/>
  <c r="BA506" i="1"/>
  <c r="BE506" i="1" s="1"/>
  <c r="BA510" i="1"/>
  <c r="BE510" i="1" s="1"/>
  <c r="AT506" i="1"/>
  <c r="AV506" i="1" s="1"/>
  <c r="AT510" i="1"/>
  <c r="AV510" i="1" s="1"/>
  <c r="BA502" i="1"/>
  <c r="BE502" i="1" s="1"/>
  <c r="BA504" i="1"/>
  <c r="BE504" i="1" s="1"/>
  <c r="AT502" i="1"/>
  <c r="AV502" i="1" s="1"/>
  <c r="AT504" i="1"/>
  <c r="AV504" i="1" s="1"/>
  <c r="BA481" i="1"/>
  <c r="BA493" i="1"/>
  <c r="BE493" i="1" s="1"/>
  <c r="BA495" i="1"/>
  <c r="BE495" i="1" s="1"/>
  <c r="BA496" i="1"/>
  <c r="BE496" i="1" s="1"/>
  <c r="BA500" i="1"/>
  <c r="BE500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AW271" i="1"/>
  <c r="AX271" i="1"/>
  <c r="AY271" i="1"/>
  <c r="AZ271" i="1"/>
  <c r="BA271" i="1"/>
  <c r="BB271" i="1"/>
  <c r="M271" i="1"/>
  <c r="N271" i="1"/>
  <c r="O271" i="1"/>
  <c r="R271" i="1"/>
  <c r="V271" i="1"/>
  <c r="W271" i="1"/>
  <c r="X271" i="1" s="1"/>
  <c r="Y271" i="1"/>
  <c r="AI270" i="1"/>
  <c r="AJ270" i="1"/>
  <c r="AK270" i="1"/>
  <c r="BI277" i="1" l="1"/>
  <c r="BG284" i="1"/>
  <c r="AV481" i="1"/>
  <c r="BF481" i="1"/>
  <c r="BG481" i="1"/>
  <c r="BE481" i="1"/>
  <c r="BJ481" i="1"/>
  <c r="BJ277" i="1"/>
  <c r="BE271" i="1"/>
  <c r="BH277" i="1"/>
  <c r="U277" i="1"/>
  <c r="AV271" i="1"/>
  <c r="BF277" i="1"/>
  <c r="BD271" i="1"/>
  <c r="BC271" i="1"/>
  <c r="S272" i="1"/>
  <c r="T271" i="1"/>
  <c r="BF264" i="1"/>
  <c r="BG264" i="1"/>
  <c r="BH264" i="1"/>
  <c r="BI264" i="1"/>
  <c r="BJ264" i="1"/>
  <c r="AW266" i="1"/>
  <c r="AX266" i="1"/>
  <c r="AY266" i="1"/>
  <c r="AZ266" i="1"/>
  <c r="BA266" i="1"/>
  <c r="BB266" i="1"/>
  <c r="AW267" i="1"/>
  <c r="AX267" i="1"/>
  <c r="AY267" i="1"/>
  <c r="AZ267" i="1"/>
  <c r="BA267" i="1"/>
  <c r="BB267" i="1"/>
  <c r="AW268" i="1"/>
  <c r="AX268" i="1"/>
  <c r="AY268" i="1"/>
  <c r="AZ268" i="1"/>
  <c r="BA268" i="1"/>
  <c r="BB268" i="1"/>
  <c r="BE268" i="1" s="1"/>
  <c r="AW269" i="1"/>
  <c r="AX269" i="1"/>
  <c r="AY269" i="1"/>
  <c r="AZ269" i="1"/>
  <c r="BA269" i="1"/>
  <c r="BB269" i="1"/>
  <c r="AW270" i="1"/>
  <c r="AX270" i="1"/>
  <c r="AY270" i="1"/>
  <c r="AZ270" i="1"/>
  <c r="BA270" i="1"/>
  <c r="BB270" i="1"/>
  <c r="BE270" i="1" s="1"/>
  <c r="BB265" i="1"/>
  <c r="BA265" i="1"/>
  <c r="AZ265" i="1"/>
  <c r="AY265" i="1"/>
  <c r="BD265" i="1" s="1"/>
  <c r="AX265" i="1"/>
  <c r="AW265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E269" i="1" l="1"/>
  <c r="BE267" i="1"/>
  <c r="BE266" i="1"/>
  <c r="BE265" i="1"/>
  <c r="BJ276" i="1"/>
  <c r="BF267" i="1"/>
  <c r="BG282" i="1"/>
  <c r="BI265" i="1"/>
  <c r="BG283" i="1"/>
  <c r="AV268" i="1"/>
  <c r="BG281" i="1"/>
  <c r="BG280" i="1"/>
  <c r="BG279" i="1"/>
  <c r="BF274" i="1"/>
  <c r="BF273" i="1"/>
  <c r="BF272" i="1"/>
  <c r="BC270" i="1"/>
  <c r="BH276" i="1"/>
  <c r="BD269" i="1"/>
  <c r="BI275" i="1"/>
  <c r="BC268" i="1"/>
  <c r="BH274" i="1"/>
  <c r="BC266" i="1"/>
  <c r="BH272" i="1"/>
  <c r="BG278" i="1"/>
  <c r="BG276" i="1"/>
  <c r="BG277" i="1"/>
  <c r="BG275" i="1"/>
  <c r="BG274" i="1"/>
  <c r="BG273" i="1"/>
  <c r="BG272" i="1"/>
  <c r="BF266" i="1"/>
  <c r="BJ274" i="1"/>
  <c r="BD267" i="1"/>
  <c r="BI273" i="1"/>
  <c r="T270" i="1"/>
  <c r="U276" i="1"/>
  <c r="AV270" i="1"/>
  <c r="BF276" i="1"/>
  <c r="BD270" i="1"/>
  <c r="BI276" i="1"/>
  <c r="BJ275" i="1"/>
  <c r="BC269" i="1"/>
  <c r="BH275" i="1"/>
  <c r="BD268" i="1"/>
  <c r="BI274" i="1"/>
  <c r="BJ270" i="1"/>
  <c r="BJ273" i="1"/>
  <c r="BC267" i="1"/>
  <c r="BH273" i="1"/>
  <c r="BI272" i="1"/>
  <c r="BF269" i="1"/>
  <c r="BJ272" i="1"/>
  <c r="AV269" i="1"/>
  <c r="BF275" i="1"/>
  <c r="BJ271" i="1"/>
  <c r="BF268" i="1"/>
  <c r="BF265" i="1"/>
  <c r="BF270" i="1"/>
  <c r="BJ269" i="1"/>
  <c r="BJ268" i="1"/>
  <c r="BJ267" i="1"/>
  <c r="BJ266" i="1"/>
  <c r="BJ265" i="1"/>
  <c r="BH271" i="1"/>
  <c r="BH270" i="1"/>
  <c r="BH269" i="1"/>
  <c r="BH268" i="1"/>
  <c r="BH267" i="1"/>
  <c r="BH266" i="1"/>
  <c r="BD266" i="1"/>
  <c r="BH265" i="1"/>
  <c r="S271" i="1"/>
  <c r="BG271" i="1"/>
  <c r="BF271" i="1"/>
  <c r="AV265" i="1"/>
  <c r="BI271" i="1"/>
  <c r="BG270" i="1"/>
  <c r="BG269" i="1"/>
  <c r="BG268" i="1"/>
  <c r="BG267" i="1"/>
  <c r="BG266" i="1"/>
  <c r="BG265" i="1"/>
  <c r="BC265" i="1"/>
  <c r="BI270" i="1"/>
  <c r="BI269" i="1"/>
  <c r="BI268" i="1"/>
  <c r="BI267" i="1"/>
  <c r="BI266" i="1"/>
  <c r="CM1" i="1"/>
  <c r="AZ530" i="1" s="1"/>
  <c r="CJ1" i="1"/>
  <c r="CE1" i="1"/>
  <c r="CK1" i="1"/>
  <c r="CD1" i="1"/>
  <c r="CB1" i="1"/>
  <c r="BW1" i="1"/>
  <c r="AX530" i="1" s="1"/>
  <c r="BC530" i="1" s="1"/>
  <c r="CC1" i="1"/>
  <c r="BV1" i="1"/>
  <c r="AW530" i="1" s="1"/>
  <c r="CL1" i="1"/>
  <c r="AY530" i="1" s="1"/>
  <c r="AI269" i="1"/>
  <c r="AJ269" i="1"/>
  <c r="AK269" i="1"/>
  <c r="BD530" i="1" l="1"/>
  <c r="AX521" i="1"/>
  <c r="AX516" i="1"/>
  <c r="AX525" i="1"/>
  <c r="AW525" i="1"/>
  <c r="AW521" i="1"/>
  <c r="AW516" i="1"/>
  <c r="BC516" i="1" s="1"/>
  <c r="AZ525" i="1"/>
  <c r="AZ521" i="1"/>
  <c r="AZ516" i="1"/>
  <c r="AY516" i="1"/>
  <c r="AY521" i="1"/>
  <c r="AY525" i="1"/>
  <c r="AX513" i="1"/>
  <c r="AY513" i="1"/>
  <c r="AW513" i="1"/>
  <c r="BC513" i="1" s="1"/>
  <c r="AZ513" i="1"/>
  <c r="AZ506" i="1"/>
  <c r="AZ510" i="1"/>
  <c r="AX506" i="1"/>
  <c r="AX510" i="1"/>
  <c r="AW506" i="1"/>
  <c r="AW510" i="1"/>
  <c r="AY506" i="1"/>
  <c r="BD506" i="1" s="1"/>
  <c r="AY510" i="1"/>
  <c r="AZ502" i="1"/>
  <c r="AZ504" i="1"/>
  <c r="AY502" i="1"/>
  <c r="AY504" i="1"/>
  <c r="AW502" i="1"/>
  <c r="AW504" i="1"/>
  <c r="AX502" i="1"/>
  <c r="AX504" i="1"/>
  <c r="AY493" i="1"/>
  <c r="AY496" i="1"/>
  <c r="AY500" i="1"/>
  <c r="AY481" i="1"/>
  <c r="AY495" i="1"/>
  <c r="AW500" i="1"/>
  <c r="AW481" i="1"/>
  <c r="AW493" i="1"/>
  <c r="AW495" i="1"/>
  <c r="AW496" i="1"/>
  <c r="AZ493" i="1"/>
  <c r="BD493" i="1" s="1"/>
  <c r="AZ500" i="1"/>
  <c r="AZ481" i="1"/>
  <c r="AZ495" i="1"/>
  <c r="BD495" i="1" s="1"/>
  <c r="AZ496" i="1"/>
  <c r="AX481" i="1"/>
  <c r="AX493" i="1"/>
  <c r="AX495" i="1"/>
  <c r="BC495" i="1" s="1"/>
  <c r="AX496" i="1"/>
  <c r="AX50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D516" i="1" l="1"/>
  <c r="BD525" i="1"/>
  <c r="BC525" i="1"/>
  <c r="BD521" i="1"/>
  <c r="BC521" i="1"/>
  <c r="BD502" i="1"/>
  <c r="BD513" i="1"/>
  <c r="BC504" i="1"/>
  <c r="BD504" i="1"/>
  <c r="BC506" i="1"/>
  <c r="BC510" i="1"/>
  <c r="BD510" i="1"/>
  <c r="BC500" i="1"/>
  <c r="BC502" i="1"/>
  <c r="BC496" i="1"/>
  <c r="BD496" i="1"/>
  <c r="BD500" i="1"/>
  <c r="BC481" i="1"/>
  <c r="BH481" i="1"/>
  <c r="BC493" i="1"/>
  <c r="BD481" i="1"/>
  <c r="BI481" i="1"/>
  <c r="T269" i="1"/>
  <c r="U275" i="1"/>
  <c r="M268" i="1"/>
  <c r="N268" i="1"/>
  <c r="S269" i="1" s="1"/>
  <c r="O268" i="1"/>
  <c r="R268" i="1"/>
  <c r="V268" i="1"/>
  <c r="W268" i="1"/>
  <c r="X268" i="1" s="1"/>
  <c r="Y268" i="1"/>
  <c r="J8" i="8" l="1"/>
  <c r="B14" i="9" s="1"/>
  <c r="B10" i="9"/>
  <c r="J6" i="8"/>
  <c r="B12" i="9" s="1"/>
  <c r="J7" i="8"/>
  <c r="B13" i="9" s="1"/>
  <c r="J5" i="8"/>
  <c r="B11" i="9" s="1"/>
  <c r="J9" i="8"/>
  <c r="B15" i="9" s="1"/>
  <c r="J10" i="8"/>
  <c r="B16" i="9" s="1"/>
  <c r="J11" i="8"/>
  <c r="B17" i="9" s="1"/>
  <c r="U274" i="1"/>
  <c r="T268" i="1"/>
  <c r="BU266" i="1"/>
  <c r="J13" i="8" l="1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T232" i="1" s="1"/>
  <c r="W232" i="1"/>
  <c r="X232" i="1" s="1"/>
  <c r="Y232" i="1"/>
  <c r="N232" i="1"/>
  <c r="S233" i="1" s="1"/>
  <c r="O232" i="1"/>
  <c r="U238" i="1" l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R530" i="1" s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V530" i="1" s="1"/>
  <c r="A59" i="4"/>
  <c r="T530" i="1" l="1"/>
  <c r="V525" i="1"/>
  <c r="R521" i="1"/>
  <c r="R525" i="1"/>
  <c r="T525" i="1" s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30" i="1" s="1"/>
  <c r="T73" i="1"/>
  <c r="U530" i="1" l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N2" i="4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s="1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<sst xmlns="http://schemas.openxmlformats.org/spreadsheetml/2006/main" count="480" uniqueCount="461">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</sst>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535"/>
  <sheetViews>
    <sheetView tabSelected="1" zoomScale="112" zoomScaleNormal="112" workbookViewId="0">
      <pane xSplit="1" ySplit="1" topLeftCell="AJ518" activePane="bottomRight" state="frozen"/>
      <selection pane="topRight" activeCell="B1" sqref="B1"/>
      <selection pane="bottomLeft" activeCell="A2" sqref="A2"/>
      <selection pane="bottomRight" activeCell="AS534" sqref="AS534:AS535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20" hidden="1" customWidth="1"/>
    <col min="66" max="97" width="8.7265625" style="21"/>
  </cols>
  <sheetData>
    <row r="1" spans="1:95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20" t="s">
        <v>393</v>
      </c>
      <c r="BL1" s="20" t="s">
        <v>394</v>
      </c>
      <c r="BM1" s="20" t="s">
        <v>443</v>
      </c>
      <c r="BN1" s="21" t="s">
        <v>440</v>
      </c>
      <c r="BO1" s="21" t="s">
        <v>441</v>
      </c>
      <c r="BP1" s="21" t="s">
        <v>448</v>
      </c>
      <c r="BQ1" s="21" t="s">
        <v>449</v>
      </c>
      <c r="BR1" s="21" t="str">
        <f>"Positive "&amp;BP1</f>
        <v>Positive PCR Individuals</v>
      </c>
      <c r="BS1" s="21" t="str">
        <f>"Positive "&amp;BQ1</f>
        <v>Positive Antigen Individuals</v>
      </c>
      <c r="BT1" s="21" t="s">
        <v>240</v>
      </c>
      <c r="BU1" s="21" t="s">
        <v>442</v>
      </c>
      <c r="BV1" s="21" t="str">
        <f t="shared" ref="BV1:CC1" si="0">"Bremer "&amp;BN1</f>
        <v>Bremer Total Tests</v>
      </c>
      <c r="BW1" s="21" t="str">
        <f t="shared" si="0"/>
        <v>Bremer Positive Tests</v>
      </c>
      <c r="BX1" s="21" t="str">
        <f t="shared" si="0"/>
        <v>Bremer PCR Individuals</v>
      </c>
      <c r="BY1" s="21" t="str">
        <f t="shared" si="0"/>
        <v>Bremer Antigen Individuals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Tested</v>
      </c>
      <c r="CC1" s="21" t="str">
        <f t="shared" si="0"/>
        <v>Bremer Individuals Postive</v>
      </c>
      <c r="CD1" s="21" t="str">
        <f>"Butler "&amp;BN1</f>
        <v>Butler Total Tests</v>
      </c>
      <c r="CE1" s="21" t="str">
        <f>"Butler "&amp;BO1</f>
        <v>Butler Positive Tests</v>
      </c>
      <c r="CF1" s="21" t="s">
        <v>446</v>
      </c>
      <c r="CG1" s="21" t="s">
        <v>447</v>
      </c>
      <c r="CH1" s="21" t="str">
        <f>"Positive "&amp;CF1</f>
        <v>Positive Butler PCR Individuals</v>
      </c>
      <c r="CI1" s="21" t="str">
        <f>"Positive "&amp;CG1</f>
        <v>Positive ButlerAntigen Individuals</v>
      </c>
      <c r="CJ1" s="21" t="str">
        <f>"Butler "&amp;BT1</f>
        <v>Butler Individuals Tested</v>
      </c>
      <c r="CK1" s="21" t="str">
        <f>"Butler "&amp;BU1</f>
        <v>Butler Individuals Postive</v>
      </c>
      <c r="CL1" s="21" t="str">
        <f>"Black Hawk "&amp;BN1</f>
        <v>Black Hawk Total Tests</v>
      </c>
      <c r="CM1" s="21" t="str">
        <f>"Black Hawk "&amp;BO1</f>
        <v>Black Hawk Positive Tests</v>
      </c>
      <c r="CN1" s="21" t="s">
        <v>444</v>
      </c>
      <c r="CO1" s="21" t="s">
        <v>445</v>
      </c>
      <c r="CP1" s="21" t="str">
        <f>"Positive "&amp;CN1</f>
        <v>Positive BH PCR Individuals</v>
      </c>
      <c r="CQ1" s="21" t="str">
        <f>"Positive "&amp;CO1</f>
        <v>Positive BH Antigen Individuals</v>
      </c>
    </row>
    <row r="2" spans="1:95" x14ac:dyDescent="0.35">
      <c r="A2" s="14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5" x14ac:dyDescent="0.35">
      <c r="A3" s="14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5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5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5" x14ac:dyDescent="0.35">
      <c r="A6" s="14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5" x14ac:dyDescent="0.35">
      <c r="A7" s="14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5" x14ac:dyDescent="0.35">
      <c r="A8" s="14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5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5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5" x14ac:dyDescent="0.35">
      <c r="A11" s="14">
        <v>43914</v>
      </c>
      <c r="D11">
        <f t="shared" si="1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5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5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5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5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5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8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2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2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2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4">AU231/AT231</f>
        <v>0.21274509803921568</v>
      </c>
    </row>
    <row r="232" spans="1:62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T232">
        <v>3393</v>
      </c>
      <c r="AU232">
        <v>866</v>
      </c>
      <c r="AV232">
        <f t="shared" si="624"/>
        <v>0.25523135867963453</v>
      </c>
    </row>
    <row r="233" spans="1:62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4"/>
        <v>0.23459347488348006</v>
      </c>
    </row>
    <row r="234" spans="1:62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4"/>
        <v>0.245418048525048</v>
      </c>
    </row>
    <row r="235" spans="1:62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4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69">AX235/AW235</f>
        <v>0.61627906976744184</v>
      </c>
      <c r="BD235">
        <f t="shared" ref="BD235:BD237" si="670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T236">
        <v>6479</v>
      </c>
      <c r="AU236">
        <v>1841</v>
      </c>
      <c r="AV236">
        <f t="shared" si="624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69"/>
        <v>0.23728813559322035</v>
      </c>
      <c r="BD236">
        <f t="shared" si="670"/>
        <v>0.2813852813852814</v>
      </c>
      <c r="BE236">
        <f t="shared" ref="BE236:BE299" si="682">BB236/BA236</f>
        <v>0.48275862068965519</v>
      </c>
      <c r="BF236">
        <f t="shared" ref="BF236:BF243" si="683">SUM(AU230:AU236)/SUM(AT230:AT236)</f>
        <v>0.25802867286376324</v>
      </c>
      <c r="BG236">
        <f t="shared" ref="BG236:BG243" si="684">SUM(AU223:AU236)/SUM(AT223:AT236)</f>
        <v>0.25219941348973607</v>
      </c>
      <c r="BH236">
        <f t="shared" ref="BH236:BH239" si="685">SUM(AX230:AX236)/SUM(AW230:AW236)</f>
        <v>0.46206896551724136</v>
      </c>
      <c r="BI236">
        <f t="shared" ref="BI236:BI239" si="686">SUM(AZ230:AZ236)/SUM(AY230:AY236)</f>
        <v>0.31145251396648044</v>
      </c>
      <c r="BJ236">
        <f t="shared" ref="BJ236:BJ256" si="687">SUM(BB230:BB236)/SUM(BA230:BA236)</f>
        <v>0.61538461538461542</v>
      </c>
    </row>
    <row r="237" spans="1:62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8">C237-C236</f>
        <v>3871</v>
      </c>
      <c r="S237">
        <f t="shared" ref="S237" si="689">N237-N236</f>
        <v>4404</v>
      </c>
      <c r="T237" s="8">
        <f t="shared" ref="T237" si="690">R237/V237</f>
        <v>0.46779456193353475</v>
      </c>
      <c r="U237" s="8">
        <f t="shared" ref="U237" si="691">SUM(R231:R237)/SUM(V231:V237)</f>
        <v>0.44082113545140483</v>
      </c>
      <c r="V237">
        <f t="shared" ref="V237" si="692">B237-B236</f>
        <v>8275</v>
      </c>
      <c r="W237">
        <f t="shared" ref="W237" si="693">C237-D237-E237</f>
        <v>49567</v>
      </c>
      <c r="X237" s="3">
        <f t="shared" ref="X237" si="694">F237/W237</f>
        <v>2.0013315310589707E-2</v>
      </c>
      <c r="Y237">
        <f t="shared" ref="Y237" si="695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6">Z237-AC237-AF237</f>
        <v>476</v>
      </c>
      <c r="AJ237">
        <f t="shared" ref="AJ237" si="697">AA237-AD237-AG237</f>
        <v>146</v>
      </c>
      <c r="AK237">
        <f t="shared" ref="AK237" si="698">AB237-AE237-AH237</f>
        <v>2596</v>
      </c>
      <c r="AT237">
        <v>7634</v>
      </c>
      <c r="AU237">
        <v>2162</v>
      </c>
      <c r="AV237">
        <f t="shared" si="624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69"/>
        <v>0.28985507246376813</v>
      </c>
      <c r="BD237">
        <f t="shared" si="670"/>
        <v>0.30110497237569062</v>
      </c>
      <c r="BE237">
        <f t="shared" si="682"/>
        <v>0.26470588235294118</v>
      </c>
      <c r="BF237">
        <f t="shared" si="683"/>
        <v>0.26234477802977568</v>
      </c>
      <c r="BG237">
        <f t="shared" si="684"/>
        <v>0.25687747035573122</v>
      </c>
      <c r="BH237">
        <f t="shared" si="685"/>
        <v>0.40654205607476634</v>
      </c>
      <c r="BI237">
        <f t="shared" si="686"/>
        <v>0.3079777365491651</v>
      </c>
      <c r="BJ237">
        <f t="shared" si="687"/>
        <v>0.5089285714285714</v>
      </c>
    </row>
    <row r="238" spans="1:62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9">C238-C237</f>
        <v>4699</v>
      </c>
      <c r="S238">
        <f t="shared" ref="S238" si="700">N238-N237</f>
        <v>6321</v>
      </c>
      <c r="T238" s="8">
        <f t="shared" ref="T238" si="701">R238/V238</f>
        <v>0.4264065335753176</v>
      </c>
      <c r="U238" s="8">
        <f t="shared" ref="U238" si="702">SUM(R232:R238)/SUM(V232:V238)</f>
        <v>0.44513645906228133</v>
      </c>
      <c r="V238">
        <f t="shared" ref="V238" si="703">B238-B237</f>
        <v>11020</v>
      </c>
      <c r="W238">
        <f t="shared" ref="W238" si="704">C238-D238-E238</f>
        <v>53935</v>
      </c>
      <c r="X238" s="3">
        <f t="shared" ref="X238" si="705">F238/W238</f>
        <v>1.9171224622230462E-2</v>
      </c>
      <c r="Y238">
        <f t="shared" ref="Y238" si="706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7">Z238-AC238-AF238</f>
        <v>550</v>
      </c>
      <c r="AJ238">
        <f t="shared" ref="AJ238" si="708">AA238-AD238-AG238</f>
        <v>163</v>
      </c>
      <c r="AK238">
        <f t="shared" ref="AK238" si="709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4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69"/>
        <v>0.32743362831858408</v>
      </c>
      <c r="BD238">
        <f t="shared" ref="BD238:BD263" si="710">AZ238/AY238</f>
        <v>0.26666666666666666</v>
      </c>
      <c r="BE238">
        <f t="shared" si="682"/>
        <v>0.41463414634146339</v>
      </c>
      <c r="BF238">
        <f t="shared" si="683"/>
        <v>0.27028105240061434</v>
      </c>
      <c r="BG238">
        <f t="shared" si="684"/>
        <v>0.26019575856443722</v>
      </c>
      <c r="BH238">
        <f t="shared" si="685"/>
        <v>0.37920489296636084</v>
      </c>
      <c r="BI238">
        <f t="shared" si="686"/>
        <v>0.29731589814177561</v>
      </c>
      <c r="BJ238">
        <f t="shared" si="687"/>
        <v>0.48366013071895425</v>
      </c>
    </row>
    <row r="239" spans="1:62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4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69"/>
        <v>0.43023255813953487</v>
      </c>
      <c r="BD239">
        <f t="shared" si="710"/>
        <v>0.32089552238805968</v>
      </c>
      <c r="BE239">
        <f t="shared" si="682"/>
        <v>0.36206896551724138</v>
      </c>
      <c r="BF239">
        <f t="shared" si="683"/>
        <v>0.27482896490448688</v>
      </c>
      <c r="BG239">
        <f t="shared" si="684"/>
        <v>0.26444554245782453</v>
      </c>
      <c r="BH239">
        <f t="shared" si="685"/>
        <v>0.38983050847457629</v>
      </c>
      <c r="BI239">
        <f t="shared" si="686"/>
        <v>0.30242587601078169</v>
      </c>
      <c r="BJ239">
        <f t="shared" si="687"/>
        <v>0.45023696682464454</v>
      </c>
    </row>
    <row r="240" spans="1:62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4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69"/>
        <v>0.38383838383838381</v>
      </c>
      <c r="BD240">
        <f t="shared" si="710"/>
        <v>0.33995037220843671</v>
      </c>
      <c r="BE240">
        <f t="shared" si="682"/>
        <v>0.27419354838709675</v>
      </c>
      <c r="BF240">
        <f t="shared" si="683"/>
        <v>0.27971783069841905</v>
      </c>
      <c r="BG240">
        <f t="shared" si="684"/>
        <v>0.26720332712474165</v>
      </c>
      <c r="BH240">
        <f t="shared" ref="BH240:BH245" si="730">SUM(AX234:AX240)/SUM(AW234:AW240)</f>
        <v>0.388671875</v>
      </c>
      <c r="BI240">
        <f t="shared" ref="BI240:BI245" si="731">SUM(AZ234:AZ240)/SUM(AY234:AY240)</f>
        <v>0.30912311780336582</v>
      </c>
      <c r="BJ240">
        <f t="shared" si="687"/>
        <v>0.41025641025641024</v>
      </c>
    </row>
    <row r="241" spans="1:97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4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69"/>
        <v>0.2818181818181818</v>
      </c>
      <c r="BD241">
        <f t="shared" si="710"/>
        <v>0.34226190476190477</v>
      </c>
      <c r="BE241">
        <f t="shared" si="682"/>
        <v>0.55555555555555558</v>
      </c>
      <c r="BF241">
        <f t="shared" si="683"/>
        <v>0.28468850655982403</v>
      </c>
      <c r="BG241">
        <f t="shared" si="684"/>
        <v>0.26990979087885553</v>
      </c>
      <c r="BH241">
        <f t="shared" si="730"/>
        <v>0.36977491961414793</v>
      </c>
      <c r="BI241">
        <f t="shared" si="731"/>
        <v>0.31341557440246726</v>
      </c>
      <c r="BJ241">
        <f t="shared" si="687"/>
        <v>0.42333333333333334</v>
      </c>
    </row>
    <row r="242" spans="1:97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4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69"/>
        <v>0.38202247191011235</v>
      </c>
      <c r="BD242">
        <f t="shared" si="710"/>
        <v>0.30769230769230771</v>
      </c>
      <c r="BE242">
        <f t="shared" si="682"/>
        <v>0.375</v>
      </c>
      <c r="BF242">
        <f t="shared" si="683"/>
        <v>0.28683559145388221</v>
      </c>
      <c r="BG242">
        <f t="shared" si="684"/>
        <v>0.2754497538877031</v>
      </c>
      <c r="BH242">
        <f t="shared" si="730"/>
        <v>0.33760000000000001</v>
      </c>
      <c r="BI242">
        <f t="shared" si="731"/>
        <v>0.31006240249609984</v>
      </c>
      <c r="BJ242">
        <f t="shared" si="687"/>
        <v>0.37113402061855671</v>
      </c>
      <c r="BK242" s="20">
        <v>0.308</v>
      </c>
      <c r="BL242" s="20">
        <v>0.26400000000000001</v>
      </c>
      <c r="BM242" s="20">
        <v>0.223</v>
      </c>
      <c r="BT242" s="22">
        <f t="shared" ref="BT242:BT263" si="748">B242</f>
        <v>1079246</v>
      </c>
      <c r="BU242" s="21">
        <f t="shared" ref="BU242:BU263" si="749">C242</f>
        <v>175425</v>
      </c>
      <c r="BV242" s="21">
        <f t="shared" ref="BV242:BV263" si="750">BV243-AW243</f>
        <v>18418</v>
      </c>
      <c r="CC242" s="21">
        <f t="shared" ref="CC242:CC263" si="751">Z242</f>
        <v>1341</v>
      </c>
      <c r="CD242" s="21">
        <f t="shared" ref="CD242:CD263" si="752">CD243-BA242</f>
        <v>13814</v>
      </c>
      <c r="CK242" s="21">
        <f t="shared" ref="CK242:CK263" si="753">AA242</f>
        <v>699</v>
      </c>
      <c r="CL242" s="21">
        <f t="shared" ref="CL242:CL263" si="754">CL243-AY242</f>
        <v>106361</v>
      </c>
      <c r="CS242" s="21">
        <f t="shared" ref="CS242:CS263" si="755">AB242</f>
        <v>8593</v>
      </c>
    </row>
    <row r="243" spans="1:97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T243">
        <v>11959</v>
      </c>
      <c r="AU243">
        <v>3412</v>
      </c>
      <c r="AV243">
        <f t="shared" si="624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69"/>
        <v>0.4</v>
      </c>
      <c r="BD243">
        <f t="shared" si="710"/>
        <v>0.31486880466472306</v>
      </c>
      <c r="BE243">
        <f t="shared" si="682"/>
        <v>0.28205128205128205</v>
      </c>
      <c r="BF243">
        <f t="shared" si="683"/>
        <v>0.28682274847506278</v>
      </c>
      <c r="BG243">
        <f t="shared" si="684"/>
        <v>0.27658569955774809</v>
      </c>
      <c r="BH243">
        <f t="shared" si="730"/>
        <v>0.35518292682926828</v>
      </c>
      <c r="BI243">
        <f t="shared" si="731"/>
        <v>0.3131539611360239</v>
      </c>
      <c r="BJ243">
        <f t="shared" si="687"/>
        <v>0.34883720930232559</v>
      </c>
      <c r="BK243" s="20">
        <v>0.30099999999999999</v>
      </c>
      <c r="BL243" s="20">
        <v>0.26400000000000001</v>
      </c>
      <c r="BM243" s="20">
        <v>0.23</v>
      </c>
      <c r="BT243" s="22">
        <f t="shared" si="748"/>
        <v>1089765</v>
      </c>
      <c r="BU243" s="21">
        <f t="shared" si="749"/>
        <v>180251</v>
      </c>
      <c r="BV243" s="21">
        <f t="shared" si="750"/>
        <v>18508</v>
      </c>
      <c r="CC243" s="21">
        <f t="shared" si="751"/>
        <v>1423</v>
      </c>
      <c r="CD243" s="21">
        <f t="shared" si="752"/>
        <v>13854</v>
      </c>
      <c r="CK243" s="21">
        <f t="shared" si="753"/>
        <v>738</v>
      </c>
      <c r="CL243" s="21">
        <f t="shared" si="754"/>
        <v>106816</v>
      </c>
      <c r="CS243" s="21">
        <f t="shared" si="755"/>
        <v>8866</v>
      </c>
    </row>
    <row r="244" spans="1:97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T244">
        <v>10735</v>
      </c>
      <c r="AU244">
        <v>2719</v>
      </c>
      <c r="AV244">
        <f t="shared" si="624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69"/>
        <v>0.23364485981308411</v>
      </c>
      <c r="BD244">
        <f t="shared" si="710"/>
        <v>0.23178807947019867</v>
      </c>
      <c r="BE244">
        <f t="shared" si="682"/>
        <v>0.40740740740740738</v>
      </c>
      <c r="BF244">
        <f t="shared" ref="BF244" si="778">SUM(AU238:AU244)/SUM(AT238:AT244)</f>
        <v>0.28207289716955519</v>
      </c>
      <c r="BG244">
        <f t="shared" ref="BG244" si="779">SUM(AU231:AU244)/SUM(AT231:AT244)</f>
        <v>0.27440142505370146</v>
      </c>
      <c r="BH244">
        <f t="shared" si="730"/>
        <v>0.34293948126801155</v>
      </c>
      <c r="BI244">
        <f t="shared" si="731"/>
        <v>0.30140946873870617</v>
      </c>
      <c r="BJ244">
        <f t="shared" si="687"/>
        <v>0.36760124610591899</v>
      </c>
      <c r="BK244" s="20">
        <v>0.29299999999999998</v>
      </c>
      <c r="BL244" s="20">
        <v>0.25900000000000001</v>
      </c>
      <c r="BM244" s="20">
        <v>0.23800000000000002</v>
      </c>
      <c r="BT244" s="22">
        <f t="shared" si="748"/>
        <v>1100077</v>
      </c>
      <c r="BU244" s="21">
        <f t="shared" si="749"/>
        <v>184684</v>
      </c>
      <c r="BV244" s="21">
        <f t="shared" si="750"/>
        <v>18615</v>
      </c>
      <c r="CC244" s="21">
        <f t="shared" si="751"/>
        <v>1485</v>
      </c>
      <c r="CD244" s="21">
        <f t="shared" si="752"/>
        <v>13893</v>
      </c>
      <c r="CK244" s="21">
        <f t="shared" si="753"/>
        <v>767</v>
      </c>
      <c r="CL244" s="21">
        <f t="shared" si="754"/>
        <v>107159</v>
      </c>
      <c r="CS244" s="21">
        <f t="shared" si="755"/>
        <v>9060</v>
      </c>
    </row>
    <row r="245" spans="1:97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4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69"/>
        <v>0.29896907216494845</v>
      </c>
      <c r="BD245">
        <f t="shared" si="710"/>
        <v>0.29032258064516131</v>
      </c>
      <c r="BE245">
        <f t="shared" si="682"/>
        <v>0.2857142857142857</v>
      </c>
      <c r="BF245">
        <f t="shared" ref="BF245" si="791">SUM(AU239:AU245)/SUM(AT239:AT245)</f>
        <v>0.28173049083400636</v>
      </c>
      <c r="BG245">
        <f t="shared" ref="BG245" si="792">SUM(AU232:AU245)/SUM(AT232:AT245)</f>
        <v>0.2767718304018798</v>
      </c>
      <c r="BH245">
        <f t="shared" si="730"/>
        <v>0.33923303834808261</v>
      </c>
      <c r="BI245">
        <f t="shared" si="731"/>
        <v>0.30495928941524797</v>
      </c>
      <c r="BJ245">
        <f t="shared" si="687"/>
        <v>0.35238095238095241</v>
      </c>
      <c r="BK245" s="20">
        <v>0.30099999999999999</v>
      </c>
      <c r="BL245" s="20">
        <v>0.25900000000000001</v>
      </c>
      <c r="BM245" s="20">
        <v>0.23499999999999999</v>
      </c>
      <c r="BT245" s="22">
        <f t="shared" si="748"/>
        <v>1105462</v>
      </c>
      <c r="BU245" s="21">
        <f t="shared" si="749"/>
        <v>187001</v>
      </c>
      <c r="BV245" s="21">
        <f t="shared" si="750"/>
        <v>18712</v>
      </c>
      <c r="CC245" s="21">
        <f t="shared" si="751"/>
        <v>1511</v>
      </c>
      <c r="CD245" s="21">
        <f t="shared" si="752"/>
        <v>13947</v>
      </c>
      <c r="CK245" s="21">
        <f t="shared" si="753"/>
        <v>774</v>
      </c>
      <c r="CL245" s="21">
        <f t="shared" si="754"/>
        <v>107612</v>
      </c>
      <c r="CS245" s="21">
        <f t="shared" si="755"/>
        <v>9143</v>
      </c>
    </row>
    <row r="246" spans="1:97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4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69"/>
        <v>0.28169014084507044</v>
      </c>
      <c r="BD246">
        <f t="shared" si="710"/>
        <v>0.2636986301369863</v>
      </c>
      <c r="BE246">
        <f t="shared" si="682"/>
        <v>0.26315789473684209</v>
      </c>
      <c r="BF246">
        <f t="shared" ref="BF246" si="804">SUM(AU240:AU246)/SUM(AT240:AT246)</f>
        <v>0.27538643361428172</v>
      </c>
      <c r="BG246">
        <f t="shared" ref="BG246" si="805">SUM(AU233:AU246)/SUM(AT233:AT246)</f>
        <v>0.27512626367338139</v>
      </c>
      <c r="BH246">
        <f t="shared" ref="BH246" si="806">SUM(AX240:AX246)/SUM(AW240:AW246)</f>
        <v>0.32126696832579188</v>
      </c>
      <c r="BI246">
        <f t="shared" ref="BI246" si="807">SUM(AZ240:AZ246)/SUM(AY240:AY246)</f>
        <v>0.2978395061728395</v>
      </c>
      <c r="BJ246">
        <f t="shared" si="687"/>
        <v>0.33898305084745761</v>
      </c>
      <c r="BK246" s="20">
        <v>0.29399999999999998</v>
      </c>
      <c r="BL246" s="20">
        <v>0.254</v>
      </c>
      <c r="BM246" s="20">
        <v>0.22800000000000001</v>
      </c>
      <c r="BT246" s="22">
        <f t="shared" si="748"/>
        <v>1114058</v>
      </c>
      <c r="BU246" s="21">
        <f t="shared" si="749"/>
        <v>190580</v>
      </c>
      <c r="BV246" s="21">
        <f t="shared" si="750"/>
        <v>18783</v>
      </c>
      <c r="CC246" s="21">
        <f t="shared" si="751"/>
        <v>1549</v>
      </c>
      <c r="CD246" s="21">
        <f t="shared" si="752"/>
        <v>13982</v>
      </c>
      <c r="CK246" s="21">
        <f t="shared" si="753"/>
        <v>793</v>
      </c>
      <c r="CL246" s="21">
        <f t="shared" si="754"/>
        <v>107922</v>
      </c>
      <c r="CS246" s="21">
        <f t="shared" si="755"/>
        <v>9309</v>
      </c>
    </row>
    <row r="247" spans="1:97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4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69"/>
        <v>0.30645161290322581</v>
      </c>
      <c r="BD247">
        <f t="shared" si="710"/>
        <v>0.23780487804878048</v>
      </c>
      <c r="BE247">
        <f t="shared" si="682"/>
        <v>0.15625</v>
      </c>
      <c r="BF247">
        <f t="shared" ref="BF247" si="820">SUM(AU241:AU247)/SUM(AT241:AT247)</f>
        <v>0.27177985045864489</v>
      </c>
      <c r="BG247">
        <f t="shared" ref="BG247" si="821">SUM(AU234:AU247)/SUM(AT234:AT247)</f>
        <v>0.27559301123937546</v>
      </c>
      <c r="BH247">
        <f t="shared" ref="BH247" si="822">SUM(AX241:AX247)/SUM(AW241:AW247)</f>
        <v>0.30990415335463256</v>
      </c>
      <c r="BI247">
        <f t="shared" ref="BI247" si="823">SUM(AZ241:AZ247)/SUM(AY241:AY247)</f>
        <v>0.28327373857767185</v>
      </c>
      <c r="BJ247">
        <f t="shared" si="687"/>
        <v>0.33207547169811319</v>
      </c>
      <c r="BK247" s="20">
        <v>0.29299999999999998</v>
      </c>
      <c r="BL247" s="20">
        <v>0.25</v>
      </c>
      <c r="BM247" s="20">
        <v>0.22500000000000001</v>
      </c>
      <c r="BT247" s="22">
        <f t="shared" si="748"/>
        <v>1123441</v>
      </c>
      <c r="BU247" s="21">
        <f t="shared" si="749"/>
        <v>194464</v>
      </c>
      <c r="BV247" s="21">
        <f t="shared" si="750"/>
        <v>18845</v>
      </c>
      <c r="CC247" s="21">
        <f t="shared" si="751"/>
        <v>1594</v>
      </c>
      <c r="CD247" s="21">
        <f t="shared" si="752"/>
        <v>14020</v>
      </c>
      <c r="CK247" s="21">
        <f t="shared" si="753"/>
        <v>809</v>
      </c>
      <c r="CL247" s="21">
        <f t="shared" si="754"/>
        <v>108214</v>
      </c>
      <c r="CS247" s="21">
        <f t="shared" si="755"/>
        <v>9523</v>
      </c>
    </row>
    <row r="248" spans="1:97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4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69"/>
        <v>0.27397260273972601</v>
      </c>
      <c r="BD248">
        <f t="shared" si="710"/>
        <v>0.25</v>
      </c>
      <c r="BE248">
        <f t="shared" si="682"/>
        <v>0.25</v>
      </c>
      <c r="BF248">
        <f t="shared" ref="BF248" si="836">SUM(AU242:AU248)/SUM(AT242:AT248)</f>
        <v>0.26292233038970431</v>
      </c>
      <c r="BG248">
        <f t="shared" ref="BG248" si="837">SUM(AU235:AU248)/SUM(AT235:AT248)</f>
        <v>0.27357830203918371</v>
      </c>
      <c r="BH248">
        <f t="shared" ref="BH248" si="838">SUM(AX242:AX248)/SUM(AW242:AW248)</f>
        <v>0.31069609507640067</v>
      </c>
      <c r="BI248">
        <f t="shared" ref="BI248" si="839">SUM(AZ242:AZ248)/SUM(AY242:AY248)</f>
        <v>0.27050136027982902</v>
      </c>
      <c r="BJ248">
        <f t="shared" si="687"/>
        <v>0.2978723404255319</v>
      </c>
      <c r="BK248" s="20">
        <v>0.28899999999999998</v>
      </c>
      <c r="BL248" s="20">
        <v>0.24399999999999999</v>
      </c>
      <c r="BM248" s="20">
        <v>0.28899999999999998</v>
      </c>
      <c r="BT248" s="22">
        <f t="shared" si="748"/>
        <v>1133850</v>
      </c>
      <c r="BU248" s="21">
        <f t="shared" si="749"/>
        <v>198641</v>
      </c>
      <c r="BV248" s="21">
        <f t="shared" si="750"/>
        <v>18918</v>
      </c>
      <c r="CC248" s="21">
        <f t="shared" si="751"/>
        <v>1620</v>
      </c>
      <c r="CD248" s="21">
        <f t="shared" si="752"/>
        <v>14052</v>
      </c>
      <c r="CK248" s="21">
        <f t="shared" si="753"/>
        <v>829</v>
      </c>
      <c r="CL248" s="21">
        <f t="shared" si="754"/>
        <v>108542</v>
      </c>
      <c r="CS248" s="21">
        <f t="shared" si="755"/>
        <v>9624</v>
      </c>
    </row>
    <row r="249" spans="1:97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4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69"/>
        <v>0.40963855421686746</v>
      </c>
      <c r="BD249">
        <f t="shared" si="710"/>
        <v>0.21479713603818615</v>
      </c>
      <c r="BE249">
        <f t="shared" si="682"/>
        <v>0.36585365853658536</v>
      </c>
      <c r="BF249">
        <f t="shared" ref="BF249" si="851">SUM(AU243:AU249)/SUM(AT243:AT249)</f>
        <v>0.25462802311371285</v>
      </c>
      <c r="BG249">
        <f t="shared" ref="BG249" si="852">SUM(AU236:AU249)/SUM(AT236:AT249)</f>
        <v>0.27011723797664638</v>
      </c>
      <c r="BH249">
        <f t="shared" ref="BH249" si="853">SUM(AX243:AX249)/SUM(AW243:AW249)</f>
        <v>0.313893653516295</v>
      </c>
      <c r="BI249">
        <f t="shared" ref="BI249" si="854">SUM(AZ243:AZ249)/SUM(AY243:AY249)</f>
        <v>0.25463145447378793</v>
      </c>
      <c r="BJ249">
        <f t="shared" si="687"/>
        <v>0.29681978798586572</v>
      </c>
      <c r="BK249" s="20">
        <v>0.28600000000000003</v>
      </c>
      <c r="BL249" s="20">
        <v>0.23699999999999999</v>
      </c>
      <c r="BM249" s="20">
        <v>0.22500000000000001</v>
      </c>
      <c r="BT249" s="22">
        <f t="shared" si="748"/>
        <v>1144660</v>
      </c>
      <c r="BU249" s="21">
        <f t="shared" si="749"/>
        <v>203023</v>
      </c>
      <c r="BV249" s="21">
        <f t="shared" si="750"/>
        <v>19001</v>
      </c>
      <c r="CC249" s="21">
        <f t="shared" si="751"/>
        <v>1688</v>
      </c>
      <c r="CD249" s="21">
        <f t="shared" si="752"/>
        <v>14096</v>
      </c>
      <c r="CK249" s="21">
        <f t="shared" si="753"/>
        <v>865</v>
      </c>
      <c r="CL249" s="21">
        <f t="shared" si="754"/>
        <v>108934</v>
      </c>
      <c r="CS249" s="21">
        <f t="shared" si="755"/>
        <v>9911</v>
      </c>
    </row>
    <row r="250" spans="1:97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T250">
        <v>10558</v>
      </c>
      <c r="AU250">
        <v>2489</v>
      </c>
      <c r="AV250">
        <f t="shared" si="624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69"/>
        <v>0.22413793103448276</v>
      </c>
      <c r="BD250">
        <f t="shared" si="710"/>
        <v>0.2386634844868735</v>
      </c>
      <c r="BE250">
        <f t="shared" si="682"/>
        <v>0.21621621621621623</v>
      </c>
      <c r="BF250">
        <f t="shared" ref="BF250" si="866">SUM(AU244:AU250)/SUM(AT244:AT250)</f>
        <v>0.24590012330456226</v>
      </c>
      <c r="BG250">
        <f t="shared" ref="BG250" si="867">SUM(AU237:AU250)/SUM(AT237:AT250)</f>
        <v>0.26667324388318864</v>
      </c>
      <c r="BH250">
        <f t="shared" ref="BH250" si="868">SUM(AX244:AX250)/SUM(AW244:AW250)</f>
        <v>0.29038112522686027</v>
      </c>
      <c r="BI250">
        <f t="shared" ref="BI250" si="869">SUM(AZ244:AZ250)/SUM(AY244:AY250)</f>
        <v>0.24416379640260238</v>
      </c>
      <c r="BJ250">
        <f t="shared" si="687"/>
        <v>0.28825622775800713</v>
      </c>
      <c r="BK250" s="20">
        <v>0.27899999999999997</v>
      </c>
      <c r="BL250" s="20">
        <v>0.23</v>
      </c>
      <c r="BM250" s="20">
        <v>0.215</v>
      </c>
      <c r="BT250" s="22">
        <f t="shared" si="748"/>
        <v>1153797</v>
      </c>
      <c r="BU250" s="21">
        <f t="shared" si="749"/>
        <v>206648</v>
      </c>
      <c r="BV250" s="21">
        <f t="shared" si="750"/>
        <v>19059</v>
      </c>
      <c r="CC250" s="21">
        <f t="shared" si="751"/>
        <v>1714</v>
      </c>
      <c r="CD250" s="21">
        <f t="shared" si="752"/>
        <v>14137</v>
      </c>
      <c r="CK250" s="21">
        <f t="shared" si="753"/>
        <v>876</v>
      </c>
      <c r="CL250" s="21">
        <f t="shared" si="754"/>
        <v>109353</v>
      </c>
      <c r="CS250" s="21">
        <f t="shared" si="755"/>
        <v>10044</v>
      </c>
    </row>
    <row r="251" spans="1:97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T251">
        <v>8418</v>
      </c>
      <c r="AU251">
        <v>1905</v>
      </c>
      <c r="AV251">
        <f t="shared" si="624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69"/>
        <v>0.23880597014925373</v>
      </c>
      <c r="BD251">
        <f t="shared" si="710"/>
        <v>0.18378378378378379</v>
      </c>
      <c r="BE251">
        <f t="shared" si="682"/>
        <v>0.20689655172413793</v>
      </c>
      <c r="BF251">
        <f t="shared" ref="BF251" si="881">SUM(AU245:AU251)/SUM(AT245:AT251)</f>
        <v>0.24199606796349279</v>
      </c>
      <c r="BG251">
        <f t="shared" ref="BG251" si="882">SUM(AU238:AU251)/SUM(AT238:AT251)</f>
        <v>0.26315710060957209</v>
      </c>
      <c r="BH251">
        <f t="shared" ref="BH251" si="883">SUM(AX245:AX251)/SUM(AW245:AW251)</f>
        <v>0.29549902152641877</v>
      </c>
      <c r="BI251">
        <f t="shared" ref="BI251" si="884">SUM(AZ245:AZ251)/SUM(AY245:AY251)</f>
        <v>0.23754940711462449</v>
      </c>
      <c r="BJ251">
        <f t="shared" si="687"/>
        <v>0.25390625</v>
      </c>
      <c r="BK251" s="20">
        <v>0.27800000000000002</v>
      </c>
      <c r="BL251" s="20">
        <v>0.22699999999999998</v>
      </c>
      <c r="BM251" s="20">
        <v>0.21299999999999999</v>
      </c>
      <c r="BT251" s="22">
        <f t="shared" si="748"/>
        <v>1162482</v>
      </c>
      <c r="BU251" s="21">
        <f t="shared" si="749"/>
        <v>210055</v>
      </c>
      <c r="BV251" s="21">
        <f t="shared" si="750"/>
        <v>19126</v>
      </c>
      <c r="CC251" s="21">
        <f t="shared" si="751"/>
        <v>1749</v>
      </c>
      <c r="CD251" s="21">
        <f t="shared" si="752"/>
        <v>14174</v>
      </c>
      <c r="CK251" s="21">
        <f t="shared" si="753"/>
        <v>891</v>
      </c>
      <c r="CL251" s="21">
        <f t="shared" si="754"/>
        <v>109772</v>
      </c>
      <c r="CS251" s="21">
        <f t="shared" si="755"/>
        <v>10175</v>
      </c>
    </row>
    <row r="252" spans="1:97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4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69"/>
        <v>0.5</v>
      </c>
      <c r="BD252">
        <f t="shared" si="710"/>
        <v>0.1746987951807229</v>
      </c>
      <c r="BE252">
        <f t="shared" si="682"/>
        <v>0.25</v>
      </c>
      <c r="BF252">
        <f t="shared" ref="BF252" si="896">SUM(AU246:AU252)/SUM(AT246:AT252)</f>
        <v>0.23629534540959446</v>
      </c>
      <c r="BG252">
        <f t="shared" ref="BG252" si="897">SUM(AU239:AU252)/SUM(AT239:AT252)</f>
        <v>0.25945836764500241</v>
      </c>
      <c r="BH252">
        <f t="shared" ref="BH252" si="898">SUM(AX246:AX252)/SUM(AW246:AW252)</f>
        <v>0.30769230769230771</v>
      </c>
      <c r="BI252">
        <f t="shared" ref="BI252" si="899">SUM(AZ246:AZ252)/SUM(AY246:AY252)</f>
        <v>0.22632020117351215</v>
      </c>
      <c r="BJ252">
        <f t="shared" si="687"/>
        <v>0.24896265560165975</v>
      </c>
      <c r="BK252" s="20">
        <v>0.27600000000000002</v>
      </c>
      <c r="BL252" s="20">
        <v>0.222</v>
      </c>
      <c r="BM252" s="20">
        <v>0.20499999999999999</v>
      </c>
      <c r="BT252" s="22">
        <f t="shared" si="748"/>
        <v>1167506</v>
      </c>
      <c r="BU252" s="21">
        <f t="shared" si="749"/>
        <v>211718</v>
      </c>
      <c r="BV252" s="21">
        <f t="shared" si="750"/>
        <v>19154</v>
      </c>
      <c r="CC252" s="21">
        <f t="shared" si="751"/>
        <v>1760</v>
      </c>
      <c r="CD252" s="21">
        <f t="shared" si="752"/>
        <v>14203</v>
      </c>
      <c r="CK252" s="21">
        <f t="shared" si="753"/>
        <v>894</v>
      </c>
      <c r="CL252" s="21">
        <f t="shared" si="754"/>
        <v>110142</v>
      </c>
      <c r="CS252" s="21">
        <f t="shared" si="755"/>
        <v>10209</v>
      </c>
    </row>
    <row r="253" spans="1:97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4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69"/>
        <v>0.27500000000000002</v>
      </c>
      <c r="BD253">
        <f t="shared" si="710"/>
        <v>0.19306930693069307</v>
      </c>
      <c r="BE253">
        <f t="shared" si="682"/>
        <v>0.20588235294117646</v>
      </c>
      <c r="BF253">
        <f t="shared" ref="BF253" si="911">SUM(AU247:AU253)/SUM(AT247:AT253)</f>
        <v>0.23351116191927854</v>
      </c>
      <c r="BG253">
        <f t="shared" ref="BG253" si="912">SUM(AU240:AU253)/SUM(AT240:AT253)</f>
        <v>0.25466658286719879</v>
      </c>
      <c r="BH253">
        <f t="shared" ref="BH253" si="913">SUM(AX247:AX253)/SUM(AW247:AW253)</f>
        <v>0.30598669623059865</v>
      </c>
      <c r="BI253">
        <f t="shared" ref="BI253" si="914">SUM(AZ247:AZ253)/SUM(AY247:AY253)</f>
        <v>0.2165732586068855</v>
      </c>
      <c r="BJ253">
        <f t="shared" si="687"/>
        <v>0.24050632911392406</v>
      </c>
      <c r="BK253" s="20">
        <v>0.26600000000000001</v>
      </c>
      <c r="BL253" s="20">
        <v>0.20399999999999999</v>
      </c>
      <c r="BM253" s="20">
        <v>0.187</v>
      </c>
      <c r="BT253" s="22">
        <f t="shared" si="748"/>
        <v>1177279</v>
      </c>
      <c r="BU253" s="21">
        <f t="shared" si="749"/>
        <v>215569</v>
      </c>
      <c r="BV253" s="21">
        <f t="shared" si="750"/>
        <v>19234</v>
      </c>
      <c r="CC253" s="21">
        <f t="shared" si="751"/>
        <v>1830</v>
      </c>
      <c r="CD253" s="21">
        <f t="shared" si="752"/>
        <v>14223</v>
      </c>
      <c r="CK253" s="21">
        <f t="shared" si="753"/>
        <v>913</v>
      </c>
      <c r="CL253" s="21">
        <f t="shared" si="754"/>
        <v>110308</v>
      </c>
      <c r="CS253" s="21">
        <f t="shared" si="755"/>
        <v>10413</v>
      </c>
    </row>
    <row r="254" spans="1:97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4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69"/>
        <v>0.31343283582089554</v>
      </c>
      <c r="BD254">
        <f t="shared" si="710"/>
        <v>0.20816326530612245</v>
      </c>
      <c r="BE254">
        <f t="shared" si="682"/>
        <v>0.36363636363636365</v>
      </c>
      <c r="BF254">
        <f t="shared" ref="BF254" si="926">SUM(AU248:AU254)/SUM(AT248:AT254)</f>
        <v>0.22808233530521124</v>
      </c>
      <c r="BG254">
        <f t="shared" ref="BG254" si="927">SUM(AU241:AU254)/SUM(AT241:AT254)</f>
        <v>0.25041763852991239</v>
      </c>
      <c r="BH254">
        <f t="shared" ref="BH254" si="928">SUM(AX248:AX254)/SUM(AW248:AW254)</f>
        <v>0.30701754385964913</v>
      </c>
      <c r="BI254">
        <f t="shared" ref="BI254" si="929">SUM(AZ248:AZ254)/SUM(AY248:AY254)</f>
        <v>0.21283643892339543</v>
      </c>
      <c r="BJ254">
        <f t="shared" si="687"/>
        <v>0.26431718061674009</v>
      </c>
      <c r="BK254" s="20">
        <v>0.26899999999999996</v>
      </c>
      <c r="BL254" s="20">
        <v>0.19699999999999998</v>
      </c>
      <c r="BM254" s="20">
        <v>0.19399999999999998</v>
      </c>
      <c r="BT254" s="22">
        <f t="shared" si="748"/>
        <v>1185848</v>
      </c>
      <c r="BU254" s="21">
        <f t="shared" si="749"/>
        <v>218943</v>
      </c>
      <c r="BV254" s="21">
        <f t="shared" si="750"/>
        <v>19301</v>
      </c>
      <c r="CC254" s="21">
        <f t="shared" si="751"/>
        <v>1881</v>
      </c>
      <c r="CD254" s="21">
        <f t="shared" si="752"/>
        <v>14257</v>
      </c>
      <c r="CK254" s="21">
        <f t="shared" si="753"/>
        <v>950</v>
      </c>
      <c r="CL254" s="21">
        <f t="shared" si="754"/>
        <v>110712</v>
      </c>
      <c r="CS254" s="21">
        <f t="shared" si="755"/>
        <v>10600</v>
      </c>
    </row>
    <row r="255" spans="1:97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4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69"/>
        <v>0.17307692307692307</v>
      </c>
      <c r="BD255">
        <f t="shared" si="710"/>
        <v>0.15753424657534246</v>
      </c>
      <c r="BE255">
        <f t="shared" si="682"/>
        <v>0.32</v>
      </c>
      <c r="BF255">
        <f t="shared" ref="BF255" si="942">SUM(AU249:AU255)/SUM(AT249:AT255)</f>
        <v>0.22562157465579469</v>
      </c>
      <c r="BG255">
        <f t="shared" ref="BG255" si="943">SUM(AU242:AU255)/SUM(AT242:AT255)</f>
        <v>0.24523398253648795</v>
      </c>
      <c r="BH255">
        <f t="shared" ref="BH255" si="944">SUM(AX249:AX255)/SUM(AW249:AW255)</f>
        <v>0.29655172413793102</v>
      </c>
      <c r="BI255">
        <f t="shared" ref="BI255" si="945">SUM(AZ249:AZ255)/SUM(AY249:AY255)</f>
        <v>0.19956803455723543</v>
      </c>
      <c r="BJ255">
        <f t="shared" si="687"/>
        <v>0.27403846153846156</v>
      </c>
      <c r="BK255" s="20">
        <v>0.26100000000000001</v>
      </c>
      <c r="BL255" s="20">
        <v>0.19500000000000001</v>
      </c>
      <c r="BM255" s="20">
        <v>0.19900000000000001</v>
      </c>
      <c r="BT255" s="22">
        <f t="shared" si="748"/>
        <v>1194529</v>
      </c>
      <c r="BU255" s="21">
        <f t="shared" si="749"/>
        <v>222278</v>
      </c>
      <c r="BV255" s="21">
        <f t="shared" si="750"/>
        <v>19353</v>
      </c>
      <c r="CC255" s="21">
        <f t="shared" si="751"/>
        <v>1907</v>
      </c>
      <c r="CD255" s="21">
        <f t="shared" si="752"/>
        <v>14279</v>
      </c>
      <c r="CK255" s="21">
        <f t="shared" si="753"/>
        <v>964</v>
      </c>
      <c r="CL255" s="21">
        <f t="shared" si="754"/>
        <v>110957</v>
      </c>
      <c r="CS255" s="21">
        <f t="shared" si="755"/>
        <v>10724</v>
      </c>
    </row>
    <row r="256" spans="1:97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T256">
        <v>5495</v>
      </c>
      <c r="AU256">
        <v>1185</v>
      </c>
      <c r="AV256">
        <f t="shared" si="624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69"/>
        <v>0.23809523809523808</v>
      </c>
      <c r="BD256">
        <f t="shared" si="710"/>
        <v>0.22222222222222221</v>
      </c>
      <c r="BE256">
        <f t="shared" si="682"/>
        <v>0.38461538461538464</v>
      </c>
      <c r="BF256">
        <f t="shared" ref="BF256" si="958">SUM(AU250:AU256)/SUM(AT250:AT256)</f>
        <v>0.22317022468863543</v>
      </c>
      <c r="BG256">
        <f t="shared" ref="BG256" si="959">SUM(AU243:AU256)/SUM(AT243:AT256)</f>
        <v>0.2403167711057384</v>
      </c>
      <c r="BH256">
        <f t="shared" ref="BH256" si="960">SUM(AX250:AX256)/SUM(AW250:AW256)</f>
        <v>0.26649746192893403</v>
      </c>
      <c r="BI256">
        <f t="shared" ref="BI256" si="961">SUM(AZ250:AZ256)/SUM(AY250:AY256)</f>
        <v>0.19915848527349228</v>
      </c>
      <c r="BJ256">
        <f t="shared" si="687"/>
        <v>0.26943005181347152</v>
      </c>
      <c r="BK256" s="20">
        <v>0.252</v>
      </c>
      <c r="BL256" s="20">
        <v>0.184</v>
      </c>
      <c r="BM256" s="20">
        <v>0.19400000000000001</v>
      </c>
      <c r="BT256" s="22">
        <f t="shared" si="748"/>
        <v>1197769</v>
      </c>
      <c r="BU256" s="21">
        <f t="shared" si="749"/>
        <v>223538</v>
      </c>
      <c r="BV256" s="21">
        <f t="shared" si="750"/>
        <v>19395</v>
      </c>
      <c r="CC256" s="21">
        <f t="shared" si="751"/>
        <v>1915</v>
      </c>
      <c r="CD256" s="21">
        <f t="shared" si="752"/>
        <v>14304</v>
      </c>
      <c r="CK256" s="21">
        <f t="shared" si="753"/>
        <v>977</v>
      </c>
      <c r="CL256" s="21">
        <f t="shared" si="754"/>
        <v>111249</v>
      </c>
      <c r="CS256" s="21">
        <f t="shared" si="755"/>
        <v>10736</v>
      </c>
    </row>
    <row r="257" spans="1:97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T257">
        <v>4834</v>
      </c>
      <c r="AU257">
        <v>928</v>
      </c>
      <c r="AV257">
        <f t="shared" si="624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69"/>
        <v>0.13513513513513514</v>
      </c>
      <c r="BD257">
        <f t="shared" si="710"/>
        <v>0.15918367346938775</v>
      </c>
      <c r="BE257">
        <f t="shared" si="682"/>
        <v>0.24</v>
      </c>
      <c r="BF257">
        <f t="shared" ref="BF257" si="973">SUM(AU251:AU257)/SUM(AT251:AT257)</f>
        <v>0.21745266850817591</v>
      </c>
      <c r="BG257">
        <f t="shared" ref="BG257" si="974">SUM(AU244:AU257)/SUM(AT244:AT257)</f>
        <v>0.23357530333604129</v>
      </c>
      <c r="BH257">
        <f t="shared" ref="BH257" si="975">SUM(AX251:AX257)/SUM(AW251:AW257)</f>
        <v>0.26005361930294907</v>
      </c>
      <c r="BI257">
        <f t="shared" ref="BI257" si="976">SUM(AZ251:AZ257)/SUM(AY251:AY257)</f>
        <v>0.18575063613231552</v>
      </c>
      <c r="BJ257">
        <f t="shared" ref="BJ257:BJ262" si="977">SUM(BB251:BB257)/SUM(BA251:BA257)</f>
        <v>0.27624309392265195</v>
      </c>
      <c r="BK257" s="20">
        <v>0.24399999999999999</v>
      </c>
      <c r="BL257" s="20">
        <v>0.17799999999999999</v>
      </c>
      <c r="BM257" s="20">
        <v>0.186</v>
      </c>
      <c r="BT257" s="22">
        <f t="shared" si="748"/>
        <v>1203506</v>
      </c>
      <c r="BU257" s="21">
        <f t="shared" si="749"/>
        <v>225780</v>
      </c>
      <c r="BV257" s="21">
        <f t="shared" si="750"/>
        <v>19432</v>
      </c>
      <c r="CC257" s="21">
        <f t="shared" si="751"/>
        <v>1928</v>
      </c>
      <c r="CD257" s="21">
        <f t="shared" si="752"/>
        <v>14330</v>
      </c>
      <c r="CK257" s="21">
        <f t="shared" si="753"/>
        <v>992</v>
      </c>
      <c r="CL257" s="21">
        <f t="shared" si="754"/>
        <v>111492</v>
      </c>
      <c r="CS257" s="21">
        <f t="shared" si="755"/>
        <v>10813</v>
      </c>
    </row>
    <row r="258" spans="1:97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T258">
        <v>4853</v>
      </c>
      <c r="AU258">
        <v>1171</v>
      </c>
      <c r="AV258">
        <f t="shared" si="624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69"/>
        <v>0.2</v>
      </c>
      <c r="BD258">
        <f t="shared" si="710"/>
        <v>0.16071428571428573</v>
      </c>
      <c r="BE258">
        <f t="shared" si="682"/>
        <v>0.4</v>
      </c>
      <c r="BF258">
        <f t="shared" ref="BF258" si="986">SUM(AU252:AU258)/SUM(AT252:AT258)</f>
        <v>0.2183481056656239</v>
      </c>
      <c r="BG258">
        <f t="shared" ref="BG258" si="987">SUM(AU245:AU258)/SUM(AT245:AT258)</f>
        <v>0.23197200607762788</v>
      </c>
      <c r="BH258">
        <f t="shared" ref="BH258" si="988">SUM(AX252:AX258)/SUM(AW252:AW258)</f>
        <v>0.25806451612903225</v>
      </c>
      <c r="BI258">
        <f t="shared" ref="BI258" si="989">SUM(AZ252:AZ258)/SUM(AY252:AY258)</f>
        <v>0.18377765173000568</v>
      </c>
      <c r="BJ258">
        <f t="shared" si="977"/>
        <v>0.29629629629629628</v>
      </c>
      <c r="BK258" s="20">
        <v>0.246</v>
      </c>
      <c r="BL258" s="20">
        <v>0.17599999999999999</v>
      </c>
      <c r="BM258" s="20">
        <v>0.20200000000000001</v>
      </c>
      <c r="BT258" s="22">
        <f t="shared" si="748"/>
        <v>1208053</v>
      </c>
      <c r="BU258" s="21">
        <f t="shared" si="749"/>
        <v>227796</v>
      </c>
      <c r="BV258" s="21">
        <f t="shared" si="750"/>
        <v>19467</v>
      </c>
      <c r="CC258" s="21">
        <f t="shared" si="751"/>
        <v>1950</v>
      </c>
      <c r="CD258" s="21">
        <f t="shared" si="752"/>
        <v>14355</v>
      </c>
      <c r="CK258" s="21">
        <f t="shared" si="753"/>
        <v>1018</v>
      </c>
      <c r="CL258" s="21">
        <f t="shared" si="754"/>
        <v>111737</v>
      </c>
      <c r="CS258" s="21">
        <f t="shared" si="755"/>
        <v>10886</v>
      </c>
    </row>
    <row r="259" spans="1:97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4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69"/>
        <v>0.33333333333333331</v>
      </c>
      <c r="BD259">
        <f t="shared" si="710"/>
        <v>0.14084507042253522</v>
      </c>
      <c r="BE259">
        <f t="shared" si="682"/>
        <v>0.45454545454545453</v>
      </c>
      <c r="BF259">
        <f t="shared" ref="BF259" si="1000">SUM(AU253:AU259)/SUM(AT253:AT259)</f>
        <v>0.21970755332029432</v>
      </c>
      <c r="BG259">
        <f t="shared" ref="BG259" si="1001">SUM(AU246:AU259)/SUM(AT246:AT259)</f>
        <v>0.22957745150735051</v>
      </c>
      <c r="BH259">
        <f t="shared" ref="BH259" si="1002">SUM(AX253:AX259)/SUM(AW253:AW259)</f>
        <v>0.24085365853658536</v>
      </c>
      <c r="BI259">
        <f t="shared" ref="BI259" si="1003">SUM(AZ253:AZ259)/SUM(AY253:AY259)</f>
        <v>0.18113858539390454</v>
      </c>
      <c r="BJ259">
        <f t="shared" si="977"/>
        <v>0.31372549019607843</v>
      </c>
      <c r="BK259" s="20">
        <v>0.24299999999999999</v>
      </c>
      <c r="BL259" s="20">
        <v>0.17299999999999999</v>
      </c>
      <c r="BM259" s="20">
        <v>0.20499999999999999</v>
      </c>
      <c r="BT259" s="22">
        <f t="shared" si="748"/>
        <v>1211060</v>
      </c>
      <c r="BU259" s="21">
        <f t="shared" si="749"/>
        <v>228972</v>
      </c>
      <c r="BV259" s="21">
        <f t="shared" si="750"/>
        <v>19482</v>
      </c>
      <c r="CC259" s="21">
        <f t="shared" si="751"/>
        <v>1953</v>
      </c>
      <c r="CD259" s="21">
        <f t="shared" si="752"/>
        <v>14365</v>
      </c>
      <c r="CK259" s="21">
        <f t="shared" si="753"/>
        <v>1023</v>
      </c>
      <c r="CL259" s="21">
        <f t="shared" si="754"/>
        <v>111905</v>
      </c>
      <c r="CS259" s="21">
        <f t="shared" si="755"/>
        <v>10899</v>
      </c>
    </row>
    <row r="260" spans="1:97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T260">
        <v>4613</v>
      </c>
      <c r="AU260">
        <v>1171</v>
      </c>
      <c r="AV260">
        <f t="shared" si="624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69"/>
        <v>0.2857142857142857</v>
      </c>
      <c r="BD260">
        <f t="shared" si="710"/>
        <v>0.26543209876543211</v>
      </c>
      <c r="BE260">
        <f t="shared" si="682"/>
        <v>0.21428571428571427</v>
      </c>
      <c r="BF260">
        <f t="shared" ref="BF260" si="1017">SUM(AU254:AU260)/SUM(AT254:AT260)</f>
        <v>0.22318803852002028</v>
      </c>
      <c r="BG260">
        <f t="shared" ref="BG260" si="1018">SUM(AU247:AU260)/SUM(AT247:AT260)</f>
        <v>0.22953476113312898</v>
      </c>
      <c r="BH260">
        <f t="shared" ref="BH260" si="1019">SUM(AX254:AX260)/SUM(AW254:AW260)</f>
        <v>0.2342007434944238</v>
      </c>
      <c r="BI260">
        <f t="shared" ref="BI260" si="1020">SUM(AZ254:AZ260)/SUM(AY254:AY260)</f>
        <v>0.18704074816299265</v>
      </c>
      <c r="BJ260">
        <f t="shared" si="977"/>
        <v>0.33082706766917291</v>
      </c>
      <c r="BK260" s="20">
        <v>0.23599999999999999</v>
      </c>
      <c r="BL260" s="20">
        <v>0.16500000000000001</v>
      </c>
      <c r="BM260" s="20">
        <v>0.20100000000000001</v>
      </c>
      <c r="BT260" s="22">
        <f t="shared" si="748"/>
        <v>1215670</v>
      </c>
      <c r="BU260" s="21">
        <f t="shared" si="749"/>
        <v>230898</v>
      </c>
      <c r="BV260" s="21">
        <f t="shared" si="750"/>
        <v>19503</v>
      </c>
      <c r="CC260" s="21">
        <f t="shared" si="751"/>
        <v>1967</v>
      </c>
      <c r="CD260" s="21">
        <f t="shared" si="752"/>
        <v>14376</v>
      </c>
      <c r="CK260" s="21">
        <f t="shared" si="753"/>
        <v>1026</v>
      </c>
      <c r="CL260" s="21">
        <f t="shared" si="754"/>
        <v>112047</v>
      </c>
      <c r="CS260" s="21">
        <f t="shared" si="755"/>
        <v>10974</v>
      </c>
    </row>
    <row r="261" spans="1:97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T261">
        <v>5593</v>
      </c>
      <c r="AU261">
        <v>1154</v>
      </c>
      <c r="AV261">
        <f t="shared" si="624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69"/>
        <v>0.1111111111111111</v>
      </c>
      <c r="BD261">
        <f t="shared" si="710"/>
        <v>0.11632653061224489</v>
      </c>
      <c r="BE261">
        <f t="shared" si="682"/>
        <v>0.34782608695652173</v>
      </c>
      <c r="BF261">
        <f t="shared" ref="BF261" si="1031">SUM(AU255:AU261)/SUM(AT255:AT261)</f>
        <v>0.22132186031779549</v>
      </c>
      <c r="BG261">
        <f t="shared" ref="BG261" si="1032">SUM(AU248:AU261)/SUM(AT248:AT261)</f>
        <v>0.2255191393545159</v>
      </c>
      <c r="BH261">
        <f t="shared" ref="BH261" si="1033">SUM(AX255:AX261)/SUM(AW255:AW261)</f>
        <v>0.19028340080971659</v>
      </c>
      <c r="BI261">
        <f t="shared" ref="BI261" si="1034">SUM(AZ255:AZ261)/SUM(AY255:AY261)</f>
        <v>0.16417910447761194</v>
      </c>
      <c r="BJ261">
        <f t="shared" si="977"/>
        <v>0.32835820895522388</v>
      </c>
      <c r="BK261" s="20">
        <v>0.23</v>
      </c>
      <c r="BL261" s="20">
        <v>0.155</v>
      </c>
      <c r="BM261" s="20">
        <v>0.2</v>
      </c>
      <c r="BT261" s="22">
        <f t="shared" si="748"/>
        <v>1222575</v>
      </c>
      <c r="BU261" s="21">
        <f t="shared" si="749"/>
        <v>233868</v>
      </c>
      <c r="BV261" s="21">
        <f t="shared" si="750"/>
        <v>19548</v>
      </c>
      <c r="CC261" s="21">
        <f t="shared" si="751"/>
        <v>1986</v>
      </c>
      <c r="CD261" s="21">
        <f t="shared" si="752"/>
        <v>14390</v>
      </c>
      <c r="CK261" s="21">
        <f t="shared" si="753"/>
        <v>1050</v>
      </c>
      <c r="CL261" s="21">
        <f t="shared" si="754"/>
        <v>112209</v>
      </c>
      <c r="CS261" s="21">
        <f t="shared" si="755"/>
        <v>11159</v>
      </c>
    </row>
    <row r="262" spans="1:97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T262">
        <v>7190</v>
      </c>
      <c r="AU262">
        <v>1524</v>
      </c>
      <c r="AV262">
        <f t="shared" si="624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69"/>
        <v>0.20454545454545456</v>
      </c>
      <c r="BD262">
        <f t="shared" si="710"/>
        <v>0.16585365853658537</v>
      </c>
      <c r="BE262">
        <f t="shared" si="682"/>
        <v>0.19047619047619047</v>
      </c>
      <c r="BF262">
        <f t="shared" ref="BF262" si="1048">SUM(AU256:AU262)/SUM(AT256:AT262)</f>
        <v>0.21961280387196128</v>
      </c>
      <c r="BG262">
        <f t="shared" ref="BG262" si="1049">SUM(AU249:AU262)/SUM(AT249:AT262)</f>
        <v>0.22335051760695132</v>
      </c>
      <c r="BH262">
        <f t="shared" ref="BH262" si="1050">SUM(AX256:AX262)/SUM(AW256:AW262)</f>
        <v>0.19665271966527198</v>
      </c>
      <c r="BI262">
        <f t="shared" ref="BI262" si="1051">SUM(AZ256:AZ262)/SUM(AY256:AY262)</f>
        <v>0.16555891238670695</v>
      </c>
      <c r="BJ262">
        <f t="shared" si="977"/>
        <v>0.30769230769230771</v>
      </c>
      <c r="BK262" s="20">
        <v>0.215</v>
      </c>
      <c r="BL262" s="20">
        <v>0.14099999999999999</v>
      </c>
      <c r="BM262" s="20">
        <v>0.20100000000000001</v>
      </c>
      <c r="BN262" s="21">
        <f>BN264-AT262</f>
        <v>2553984</v>
      </c>
      <c r="BT262" s="22">
        <f t="shared" si="748"/>
        <v>1229577</v>
      </c>
      <c r="BU262" s="21">
        <f t="shared" si="749"/>
        <v>236796</v>
      </c>
      <c r="BV262" s="21">
        <f t="shared" si="750"/>
        <v>19592</v>
      </c>
      <c r="CC262" s="21">
        <f t="shared" si="751"/>
        <v>2007</v>
      </c>
      <c r="CD262" s="21">
        <f t="shared" si="752"/>
        <v>14413</v>
      </c>
      <c r="CK262" s="21">
        <f t="shared" si="753"/>
        <v>1062</v>
      </c>
      <c r="CL262" s="21">
        <f t="shared" si="754"/>
        <v>112699</v>
      </c>
      <c r="CS262" s="21">
        <f t="shared" si="755"/>
        <v>11221</v>
      </c>
    </row>
    <row r="263" spans="1:97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4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69"/>
        <v>0.20833333333333334</v>
      </c>
      <c r="BD263">
        <f t="shared" si="710"/>
        <v>0.16597510373443983</v>
      </c>
      <c r="BE263">
        <f t="shared" si="682"/>
        <v>0.25925925925925924</v>
      </c>
      <c r="BF263">
        <f t="shared" ref="BF263" si="1066">SUM(AU257:AU263)/SUM(AT257:AT263)</f>
        <v>0.21712756940029668</v>
      </c>
      <c r="BG263">
        <f t="shared" ref="BG263" si="1067">SUM(AU250:AU263)/SUM(AT250:AT263)</f>
        <v>0.22071922039689276</v>
      </c>
      <c r="BH263">
        <f t="shared" ref="BH263" si="1068">SUM(AX257:AX263)/SUM(AW257:AW263)</f>
        <v>0.19183673469387755</v>
      </c>
      <c r="BI263">
        <f t="shared" ref="BI263" si="1069">SUM(AZ257:AZ263)/SUM(AY257:AY263)</f>
        <v>0.15728977616454931</v>
      </c>
      <c r="BJ263">
        <f t="shared" ref="BJ263" si="1070">SUM(BB257:BB263)/SUM(BA257:BA263)</f>
        <v>0.28244274809160308</v>
      </c>
      <c r="BK263" s="20">
        <v>0.21</v>
      </c>
      <c r="BL263" s="20">
        <v>0.13700000000000001</v>
      </c>
      <c r="BM263" s="20">
        <v>0.185</v>
      </c>
      <c r="BT263" s="22">
        <f t="shared" si="748"/>
        <v>1237164</v>
      </c>
      <c r="BU263" s="21">
        <f t="shared" si="749"/>
        <v>239687</v>
      </c>
      <c r="BV263" s="21">
        <f t="shared" si="750"/>
        <v>19640</v>
      </c>
      <c r="CC263" s="21">
        <f t="shared" si="751"/>
        <v>2030</v>
      </c>
      <c r="CD263" s="21">
        <f t="shared" si="752"/>
        <v>14434</v>
      </c>
      <c r="CK263" s="21">
        <f t="shared" si="753"/>
        <v>1076</v>
      </c>
      <c r="CL263" s="21">
        <f t="shared" si="754"/>
        <v>112904</v>
      </c>
      <c r="CS263" s="21">
        <f t="shared" si="755"/>
        <v>11297</v>
      </c>
    </row>
    <row r="264" spans="1:97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 t="e">
        <f t="shared" si="682"/>
        <v>#DIV/0!</v>
      </c>
      <c r="BF264">
        <f t="shared" ref="BF264:BF270" si="1084">SUM(AU258:AU264)/SUM(AT258:AT264)</f>
        <v>0.22082143508111063</v>
      </c>
      <c r="BG264">
        <f t="shared" ref="BG264:BG270" si="1085">SUM(AU251:AU264)/SUM(AT251:AT264)</f>
        <v>0.21879658243955644</v>
      </c>
      <c r="BH264">
        <f t="shared" ref="BH264:BH270" si="1086">SUM(AX258:AX264)/SUM(AW258:AW264)</f>
        <v>0.20192307692307693</v>
      </c>
      <c r="BI264">
        <f t="shared" ref="BI264:BI270" si="1087">SUM(AZ258:AZ264)/SUM(AY258:AY264)</f>
        <v>0.15696022727272727</v>
      </c>
      <c r="BJ264">
        <f t="shared" ref="BJ264:BJ270" si="1088">SUM(BB258:BB264)/SUM(BA258:BA264)</f>
        <v>0.29245283018867924</v>
      </c>
      <c r="BK264" s="20">
        <v>0.2</v>
      </c>
      <c r="BL264" s="20">
        <v>0.13500000000000001</v>
      </c>
      <c r="BM264" s="20">
        <v>0.188</v>
      </c>
      <c r="BN264" s="21">
        <v>2561174</v>
      </c>
      <c r="BO264" s="21">
        <v>261722</v>
      </c>
      <c r="BT264" s="21">
        <v>1243592</v>
      </c>
      <c r="BU264" s="21">
        <v>242065</v>
      </c>
      <c r="BV264" s="21">
        <v>19640</v>
      </c>
      <c r="BW264" s="21">
        <v>2145</v>
      </c>
      <c r="CB264" s="21">
        <v>8819</v>
      </c>
      <c r="CC264" s="21">
        <v>2046</v>
      </c>
      <c r="CD264" s="21">
        <v>14461</v>
      </c>
      <c r="CE264" s="21">
        <v>1154</v>
      </c>
      <c r="CJ264" s="21">
        <v>5195</v>
      </c>
      <c r="CK264" s="21">
        <v>1089</v>
      </c>
      <c r="CL264" s="21">
        <v>113145</v>
      </c>
      <c r="CM264" s="21">
        <v>12426</v>
      </c>
      <c r="CR264" s="21">
        <v>53329</v>
      </c>
      <c r="CS264" s="21">
        <v>11372</v>
      </c>
    </row>
    <row r="265" spans="1:97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T265">
        <f t="shared" ref="AT265:AT270" si="1102">BN265-BN264</f>
        <v>18816</v>
      </c>
      <c r="AU265">
        <f>BO265-BO264</f>
        <v>2030</v>
      </c>
      <c r="AV265">
        <f t="shared" si="624"/>
        <v>0.10788690476190477</v>
      </c>
      <c r="AW265">
        <f>BV265-BV264</f>
        <v>74</v>
      </c>
      <c r="AX265">
        <f>BW265-BW264</f>
        <v>8</v>
      </c>
      <c r="AY265">
        <f>CL265-CL264</f>
        <v>687</v>
      </c>
      <c r="AZ265">
        <f>CM265-CM264</f>
        <v>73</v>
      </c>
      <c r="BA265">
        <f>CD265-CD264</f>
        <v>204</v>
      </c>
      <c r="BB265">
        <f>CE265-CE264</f>
        <v>8</v>
      </c>
      <c r="BC265">
        <f t="shared" ref="BC265:BC270" si="1103">AX265/AW265</f>
        <v>0.10810810810810811</v>
      </c>
      <c r="BD265">
        <f t="shared" ref="BD265:BD270" si="1104">AZ265/AY265</f>
        <v>0.10625909752547306</v>
      </c>
      <c r="BE265">
        <f t="shared" si="682"/>
        <v>3.9215686274509803E-2</v>
      </c>
      <c r="BF265">
        <f t="shared" si="1084"/>
        <v>0.17337514131524498</v>
      </c>
      <c r="BG265">
        <f t="shared" si="1085"/>
        <v>0.19565615145351029</v>
      </c>
      <c r="BH265">
        <f t="shared" si="1086"/>
        <v>0.17408906882591094</v>
      </c>
      <c r="BI265">
        <f t="shared" si="1087"/>
        <v>0.13855734302023873</v>
      </c>
      <c r="BJ265">
        <f t="shared" si="1088"/>
        <v>0.11666666666666667</v>
      </c>
      <c r="BK265" s="20">
        <v>0.187</v>
      </c>
      <c r="BL265" s="20">
        <v>0.13800000000000001</v>
      </c>
      <c r="BM265" s="20">
        <v>0.186</v>
      </c>
      <c r="BN265" s="21">
        <v>2579990</v>
      </c>
      <c r="BO265" s="21">
        <v>263752</v>
      </c>
      <c r="BT265" s="21">
        <v>1248997</v>
      </c>
      <c r="BU265" s="21">
        <v>243929</v>
      </c>
      <c r="BV265" s="21">
        <v>19714</v>
      </c>
      <c r="BW265" s="21">
        <v>2153</v>
      </c>
      <c r="CB265" s="21">
        <v>8841</v>
      </c>
      <c r="CC265" s="21">
        <v>2053</v>
      </c>
      <c r="CD265" s="21">
        <v>14665</v>
      </c>
      <c r="CE265" s="21">
        <v>1162</v>
      </c>
      <c r="CJ265" s="21">
        <v>5203</v>
      </c>
      <c r="CK265" s="21">
        <v>1097</v>
      </c>
      <c r="CL265" s="21">
        <v>113832</v>
      </c>
      <c r="CM265" s="21">
        <v>12499</v>
      </c>
      <c r="CR265" s="21">
        <v>53524</v>
      </c>
      <c r="CS265" s="21">
        <v>11434</v>
      </c>
    </row>
    <row r="266" spans="1:97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5">C266/B266</f>
        <v>0.1956603560991631</v>
      </c>
      <c r="R266">
        <f t="shared" ref="R266" si="1106">C266-C265</f>
        <v>919</v>
      </c>
      <c r="S266">
        <f t="shared" ref="S266" si="1107">N266-N265</f>
        <v>1477</v>
      </c>
      <c r="T266" s="8">
        <f t="shared" ref="T266" si="1108">R266/V266</f>
        <v>0.38355592654424042</v>
      </c>
      <c r="U266" s="8">
        <f t="shared" ref="U266" si="1109">SUM(R260:R266)/SUM(V260:V266)</f>
        <v>0.39362308779411398</v>
      </c>
      <c r="V266">
        <f t="shared" ref="V266" si="1110">B266-B265</f>
        <v>2396</v>
      </c>
      <c r="W266">
        <f t="shared" ref="W266" si="1111">C266-D266-E266</f>
        <v>81294</v>
      </c>
      <c r="X266" s="3">
        <f t="shared" ref="X266" si="1112">F266/W266</f>
        <v>1.104632568209216E-2</v>
      </c>
      <c r="Y266">
        <f t="shared" ref="Y266" si="1113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4">Z266-AC266-AF266</f>
        <v>822</v>
      </c>
      <c r="AJ266">
        <f t="shared" ref="AJ266:AJ268" si="1115">AA266-AD266-AG266</f>
        <v>446</v>
      </c>
      <c r="AK266">
        <f t="shared" ref="AK266:AK268" si="1116">AB266-AE266-AH266</f>
        <v>3280</v>
      </c>
      <c r="AW266">
        <f t="shared" ref="AW266:AW270" si="1117">BV266-BV265</f>
        <v>54</v>
      </c>
      <c r="AX266">
        <f t="shared" ref="AX266:AX297" si="1118">BW266-BW265</f>
        <v>2</v>
      </c>
      <c r="AY266">
        <f t="shared" ref="AY266:AY270" si="1119">CL266-CL265</f>
        <v>285</v>
      </c>
      <c r="AZ266">
        <f t="shared" ref="AZ266:AZ297" si="1120">CM266-CM265</f>
        <v>19</v>
      </c>
      <c r="BA266">
        <f t="shared" ref="BA266:BA270" si="1121">CD266-CD265</f>
        <v>29</v>
      </c>
      <c r="BB266">
        <f t="shared" ref="BB266:BB297" si="1122">CE266-CE265</f>
        <v>3</v>
      </c>
      <c r="BC266">
        <f t="shared" si="1103"/>
        <v>3.7037037037037035E-2</v>
      </c>
      <c r="BD266">
        <f t="shared" si="1104"/>
        <v>6.6666666666666666E-2</v>
      </c>
      <c r="BE266">
        <f t="shared" si="682"/>
        <v>0.10344827586206896</v>
      </c>
      <c r="BF266">
        <f t="shared" si="1084"/>
        <v>0.16881308736512357</v>
      </c>
      <c r="BG266">
        <f t="shared" si="1085"/>
        <v>0.19421684506583917</v>
      </c>
      <c r="BH266">
        <f t="shared" si="1086"/>
        <v>0.13986013986013987</v>
      </c>
      <c r="BI266">
        <f t="shared" si="1087"/>
        <v>0.1285024154589372</v>
      </c>
      <c r="BJ266">
        <f t="shared" si="1088"/>
        <v>0.10377358490566038</v>
      </c>
      <c r="BK266" s="20">
        <v>0.18099999999999999</v>
      </c>
      <c r="BL266" s="20">
        <v>0.13700000000000001</v>
      </c>
      <c r="BM266" s="20">
        <v>0.184</v>
      </c>
      <c r="BT266" s="22">
        <v>1251393</v>
      </c>
      <c r="BU266" s="21">
        <f>C266</f>
        <v>244848</v>
      </c>
      <c r="BV266" s="21">
        <v>19768</v>
      </c>
      <c r="BW266" s="21">
        <v>2155</v>
      </c>
      <c r="CB266" s="21">
        <v>8858</v>
      </c>
      <c r="CC266" s="21">
        <v>2058</v>
      </c>
      <c r="CD266" s="21">
        <v>14694</v>
      </c>
      <c r="CE266" s="21">
        <v>1165</v>
      </c>
      <c r="CJ266" s="21">
        <v>5210</v>
      </c>
      <c r="CK266" s="21">
        <v>1098</v>
      </c>
      <c r="CL266" s="21">
        <v>114117</v>
      </c>
      <c r="CM266" s="21">
        <v>12518</v>
      </c>
      <c r="CR266" s="21">
        <v>53602</v>
      </c>
      <c r="CS266" s="21">
        <v>11456</v>
      </c>
    </row>
    <row r="267" spans="1:97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3">-(J267-J266)+L267</f>
        <v>27</v>
      </c>
      <c r="N267" s="7">
        <f t="shared" ref="N267" si="1124">B267-C267</f>
        <v>1008781</v>
      </c>
      <c r="O267" s="4">
        <f t="shared" ref="O267" si="1125">C267/B267</f>
        <v>0.19620388822179072</v>
      </c>
      <c r="R267">
        <f t="shared" ref="R267" si="1126">C267-C266</f>
        <v>1392</v>
      </c>
      <c r="S267">
        <f t="shared" ref="S267" si="1127">N267-N266</f>
        <v>2236</v>
      </c>
      <c r="T267" s="8">
        <f t="shared" ref="T267" si="1128">R267/V267</f>
        <v>0.38368246968026459</v>
      </c>
      <c r="U267" s="8">
        <f t="shared" ref="U267" si="1129">SUM(R261:R267)/SUM(V261:V267)</f>
        <v>0.38987573378059009</v>
      </c>
      <c r="V267">
        <f t="shared" ref="V267" si="1130">B267-B266</f>
        <v>3628</v>
      </c>
      <c r="W267">
        <f t="shared" ref="W267" si="1131">C267-D267-E267</f>
        <v>75285</v>
      </c>
      <c r="X267" s="3">
        <f t="shared" ref="X267" si="1132">F267/W267</f>
        <v>1.1954572624028692E-2</v>
      </c>
      <c r="Y267">
        <f t="shared" ref="Y267" si="1133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4"/>
        <v>818</v>
      </c>
      <c r="AJ267">
        <f t="shared" si="1115"/>
        <v>454</v>
      </c>
      <c r="AK267">
        <f t="shared" si="1116"/>
        <v>3292</v>
      </c>
      <c r="AW267">
        <f t="shared" si="1117"/>
        <v>250</v>
      </c>
      <c r="AX267">
        <f t="shared" si="1118"/>
        <v>18</v>
      </c>
      <c r="AY267">
        <f t="shared" si="1119"/>
        <v>1245</v>
      </c>
      <c r="AZ267">
        <f t="shared" si="1120"/>
        <v>63</v>
      </c>
      <c r="BA267">
        <f t="shared" si="1121"/>
        <v>232</v>
      </c>
      <c r="BB267">
        <f t="shared" si="1122"/>
        <v>14</v>
      </c>
      <c r="BC267">
        <f t="shared" si="1103"/>
        <v>7.1999999999999995E-2</v>
      </c>
      <c r="BD267">
        <f t="shared" si="1104"/>
        <v>5.0602409638554217E-2</v>
      </c>
      <c r="BE267">
        <f t="shared" si="682"/>
        <v>6.0344827586206899E-2</v>
      </c>
      <c r="BF267">
        <f t="shared" si="1084"/>
        <v>0.15861961436515773</v>
      </c>
      <c r="BG267">
        <f t="shared" si="1085"/>
        <v>0.19130892201893715</v>
      </c>
      <c r="BH267">
        <f t="shared" si="1086"/>
        <v>0.10097087378640776</v>
      </c>
      <c r="BI267">
        <f t="shared" si="1087"/>
        <v>9.0707262924199172E-2</v>
      </c>
      <c r="BJ267">
        <f t="shared" si="1088"/>
        <v>8.2089552238805971E-2</v>
      </c>
      <c r="BK267" s="20">
        <v>0.17100000000000001</v>
      </c>
      <c r="BL267" s="20">
        <v>0.13900000000000001</v>
      </c>
      <c r="BM267" s="20">
        <v>0.17899999999999999</v>
      </c>
      <c r="BN267" s="21">
        <v>2619543</v>
      </c>
      <c r="BO267" s="21">
        <v>266756</v>
      </c>
      <c r="BT267" s="21">
        <v>1256462</v>
      </c>
      <c r="BU267" s="21">
        <v>246784</v>
      </c>
      <c r="BV267" s="21">
        <v>20018</v>
      </c>
      <c r="BW267" s="21">
        <v>2173</v>
      </c>
      <c r="CB267" s="21">
        <v>8895</v>
      </c>
      <c r="CC267" s="21">
        <v>2076</v>
      </c>
      <c r="CD267" s="21">
        <v>14926</v>
      </c>
      <c r="CE267" s="21">
        <v>1179</v>
      </c>
      <c r="CJ267" s="21">
        <v>5234</v>
      </c>
      <c r="CK267" s="21">
        <v>1111</v>
      </c>
      <c r="CL267" s="21">
        <v>115362</v>
      </c>
      <c r="CM267" s="21">
        <v>12581</v>
      </c>
      <c r="CR267" s="21">
        <v>53720</v>
      </c>
      <c r="CS267" s="21">
        <v>11515</v>
      </c>
    </row>
    <row r="268" spans="1:97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4">-(J268-J267)+L268</f>
        <v>22</v>
      </c>
      <c r="N268" s="7">
        <f t="shared" ref="N268" si="1135">B268-C268</f>
        <v>1009677</v>
      </c>
      <c r="O268" s="4">
        <f t="shared" ref="O268" si="1136">C268/B268</f>
        <v>0.19641518353859158</v>
      </c>
      <c r="R268">
        <f t="shared" ref="R268" si="1137">C268-C267</f>
        <v>549</v>
      </c>
      <c r="S268">
        <f t="shared" ref="S268" si="1138">N268-N267</f>
        <v>896</v>
      </c>
      <c r="T268" s="8">
        <f t="shared" ref="T268" si="1139">R268/V268</f>
        <v>0.37993079584775086</v>
      </c>
      <c r="U268" s="8">
        <f t="shared" ref="U268" si="1140">SUM(R262:R268)/SUM(V262:V268)</f>
        <v>0.38125165973267239</v>
      </c>
      <c r="V268">
        <f t="shared" ref="V268" si="1141">B268-B267</f>
        <v>1445</v>
      </c>
      <c r="W268">
        <f t="shared" ref="W268" si="1142">C268-D268-E268</f>
        <v>75814</v>
      </c>
      <c r="X268" s="3">
        <f t="shared" ref="X268" si="1143">F268/W268</f>
        <v>1.1792017305510856E-2</v>
      </c>
      <c r="Y268">
        <f t="shared" ref="Y268" si="1144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4"/>
        <v>722</v>
      </c>
      <c r="AJ268">
        <f t="shared" si="1115"/>
        <v>415</v>
      </c>
      <c r="AK268">
        <f t="shared" si="1116"/>
        <v>2953</v>
      </c>
      <c r="AT268">
        <f t="shared" si="1102"/>
        <v>23942</v>
      </c>
      <c r="AU268">
        <f t="shared" ref="AU268:AU299" si="1145">BO268-BO267</f>
        <v>2203</v>
      </c>
      <c r="AV268">
        <f t="shared" si="624"/>
        <v>9.2014033915295293E-2</v>
      </c>
      <c r="AW268">
        <f t="shared" si="1117"/>
        <v>101</v>
      </c>
      <c r="AX268">
        <f t="shared" si="1118"/>
        <v>13</v>
      </c>
      <c r="AY268">
        <f t="shared" si="1119"/>
        <v>882</v>
      </c>
      <c r="AZ268">
        <f t="shared" si="1120"/>
        <v>77</v>
      </c>
      <c r="BA268">
        <f t="shared" si="1121"/>
        <v>156</v>
      </c>
      <c r="BB268">
        <f t="shared" si="1122"/>
        <v>14</v>
      </c>
      <c r="BC268">
        <f t="shared" si="1103"/>
        <v>0.12871287128712872</v>
      </c>
      <c r="BD268">
        <f t="shared" si="1104"/>
        <v>8.7301587301587297E-2</v>
      </c>
      <c r="BE268">
        <f t="shared" si="682"/>
        <v>8.9743589743589744E-2</v>
      </c>
      <c r="BF268">
        <f t="shared" si="1084"/>
        <v>0.12586440499023421</v>
      </c>
      <c r="BG268">
        <f t="shared" si="1085"/>
        <v>0.16404658086721496</v>
      </c>
      <c r="BH268">
        <f t="shared" si="1086"/>
        <v>0.10507880910683012</v>
      </c>
      <c r="BI268">
        <f t="shared" si="1087"/>
        <v>8.6318758815232724E-2</v>
      </c>
      <c r="BJ268">
        <f t="shared" si="1088"/>
        <v>7.4738415545590436E-2</v>
      </c>
      <c r="BK268" s="20">
        <v>0.16700000000000001</v>
      </c>
      <c r="BL268" s="20">
        <v>0.13300000000000001</v>
      </c>
      <c r="BM268" s="20">
        <v>0.183</v>
      </c>
      <c r="BN268" s="21">
        <v>2643485</v>
      </c>
      <c r="BO268" s="21">
        <v>268959</v>
      </c>
      <c r="BT268" s="21">
        <v>1261911</v>
      </c>
      <c r="BU268" s="21">
        <v>248785</v>
      </c>
      <c r="BV268" s="21">
        <v>20119</v>
      </c>
      <c r="BW268" s="21">
        <v>2186</v>
      </c>
      <c r="CB268" s="21">
        <v>8920</v>
      </c>
      <c r="CC268" s="21">
        <v>2088</v>
      </c>
      <c r="CD268" s="21">
        <v>15082</v>
      </c>
      <c r="CE268" s="21">
        <v>1193</v>
      </c>
      <c r="CJ268" s="21">
        <v>5260</v>
      </c>
      <c r="CK268" s="21">
        <v>1124</v>
      </c>
      <c r="CL268" s="21">
        <v>116244</v>
      </c>
      <c r="CM268" s="21">
        <v>12658</v>
      </c>
      <c r="CR268" s="21">
        <v>53928</v>
      </c>
      <c r="CS268" s="21">
        <v>11582</v>
      </c>
    </row>
    <row r="269" spans="1:97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6">-(J269-J268)+L269</f>
        <v>21</v>
      </c>
      <c r="N269" s="7">
        <f t="shared" ref="N269" si="1147">B269-C269</f>
        <v>1017052</v>
      </c>
      <c r="O269" s="4">
        <f t="shared" ref="O269" si="1148">C269/B269</f>
        <v>0.19795848681351871</v>
      </c>
      <c r="R269">
        <f t="shared" ref="R269" si="1149">C269-C268</f>
        <v>4238</v>
      </c>
      <c r="S269">
        <f t="shared" ref="S269" si="1150">N269-N268</f>
        <v>7375</v>
      </c>
      <c r="T269" s="8">
        <f t="shared" ref="T269" si="1151">R269/V269</f>
        <v>0.36493584775682425</v>
      </c>
      <c r="U269" s="8">
        <f t="shared" ref="U269" si="1152">SUM(R263:R269)/SUM(V263:V269)</f>
        <v>0.3696171627447925</v>
      </c>
      <c r="V269">
        <f t="shared" ref="V269" si="1153">B269-B268</f>
        <v>11613</v>
      </c>
      <c r="W269">
        <f t="shared" ref="W269" si="1154">C269-D269-E269</f>
        <v>70207</v>
      </c>
      <c r="X269" s="3">
        <f t="shared" ref="X269" si="1155">F269/W269</f>
        <v>1.2292221573347388E-2</v>
      </c>
      <c r="Y269">
        <f t="shared" ref="Y269" si="1156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7">Z269-AC269-AF269</f>
        <v>694</v>
      </c>
      <c r="AJ269">
        <f t="shared" ref="AJ269" si="1158">AA269-AD269-AG269</f>
        <v>402</v>
      </c>
      <c r="AK269">
        <f t="shared" ref="AK269" si="1159">AB269-AE269-AH269</f>
        <v>2789</v>
      </c>
      <c r="AT269">
        <f t="shared" si="1102"/>
        <v>21830</v>
      </c>
      <c r="AU269">
        <f t="shared" si="1145"/>
        <v>2462</v>
      </c>
      <c r="AV269">
        <f t="shared" si="624"/>
        <v>0.11278057718735685</v>
      </c>
      <c r="AW269">
        <f t="shared" si="1117"/>
        <v>127</v>
      </c>
      <c r="AX269">
        <f t="shared" si="1118"/>
        <v>9</v>
      </c>
      <c r="AY269">
        <f t="shared" si="1119"/>
        <v>1052</v>
      </c>
      <c r="AZ269">
        <f t="shared" si="1120"/>
        <v>82</v>
      </c>
      <c r="BA269">
        <f t="shared" si="1121"/>
        <v>138</v>
      </c>
      <c r="BB269">
        <f t="shared" si="1122"/>
        <v>9</v>
      </c>
      <c r="BC269">
        <f t="shared" si="1103"/>
        <v>7.0866141732283464E-2</v>
      </c>
      <c r="BD269">
        <f t="shared" si="1104"/>
        <v>7.7946768060836502E-2</v>
      </c>
      <c r="BE269">
        <f t="shared" si="682"/>
        <v>6.5217391304347824E-2</v>
      </c>
      <c r="BF269">
        <f t="shared" si="1084"/>
        <v>0.11320675518741867</v>
      </c>
      <c r="BG269">
        <f t="shared" si="1085"/>
        <v>0.14908888579774657</v>
      </c>
      <c r="BH269">
        <f t="shared" si="1086"/>
        <v>9.1743119266055051E-2</v>
      </c>
      <c r="BI269">
        <f t="shared" si="1087"/>
        <v>8.060109289617487E-2</v>
      </c>
      <c r="BJ269">
        <f t="shared" si="1088"/>
        <v>6.9974554707379136E-2</v>
      </c>
      <c r="BK269" s="20">
        <v>0.17299999999999999</v>
      </c>
      <c r="BL269" s="20">
        <v>0.129</v>
      </c>
      <c r="BM269" s="20">
        <v>0.17299999999999999</v>
      </c>
      <c r="BN269" s="21">
        <v>2665315</v>
      </c>
      <c r="BO269" s="21">
        <v>271421</v>
      </c>
      <c r="BT269" s="21">
        <v>1268079</v>
      </c>
      <c r="BU269" s="21">
        <v>251027</v>
      </c>
      <c r="BV269" s="21">
        <v>20246</v>
      </c>
      <c r="BW269" s="21">
        <v>2195</v>
      </c>
      <c r="CB269" s="21">
        <v>8964</v>
      </c>
      <c r="CC269" s="21">
        <v>2094</v>
      </c>
      <c r="CD269" s="21">
        <v>15220</v>
      </c>
      <c r="CE269" s="21">
        <v>1202</v>
      </c>
      <c r="CJ269" s="21">
        <v>5285</v>
      </c>
      <c r="CK269" s="21">
        <v>1135</v>
      </c>
      <c r="CL269" s="21">
        <v>117296</v>
      </c>
      <c r="CM269" s="21">
        <v>12740</v>
      </c>
      <c r="CR269" s="21">
        <v>54139</v>
      </c>
      <c r="CS269" s="21">
        <v>11662</v>
      </c>
    </row>
    <row r="270" spans="1:97" x14ac:dyDescent="0.35">
      <c r="A270" s="14">
        <f t="shared" ref="A270:A310" si="1160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1">-(J270-J269)+L270</f>
        <v>39</v>
      </c>
      <c r="N270" s="7">
        <f t="shared" ref="N270" si="1162">B270-C270</f>
        <v>1020577</v>
      </c>
      <c r="O270" s="4">
        <f t="shared" ref="O270" si="1163">C270/B270</f>
        <v>0.19869523980013254</v>
      </c>
      <c r="R270">
        <f t="shared" ref="R270" si="1164">C270-C269</f>
        <v>2040</v>
      </c>
      <c r="S270">
        <f t="shared" ref="S270" si="1165">N270-N269</f>
        <v>3525</v>
      </c>
      <c r="T270" s="8">
        <f t="shared" ref="T270" si="1166">R270/V270</f>
        <v>0.36657681940700809</v>
      </c>
      <c r="U270" s="8">
        <f t="shared" ref="U270" si="1167">SUM(R264:R270)/SUM(V264:V270)</f>
        <v>0.36677631578947367</v>
      </c>
      <c r="V270">
        <f t="shared" ref="V270" si="1168">B270-B269</f>
        <v>5565</v>
      </c>
      <c r="W270">
        <f t="shared" ref="W270" si="1169">C270-D270-E270</f>
        <v>66736</v>
      </c>
      <c r="X270" s="3">
        <f t="shared" ref="X270" si="1170">F270/W270</f>
        <v>1.2482018700551427E-2</v>
      </c>
      <c r="Y270">
        <f t="shared" ref="Y270" si="1171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2">Z270-AC270-AF270</f>
        <v>694</v>
      </c>
      <c r="AJ270">
        <f t="shared" ref="AJ270" si="1173">AA270-AD270-AG270</f>
        <v>402</v>
      </c>
      <c r="AK270">
        <f t="shared" ref="AK270" si="1174">AB270-AE270-AH270</f>
        <v>2789</v>
      </c>
      <c r="AT270">
        <f t="shared" si="1102"/>
        <v>26494</v>
      </c>
      <c r="AU270">
        <f t="shared" si="1145"/>
        <v>2126</v>
      </c>
      <c r="AV270">
        <f t="shared" si="624"/>
        <v>8.0244583679323619E-2</v>
      </c>
      <c r="AW270">
        <f t="shared" si="1117"/>
        <v>274</v>
      </c>
      <c r="AX270">
        <f t="shared" si="1118"/>
        <v>16</v>
      </c>
      <c r="AY270">
        <f t="shared" si="1119"/>
        <v>1153</v>
      </c>
      <c r="AZ270">
        <f t="shared" si="1120"/>
        <v>65</v>
      </c>
      <c r="BA270">
        <f t="shared" si="1121"/>
        <v>158</v>
      </c>
      <c r="BB270">
        <f t="shared" si="1122"/>
        <v>10</v>
      </c>
      <c r="BC270">
        <f t="shared" si="1103"/>
        <v>5.8394160583941604E-2</v>
      </c>
      <c r="BD270">
        <f t="shared" si="1104"/>
        <v>5.6374674761491758E-2</v>
      </c>
      <c r="BE270">
        <f t="shared" si="682"/>
        <v>6.3291139240506333E-2</v>
      </c>
      <c r="BF270">
        <f t="shared" si="1084"/>
        <v>9.6846797391361636E-2</v>
      </c>
      <c r="BG270">
        <f t="shared" si="1085"/>
        <v>0.1320924600648897</v>
      </c>
      <c r="BH270">
        <f t="shared" si="1086"/>
        <v>7.4999999999999997E-2</v>
      </c>
      <c r="BI270">
        <f t="shared" si="1087"/>
        <v>7.1455505279034687E-2</v>
      </c>
      <c r="BJ270">
        <f t="shared" si="1088"/>
        <v>6.3249727371864781E-2</v>
      </c>
      <c r="BK270" s="20">
        <v>0.153</v>
      </c>
      <c r="BL270" s="20">
        <v>0.13100000000000001</v>
      </c>
      <c r="BM270" s="20">
        <v>0.17299999999999999</v>
      </c>
      <c r="BN270" s="21">
        <v>2691809</v>
      </c>
      <c r="BO270" s="21">
        <v>273547</v>
      </c>
      <c r="BT270" s="21">
        <v>1273644</v>
      </c>
      <c r="BU270" s="21">
        <v>253067</v>
      </c>
      <c r="BV270" s="21">
        <v>20520</v>
      </c>
      <c r="BW270" s="21">
        <v>2211</v>
      </c>
      <c r="CB270" s="21">
        <v>9009</v>
      </c>
      <c r="CC270" s="21">
        <v>2110</v>
      </c>
      <c r="CD270" s="21">
        <v>15378</v>
      </c>
      <c r="CE270" s="21">
        <v>1212</v>
      </c>
      <c r="CJ270" s="21">
        <v>5312</v>
      </c>
      <c r="CK270" s="21">
        <v>1144</v>
      </c>
      <c r="CL270" s="21">
        <v>118449</v>
      </c>
      <c r="CM270" s="21">
        <v>12805</v>
      </c>
      <c r="CR270" s="21">
        <v>54324</v>
      </c>
      <c r="CS270" s="21">
        <v>11731</v>
      </c>
    </row>
    <row r="271" spans="1:97" x14ac:dyDescent="0.35">
      <c r="A271" s="14">
        <f t="shared" si="1160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5">-(J271-J270)+L271</f>
        <v>40</v>
      </c>
      <c r="N271" s="7">
        <f t="shared" ref="N271" si="1176">B271-C271</f>
        <v>1023942</v>
      </c>
      <c r="O271" s="4">
        <f t="shared" ref="O271" si="1177">C271/B271</f>
        <v>0.1993904388980674</v>
      </c>
      <c r="R271">
        <f t="shared" ref="R271" si="1178">C271-C270</f>
        <v>1944</v>
      </c>
      <c r="S271">
        <f t="shared" ref="S271" si="1179">N271-N270</f>
        <v>3365</v>
      </c>
      <c r="T271" s="8">
        <f t="shared" ref="T271" si="1180">R271/V271</f>
        <v>0.36617065360708229</v>
      </c>
      <c r="U271" s="8">
        <f t="shared" ref="U271" si="1181">SUM(R265:R271)/SUM(V265:V271)</f>
        <v>0.36614540621553598</v>
      </c>
      <c r="V271">
        <f t="shared" ref="V271" si="1182">B271-B270</f>
        <v>5309</v>
      </c>
      <c r="W271">
        <f t="shared" ref="W271" si="1183">C271-D271-E271</f>
        <v>64350</v>
      </c>
      <c r="X271" s="3">
        <f t="shared" ref="X271" si="1184">F271/W271</f>
        <v>1.2742812742812743E-2</v>
      </c>
      <c r="Y271">
        <f t="shared" ref="Y271" si="1185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6">Z271-AC271-AF271</f>
        <v>596</v>
      </c>
      <c r="AJ271">
        <f t="shared" ref="AJ271" si="1187">AA271-AD271-AG271</f>
        <v>372</v>
      </c>
      <c r="AK271">
        <f t="shared" ref="AK271" si="1188">AB271-AE271-AH271</f>
        <v>2514</v>
      </c>
      <c r="AT271">
        <f t="shared" ref="AT271" si="1189">BN271-BN270</f>
        <v>25526</v>
      </c>
      <c r="AU271">
        <f t="shared" si="1145"/>
        <v>2124</v>
      </c>
      <c r="AV271">
        <f t="shared" ref="AV271" si="1190">AU271/AT271</f>
        <v>8.3209276815795666E-2</v>
      </c>
      <c r="AW271">
        <f t="shared" ref="AW271" si="1191">BV271-BV270</f>
        <v>177</v>
      </c>
      <c r="AX271">
        <f t="shared" si="1118"/>
        <v>17</v>
      </c>
      <c r="AY271">
        <f t="shared" ref="AY271" si="1192">CL271-CL270</f>
        <v>820</v>
      </c>
      <c r="AZ271">
        <f t="shared" si="1120"/>
        <v>85</v>
      </c>
      <c r="BA271">
        <f t="shared" ref="BA271" si="1193">CD271-CD270</f>
        <v>157</v>
      </c>
      <c r="BB271">
        <f t="shared" si="1122"/>
        <v>9</v>
      </c>
      <c r="BC271">
        <f t="shared" ref="BC271" si="1194">AX271/AW271</f>
        <v>9.6045197740112997E-2</v>
      </c>
      <c r="BD271">
        <f t="shared" ref="BD271" si="1195">AZ271/AY271</f>
        <v>0.10365853658536585</v>
      </c>
      <c r="BE271">
        <f t="shared" si="682"/>
        <v>5.7324840764331211E-2</v>
      </c>
      <c r="BF271">
        <f t="shared" ref="BF271" si="1196">SUM(AU265:AU271)/SUM(AT265:AT271)</f>
        <v>9.386148463227223E-2</v>
      </c>
      <c r="BG271">
        <f t="shared" ref="BG271" si="1197">SUM(AU258:AU271)/SUM(AT258:AT271)</f>
        <v>0.12181159129515937</v>
      </c>
      <c r="BH271">
        <f t="shared" ref="BH271" si="1198">SUM(AX265:AX271)/SUM(AW265:AW271)</f>
        <v>7.8524124881740778E-2</v>
      </c>
      <c r="BI271">
        <f t="shared" ref="BI271" si="1199">SUM(AZ265:AZ271)/SUM(AY265:AY271)</f>
        <v>7.5767472240365771E-2</v>
      </c>
      <c r="BJ271">
        <f t="shared" ref="BJ271" si="1200">SUM(BB265:BB271)/SUM(BA265:BA271)</f>
        <v>6.2383612662942269E-2</v>
      </c>
      <c r="BK271" s="20">
        <v>0.14499999999999999</v>
      </c>
      <c r="BL271" s="20">
        <v>0.13100000000000001</v>
      </c>
      <c r="BM271" s="20">
        <v>0.14799999999999999</v>
      </c>
      <c r="BN271" s="21">
        <v>2717335</v>
      </c>
      <c r="BO271" s="21">
        <v>275671</v>
      </c>
      <c r="BT271" s="21">
        <v>1278953</v>
      </c>
      <c r="BU271" s="21">
        <v>255011</v>
      </c>
      <c r="BV271" s="21">
        <v>20697</v>
      </c>
      <c r="BW271" s="21">
        <v>2228</v>
      </c>
      <c r="CB271" s="21">
        <v>9044</v>
      </c>
      <c r="CC271" s="21">
        <v>2123</v>
      </c>
      <c r="CD271" s="21">
        <v>15535</v>
      </c>
      <c r="CE271" s="21">
        <v>1221</v>
      </c>
      <c r="CJ271" s="21">
        <v>5326</v>
      </c>
      <c r="CK271" s="21">
        <v>1151</v>
      </c>
      <c r="CL271" s="21">
        <v>119269</v>
      </c>
      <c r="CM271" s="21">
        <v>12890</v>
      </c>
      <c r="CR271" s="21">
        <v>54487</v>
      </c>
      <c r="CS271" s="21">
        <v>11803</v>
      </c>
    </row>
    <row r="272" spans="1:97" x14ac:dyDescent="0.35">
      <c r="A272" s="14">
        <f t="shared" si="1160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1">-(J272-J271)+L272</f>
        <v>37</v>
      </c>
      <c r="N272" s="7">
        <f t="shared" ref="N272" si="1202">B272-C272</f>
        <v>1026451</v>
      </c>
      <c r="O272" s="4">
        <f t="shared" ref="O272" si="1203">C272/B272</f>
        <v>0.19977251093202691</v>
      </c>
      <c r="R272">
        <f t="shared" ref="R272" si="1204">C272-C271</f>
        <v>1237</v>
      </c>
      <c r="S272">
        <f t="shared" ref="S272" si="1205">N272-N271</f>
        <v>2509</v>
      </c>
      <c r="T272" s="8">
        <f t="shared" ref="T272" si="1206">R272/V272</f>
        <v>0.33021890016017086</v>
      </c>
      <c r="U272" s="8">
        <f t="shared" ref="U272" si="1207">SUM(R266:R272)/SUM(V266:V272)</f>
        <v>0.36552726841137023</v>
      </c>
      <c r="V272">
        <f t="shared" ref="V272" si="1208">B272-B271</f>
        <v>3746</v>
      </c>
      <c r="W272">
        <f t="shared" ref="W272" si="1209">C272-D272-E272</f>
        <v>64109</v>
      </c>
      <c r="X272" s="3">
        <f t="shared" ref="X272" si="1210">F272/W272</f>
        <v>1.1683227004008798E-2</v>
      </c>
      <c r="Y272">
        <f t="shared" ref="Y272" si="1211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2">Z272-AC272-AF272</f>
        <v>548</v>
      </c>
      <c r="AJ272">
        <f t="shared" ref="AJ272" si="1213">AA272-AD272-AG272</f>
        <v>347</v>
      </c>
      <c r="AK272">
        <f t="shared" ref="AK272" si="1214">AB272-AE272-AH272</f>
        <v>2383</v>
      </c>
      <c r="AT272">
        <f t="shared" ref="AT272" si="1215">BN272-BN271</f>
        <v>10268</v>
      </c>
      <c r="AU272">
        <f t="shared" si="1145"/>
        <v>1335</v>
      </c>
      <c r="AV272">
        <f t="shared" ref="AV272" si="1216">AU272/AT272</f>
        <v>0.13001558239189714</v>
      </c>
      <c r="AW272">
        <f t="shared" ref="AW272" si="1217">BV272-BV271</f>
        <v>57</v>
      </c>
      <c r="AX272">
        <f t="shared" si="1118"/>
        <v>4</v>
      </c>
      <c r="AY272">
        <f t="shared" ref="AY272" si="1218">CL272-CL271</f>
        <v>509</v>
      </c>
      <c r="AZ272">
        <f t="shared" si="1120"/>
        <v>35</v>
      </c>
      <c r="BA272">
        <f t="shared" ref="BA272" si="1219">CD272-CD271</f>
        <v>33</v>
      </c>
      <c r="BB272">
        <f t="shared" si="1122"/>
        <v>1</v>
      </c>
      <c r="BC272">
        <f t="shared" ref="BC272" si="1220">AX272/AW272</f>
        <v>7.0175438596491224E-2</v>
      </c>
      <c r="BD272">
        <f t="shared" ref="BD272" si="1221">AZ272/AY272</f>
        <v>6.8762278978389005E-2</v>
      </c>
      <c r="BE272">
        <f t="shared" si="682"/>
        <v>3.0303030303030304E-2</v>
      </c>
      <c r="BF272">
        <f t="shared" ref="BF272" si="1222">SUM(AU266:AU272)/SUM(AT266:AT272)</f>
        <v>9.4854710346104015E-2</v>
      </c>
      <c r="BG272">
        <f t="shared" ref="BG272" si="1223">SUM(AU259:AU272)/SUM(AT259:AT272)</f>
        <v>0.11861289135864619</v>
      </c>
      <c r="BH272">
        <f t="shared" ref="BH272" si="1224">SUM(AX266:AX272)/SUM(AW266:AW272)</f>
        <v>7.5961538461538455E-2</v>
      </c>
      <c r="BI272">
        <f t="shared" ref="BI272" si="1225">SUM(AZ266:AZ272)/SUM(AY266:AY272)</f>
        <v>7.1644803229061554E-2</v>
      </c>
      <c r="BJ272">
        <f t="shared" ref="BJ272" si="1226">SUM(BB266:BB272)/SUM(BA266:BA272)</f>
        <v>6.6445182724252497E-2</v>
      </c>
      <c r="BK272" s="20">
        <v>0.13700000000000001</v>
      </c>
      <c r="BL272" s="20">
        <v>0.128</v>
      </c>
      <c r="BM272" s="20">
        <v>0.14599999999999999</v>
      </c>
      <c r="BN272" s="21">
        <v>2727603</v>
      </c>
      <c r="BO272" s="21">
        <v>277006</v>
      </c>
      <c r="BT272" s="21">
        <v>1282699</v>
      </c>
      <c r="BU272" s="21">
        <v>256248</v>
      </c>
      <c r="BV272" s="21">
        <v>20754</v>
      </c>
      <c r="BW272" s="21">
        <v>2232</v>
      </c>
      <c r="CB272" s="21">
        <v>9064</v>
      </c>
      <c r="CC272" s="21">
        <v>2124</v>
      </c>
      <c r="CD272" s="21">
        <v>15568</v>
      </c>
      <c r="CE272" s="21">
        <v>1222</v>
      </c>
      <c r="CJ272" s="21">
        <v>5338</v>
      </c>
      <c r="CK272" s="21">
        <v>1152</v>
      </c>
      <c r="CL272" s="21">
        <v>119778</v>
      </c>
      <c r="CM272" s="21">
        <v>12925</v>
      </c>
      <c r="CR272" s="21">
        <v>59591</v>
      </c>
      <c r="CS272" s="21">
        <v>11841</v>
      </c>
    </row>
    <row r="273" spans="1:97" x14ac:dyDescent="0.35">
      <c r="A273" s="14">
        <f t="shared" si="1160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27">-(J273-J272)+L273</f>
        <v>18</v>
      </c>
      <c r="N273" s="7">
        <f t="shared" ref="N273" si="1228">B273-C273</f>
        <v>1027989</v>
      </c>
      <c r="O273" s="4">
        <f t="shared" ref="O273" si="1229">C273/B273</f>
        <v>0.19993820468259077</v>
      </c>
      <c r="R273">
        <f t="shared" ref="R273" si="1230">C273-C272</f>
        <v>650</v>
      </c>
      <c r="S273">
        <f t="shared" ref="S273" si="1231">N273-N272</f>
        <v>1538</v>
      </c>
      <c r="T273" s="8">
        <f t="shared" ref="T273" si="1232">R273/V273</f>
        <v>0.29707495429616088</v>
      </c>
      <c r="U273" s="8">
        <f t="shared" ref="U273" si="1233">SUM(R267:R273)/SUM(V267:V273)</f>
        <v>0.35976592822595094</v>
      </c>
      <c r="V273">
        <f t="shared" ref="V273" si="1234">B273-B272</f>
        <v>2188</v>
      </c>
      <c r="W273">
        <f t="shared" ref="W273" si="1235">C273-D273-E273</f>
        <v>63464</v>
      </c>
      <c r="X273" s="3">
        <f t="shared" ref="X273" si="1236">F273/W273</f>
        <v>1.2038320937854532E-2</v>
      </c>
      <c r="Y273">
        <f t="shared" ref="Y273" si="1237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38">Z273-AC273-AF273</f>
        <v>534</v>
      </c>
      <c r="AJ273">
        <f t="shared" ref="AJ273" si="1239">AA273-AD273-AG273</f>
        <v>340</v>
      </c>
      <c r="AK273">
        <f t="shared" ref="AK273" si="1240">AB273-AE273-AH273</f>
        <v>2361</v>
      </c>
      <c r="AT273">
        <f t="shared" ref="AT273:AT278" si="1241">BN273-BN272</f>
        <v>6233</v>
      </c>
      <c r="AU273">
        <f t="shared" si="1145"/>
        <v>702</v>
      </c>
      <c r="AV273">
        <f t="shared" ref="AV273" si="1242">AU273/AT273</f>
        <v>0.11262634365474089</v>
      </c>
      <c r="AW273">
        <f t="shared" ref="AW273" si="1243">BV273-BV272</f>
        <v>25</v>
      </c>
      <c r="AX273">
        <f t="shared" si="1118"/>
        <v>-3</v>
      </c>
      <c r="AY273">
        <f t="shared" ref="AY273" si="1244">CL273-CL272</f>
        <v>189</v>
      </c>
      <c r="AZ273">
        <f t="shared" si="1120"/>
        <v>8</v>
      </c>
      <c r="BA273">
        <f t="shared" ref="BA273" si="1245">CD273-CD272</f>
        <v>24</v>
      </c>
      <c r="BB273">
        <f t="shared" si="1122"/>
        <v>3</v>
      </c>
      <c r="BC273">
        <f t="shared" ref="BC273" si="1246">AX273/AW273</f>
        <v>-0.12</v>
      </c>
      <c r="BD273">
        <f t="shared" ref="BD273" si="1247">AZ273/AY273</f>
        <v>4.2328042328042326E-2</v>
      </c>
      <c r="BE273">
        <f t="shared" si="682"/>
        <v>0.125</v>
      </c>
      <c r="BF273">
        <f t="shared" ref="BF273" si="1248">SUM(AU267:AU273)/SUM(AT267:AT273)</f>
        <v>9.5823891226934285E-2</v>
      </c>
      <c r="BG273">
        <f t="shared" ref="BG273" si="1249">SUM(AU260:AU273)/SUM(AT260:AT273)</f>
        <v>0.11580933743360358</v>
      </c>
      <c r="BH273">
        <f t="shared" ref="BH273" si="1250">SUM(AX267:AX273)/SUM(AW267:AW273)</f>
        <v>7.3194856577645892E-2</v>
      </c>
      <c r="BI273">
        <f t="shared" ref="BI273" si="1251">SUM(AZ267:AZ273)/SUM(AY267:AY273)</f>
        <v>7.0940170940170938E-2</v>
      </c>
      <c r="BJ273">
        <f t="shared" ref="BJ273" si="1252">SUM(BB267:BB273)/SUM(BA267:BA273)</f>
        <v>6.6815144766147E-2</v>
      </c>
      <c r="BK273" s="20">
        <v>0.13500000000000001</v>
      </c>
      <c r="BL273" s="20">
        <v>0.126</v>
      </c>
      <c r="BM273" s="20">
        <v>0.14199999999999999</v>
      </c>
      <c r="BN273" s="21">
        <v>2733836</v>
      </c>
      <c r="BO273" s="21">
        <v>277708</v>
      </c>
      <c r="BT273" s="21">
        <v>1284887</v>
      </c>
      <c r="BU273" s="21">
        <v>256898</v>
      </c>
      <c r="BV273" s="21">
        <v>20779</v>
      </c>
      <c r="BW273" s="21">
        <v>2229</v>
      </c>
      <c r="CB273" s="21">
        <v>9076</v>
      </c>
      <c r="CC273" s="21">
        <v>2127</v>
      </c>
      <c r="CD273" s="21">
        <v>15592</v>
      </c>
      <c r="CE273" s="21">
        <v>1225</v>
      </c>
      <c r="CJ273" s="21">
        <v>5345</v>
      </c>
      <c r="CK273" s="21">
        <v>1153</v>
      </c>
      <c r="CL273" s="21">
        <v>119967</v>
      </c>
      <c r="CM273" s="21">
        <v>12933</v>
      </c>
      <c r="CR273" s="21">
        <v>54635</v>
      </c>
      <c r="CS273" s="21">
        <v>11847</v>
      </c>
    </row>
    <row r="274" spans="1:97" x14ac:dyDescent="0.35">
      <c r="A274" s="14">
        <f t="shared" si="1160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3">-(J274-J273)+L274</f>
        <v>14</v>
      </c>
      <c r="N274" s="7">
        <f t="shared" ref="N274" si="1254">B274-C274</f>
        <v>1030635</v>
      </c>
      <c r="O274" s="4">
        <f t="shared" ref="O274" si="1255">C274/B274</f>
        <v>0.2003669838658996</v>
      </c>
      <c r="R274">
        <f t="shared" ref="R274" si="1256">C274-C273</f>
        <v>1352</v>
      </c>
      <c r="S274">
        <f t="shared" ref="S274" si="1257">N274-N273</f>
        <v>2646</v>
      </c>
      <c r="T274" s="8">
        <f t="shared" ref="T274" si="1258">R274/V274</f>
        <v>0.33816908454227113</v>
      </c>
      <c r="U274" s="8">
        <f t="shared" ref="U274" si="1259">SUM(R268:R274)/SUM(V268:V274)</f>
        <v>0.35465390975667377</v>
      </c>
      <c r="V274">
        <f t="shared" ref="V274" si="1260">B274-B273</f>
        <v>3998</v>
      </c>
      <c r="W274">
        <f t="shared" ref="W274" si="1261">C274-D274-E274</f>
        <v>58832</v>
      </c>
      <c r="X274" s="3">
        <f t="shared" ref="X274" si="1262">F274/W274</f>
        <v>1.3564046777264074E-2</v>
      </c>
      <c r="Y274">
        <f t="shared" ref="Y274" si="1263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4">Z274-AC274-AF274</f>
        <v>529</v>
      </c>
      <c r="AJ274">
        <f t="shared" ref="AJ274:AJ276" si="1265">AA274-AD274-AG274</f>
        <v>334</v>
      </c>
      <c r="AK274">
        <f t="shared" ref="AK274:AK276" si="1266">AB274-AE274-AH274</f>
        <v>2314</v>
      </c>
      <c r="AT274">
        <f t="shared" si="1241"/>
        <v>22731</v>
      </c>
      <c r="AU274">
        <f t="shared" si="1145"/>
        <v>1436</v>
      </c>
      <c r="AV274">
        <f t="shared" ref="AV274" si="1267">AU274/AT274</f>
        <v>6.3173639523118205E-2</v>
      </c>
      <c r="AW274">
        <f t="shared" ref="AW274" si="1268">BV274-BV273</f>
        <v>231</v>
      </c>
      <c r="AX274">
        <f t="shared" si="1118"/>
        <v>13</v>
      </c>
      <c r="AY274">
        <f t="shared" ref="AY274" si="1269">CL274-CL273</f>
        <v>920</v>
      </c>
      <c r="AZ274">
        <f t="shared" si="1120"/>
        <v>40</v>
      </c>
      <c r="BA274">
        <f t="shared" ref="BA274" si="1270">CD274-CD273</f>
        <v>209</v>
      </c>
      <c r="BB274">
        <f t="shared" si="1122"/>
        <v>4</v>
      </c>
      <c r="BC274">
        <f t="shared" ref="BC274" si="1271">AX274/AW274</f>
        <v>5.627705627705628E-2</v>
      </c>
      <c r="BD274">
        <f t="shared" ref="BD274" si="1272">AZ274/AY274</f>
        <v>4.3478260869565216E-2</v>
      </c>
      <c r="BE274">
        <f t="shared" si="682"/>
        <v>1.9138755980861243E-2</v>
      </c>
      <c r="BF274">
        <f t="shared" ref="BF274" si="1273">SUM(AU268:AU274)/SUM(AT268:AT274)</f>
        <v>9.0407519850537132E-2</v>
      </c>
      <c r="BG274">
        <f t="shared" ref="BG274" si="1274">SUM(AU261:AU274)/SUM(AT261:AT274)</f>
        <v>0.10536391918225017</v>
      </c>
      <c r="BH274">
        <f t="shared" ref="BH274" si="1275">SUM(AX268:AX274)/SUM(AW268:AW274)</f>
        <v>6.955645161290322E-2</v>
      </c>
      <c r="BI274">
        <f t="shared" ref="BI274" si="1276">SUM(AZ268:AZ274)/SUM(AY268:AY274)</f>
        <v>7.0950226244343897E-2</v>
      </c>
      <c r="BJ274">
        <f t="shared" ref="BJ274" si="1277">SUM(BB268:BB274)/SUM(BA268:BA274)</f>
        <v>5.7142857142857141E-2</v>
      </c>
      <c r="BK274" s="20">
        <v>0.13</v>
      </c>
      <c r="BL274" s="20">
        <v>0.112</v>
      </c>
      <c r="BM274" s="20">
        <v>0.123</v>
      </c>
      <c r="BN274" s="21">
        <v>2756567</v>
      </c>
      <c r="BO274" s="21">
        <v>279144</v>
      </c>
      <c r="BT274" s="21">
        <v>1288885</v>
      </c>
      <c r="BU274" s="21">
        <v>258250</v>
      </c>
      <c r="BV274" s="21">
        <v>21010</v>
      </c>
      <c r="BW274" s="21">
        <v>2242</v>
      </c>
      <c r="CB274" s="21">
        <v>9116</v>
      </c>
      <c r="CC274" s="21">
        <v>2141</v>
      </c>
      <c r="CD274" s="21">
        <v>15801</v>
      </c>
      <c r="CE274" s="21">
        <v>1229</v>
      </c>
      <c r="CJ274" s="21">
        <v>5358</v>
      </c>
      <c r="CK274" s="21">
        <v>1157</v>
      </c>
      <c r="CL274" s="21">
        <v>120887</v>
      </c>
      <c r="CM274" s="21">
        <v>12973</v>
      </c>
      <c r="CR274" s="21">
        <v>54765</v>
      </c>
      <c r="CS274" s="21">
        <v>11883</v>
      </c>
    </row>
    <row r="275" spans="1:97" x14ac:dyDescent="0.35">
      <c r="A275" s="14">
        <f t="shared" si="1160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78">-(J275-J274)+L275</f>
        <v>27</v>
      </c>
      <c r="N275" s="7">
        <f t="shared" ref="N275" si="1279">B275-C275</f>
        <v>1034375</v>
      </c>
      <c r="O275" s="4">
        <f t="shared" ref="O275" si="1280">C275/B275</f>
        <v>0.2010055646703682</v>
      </c>
      <c r="R275">
        <f t="shared" ref="R275" si="1281">C275-C274</f>
        <v>1971</v>
      </c>
      <c r="S275">
        <f t="shared" ref="S275" si="1282">N275-N274</f>
        <v>3740</v>
      </c>
      <c r="T275" s="8">
        <f t="shared" ref="T275" si="1283">R275/V275</f>
        <v>0.34512344598143935</v>
      </c>
      <c r="U275" s="8">
        <f t="shared" ref="U275" si="1284">SUM(R269:R275)/SUM(V269:V275)</f>
        <v>0.35226855494361398</v>
      </c>
      <c r="V275">
        <f t="shared" ref="V275" si="1285">B275-B274</f>
        <v>5711</v>
      </c>
      <c r="W275">
        <f t="shared" ref="W275" si="1286">C275-D275-E275</f>
        <v>56107</v>
      </c>
      <c r="X275" s="3">
        <f t="shared" ref="X275" si="1287">F275/W275</f>
        <v>1.3830716309907854E-2</v>
      </c>
      <c r="Y275">
        <f t="shared" ref="Y275:Y280" si="1288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4"/>
        <v>467</v>
      </c>
      <c r="AJ275">
        <f t="shared" si="1265"/>
        <v>314</v>
      </c>
      <c r="AK275">
        <f t="shared" si="1266"/>
        <v>2080</v>
      </c>
      <c r="AT275">
        <f t="shared" si="1241"/>
        <v>28642</v>
      </c>
      <c r="AU275">
        <f t="shared" si="1145"/>
        <v>2139</v>
      </c>
      <c r="AV275">
        <f t="shared" ref="AV275" si="1289">AU275/AT275</f>
        <v>7.4680539068500806E-2</v>
      </c>
      <c r="AW275">
        <f t="shared" ref="AW275" si="1290">BV275-BV274</f>
        <v>118</v>
      </c>
      <c r="AX275">
        <f t="shared" si="1118"/>
        <v>11</v>
      </c>
      <c r="AY275">
        <f t="shared" ref="AY275" si="1291">CL275-CL274</f>
        <v>778</v>
      </c>
      <c r="AZ275">
        <f t="shared" si="1120"/>
        <v>62</v>
      </c>
      <c r="BA275">
        <f t="shared" ref="BA275" si="1292">CD275-CD274</f>
        <v>128</v>
      </c>
      <c r="BB275">
        <f t="shared" si="1122"/>
        <v>6</v>
      </c>
      <c r="BC275">
        <f t="shared" ref="BC275" si="1293">AX275/AW275</f>
        <v>9.3220338983050849E-2</v>
      </c>
      <c r="BD275">
        <f t="shared" ref="BD275" si="1294">AZ275/AY275</f>
        <v>7.9691516709511565E-2</v>
      </c>
      <c r="BE275">
        <f t="shared" si="682"/>
        <v>4.6875E-2</v>
      </c>
      <c r="BF275">
        <f t="shared" ref="BF275" si="1295">SUM(AU269:AU275)/SUM(AT269:AT275)</f>
        <v>8.6957748863989159E-2</v>
      </c>
      <c r="BG275">
        <f t="shared" ref="BG275" si="1296">SUM(AU262:AU275)/SUM(AT262:AT275)</f>
        <v>9.8093727178867315E-2</v>
      </c>
      <c r="BH275">
        <f t="shared" ref="BH275" si="1297">SUM(AX269:AX275)/SUM(AW269:AW275)</f>
        <v>6.6402378592666012E-2</v>
      </c>
      <c r="BI275">
        <f t="shared" ref="BI275" si="1298">SUM(AZ269:AZ275)/SUM(AY269:AY275)</f>
        <v>6.9544364508393283E-2</v>
      </c>
      <c r="BJ275">
        <f t="shared" ref="BJ275" si="1299">SUM(BB269:BB275)/SUM(BA269:BA275)</f>
        <v>4.9586776859504134E-2</v>
      </c>
      <c r="BK275" s="20">
        <v>0.11899999999999999</v>
      </c>
      <c r="BL275" s="20">
        <v>0.113</v>
      </c>
      <c r="BM275" s="20">
        <v>0.12</v>
      </c>
      <c r="BN275" s="21">
        <v>2785209</v>
      </c>
      <c r="BO275" s="21">
        <v>281283</v>
      </c>
      <c r="BT275" s="21">
        <v>1294597</v>
      </c>
      <c r="BU275" s="21">
        <v>260220</v>
      </c>
      <c r="BV275" s="21">
        <v>21128</v>
      </c>
      <c r="BW275" s="21">
        <v>2253</v>
      </c>
      <c r="CB275" s="21">
        <v>9142</v>
      </c>
      <c r="CC275" s="21">
        <v>2147</v>
      </c>
      <c r="CD275" s="21">
        <v>15929</v>
      </c>
      <c r="CE275" s="21">
        <v>1235</v>
      </c>
      <c r="CJ275" s="21">
        <v>5369</v>
      </c>
      <c r="CK275" s="21">
        <v>1164</v>
      </c>
      <c r="CL275" s="21">
        <v>121665</v>
      </c>
      <c r="CM275" s="21">
        <v>13035</v>
      </c>
      <c r="CR275" s="21">
        <v>54933</v>
      </c>
      <c r="CS275" s="21">
        <v>11941</v>
      </c>
    </row>
    <row r="276" spans="1:97" x14ac:dyDescent="0.35">
      <c r="A276" s="14">
        <f t="shared" si="1160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0">-(J276-J275)+L276</f>
        <v>27</v>
      </c>
      <c r="N276" s="7">
        <f t="shared" ref="N276" si="1301">B276-C276</f>
        <v>1038248</v>
      </c>
      <c r="O276" s="4">
        <f t="shared" ref="O276" si="1302">C276/B276</f>
        <v>0.20162159751346845</v>
      </c>
      <c r="R276">
        <f t="shared" ref="R276" si="1303">C276-C275</f>
        <v>1977</v>
      </c>
      <c r="S276">
        <f t="shared" ref="S276" si="1304">N276-N275</f>
        <v>3873</v>
      </c>
      <c r="T276" s="8">
        <f t="shared" ref="T276" si="1305">R276/V276</f>
        <v>0.33794871794871795</v>
      </c>
      <c r="U276" s="8">
        <f t="shared" ref="U276" si="1306">SUM(R270:R276)/SUM(V270:V276)</f>
        <v>0.34513547749250778</v>
      </c>
      <c r="V276">
        <f t="shared" ref="V276" si="1307">B276-B275</f>
        <v>5850</v>
      </c>
      <c r="W276">
        <f t="shared" ref="W276" si="1308">C276-D276-E276</f>
        <v>53908</v>
      </c>
      <c r="X276" s="3">
        <f t="shared" ref="X276" si="1309">F276/W276</f>
        <v>1.3838391333382801E-2</v>
      </c>
      <c r="Y276">
        <f t="shared" si="1288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4"/>
        <v>436</v>
      </c>
      <c r="AJ276">
        <f t="shared" si="1265"/>
        <v>297</v>
      </c>
      <c r="AK276">
        <f t="shared" si="1266"/>
        <v>1951</v>
      </c>
      <c r="AT276">
        <f t="shared" si="1241"/>
        <v>23372</v>
      </c>
      <c r="AU276">
        <f t="shared" si="1145"/>
        <v>2138</v>
      </c>
      <c r="AV276">
        <f t="shared" ref="AV276" si="1310">AU276/AT276</f>
        <v>9.1476981002909463E-2</v>
      </c>
      <c r="AW276">
        <f t="shared" ref="AW276" si="1311">BV276-BV275</f>
        <v>193</v>
      </c>
      <c r="AX276">
        <f t="shared" si="1118"/>
        <v>9</v>
      </c>
      <c r="AY276">
        <f t="shared" ref="AY276" si="1312">CL276-CL275</f>
        <v>801</v>
      </c>
      <c r="AZ276">
        <f t="shared" si="1120"/>
        <v>65</v>
      </c>
      <c r="BA276">
        <f t="shared" ref="BA276" si="1313">CD276-CD275</f>
        <v>118</v>
      </c>
      <c r="BB276">
        <f t="shared" si="1122"/>
        <v>8</v>
      </c>
      <c r="BC276">
        <f t="shared" ref="BC276" si="1314">AX276/AW276</f>
        <v>4.6632124352331605E-2</v>
      </c>
      <c r="BD276">
        <f t="shared" ref="BD276" si="1315">AZ276/AY276</f>
        <v>8.1148564294631714E-2</v>
      </c>
      <c r="BE276">
        <f t="shared" si="682"/>
        <v>6.7796610169491525E-2</v>
      </c>
      <c r="BF276">
        <f t="shared" ref="BF276" si="1316">SUM(AU270:AU276)/SUM(AT270:AT276)</f>
        <v>8.3760278084123244E-2</v>
      </c>
      <c r="BG276">
        <f t="shared" ref="BG276" si="1317">SUM(AU263:AU276)/SUM(AT263:AT276)</f>
        <v>9.3560960616940719E-2</v>
      </c>
      <c r="BH276">
        <f t="shared" ref="BH276" si="1318">SUM(AX270:AX276)/SUM(AW270:AW276)</f>
        <v>6.2325581395348835E-2</v>
      </c>
      <c r="BI276">
        <f t="shared" ref="BI276" si="1319">SUM(AZ270:AZ276)/SUM(AY270:AY276)</f>
        <v>6.9632495164410058E-2</v>
      </c>
      <c r="BJ276">
        <f t="shared" ref="BJ276" si="1320">SUM(BB270:BB276)/SUM(BA270:BA276)</f>
        <v>4.9576783555018135E-2</v>
      </c>
      <c r="BK276" s="20">
        <v>0.11</v>
      </c>
      <c r="BL276" s="20">
        <v>0.113</v>
      </c>
      <c r="BM276" s="20">
        <v>0.107</v>
      </c>
      <c r="BN276" s="21">
        <v>2808581</v>
      </c>
      <c r="BO276" s="21">
        <v>283421</v>
      </c>
      <c r="BT276" s="21">
        <v>1300446</v>
      </c>
      <c r="BU276" s="21">
        <v>262198</v>
      </c>
      <c r="BV276" s="21">
        <v>21321</v>
      </c>
      <c r="BW276" s="21">
        <v>2262</v>
      </c>
      <c r="CB276" s="21">
        <v>9177</v>
      </c>
      <c r="CC276" s="21">
        <v>2154</v>
      </c>
      <c r="CD276" s="21">
        <v>16047</v>
      </c>
      <c r="CE276" s="21">
        <v>1243</v>
      </c>
      <c r="CJ276" s="21">
        <v>5390</v>
      </c>
      <c r="CK276" s="21">
        <v>1172</v>
      </c>
      <c r="CL276" s="21">
        <v>122466</v>
      </c>
      <c r="CM276" s="21">
        <v>13100</v>
      </c>
      <c r="CR276" s="21">
        <v>55170</v>
      </c>
      <c r="CS276" s="21">
        <v>12005</v>
      </c>
    </row>
    <row r="277" spans="1:97" x14ac:dyDescent="0.35">
      <c r="A277" s="14">
        <f t="shared" si="1160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1">-(J277-J276)+L277</f>
        <v>25</v>
      </c>
      <c r="N277" s="7">
        <f t="shared" ref="N277" si="1322">B277-C277</f>
        <v>1041828</v>
      </c>
      <c r="O277" s="4">
        <f t="shared" ref="O277" si="1323">C277/B277</f>
        <v>0.20223350238259141</v>
      </c>
      <c r="R277">
        <f t="shared" ref="R277" si="1324">C277-C276</f>
        <v>1905</v>
      </c>
      <c r="S277">
        <f t="shared" ref="S277" si="1325">N277-N276</f>
        <v>3580</v>
      </c>
      <c r="T277" s="8">
        <f t="shared" ref="T277" si="1326">R277/V277</f>
        <v>0.34731084776663629</v>
      </c>
      <c r="U277" s="8">
        <f t="shared" ref="U277" si="1327">SUM(R271:R277)/SUM(V271:V277)</f>
        <v>0.34180939697091711</v>
      </c>
      <c r="V277">
        <f t="shared" ref="V277" si="1328">B277-B276</f>
        <v>5485</v>
      </c>
      <c r="W277">
        <f t="shared" ref="W277" si="1329">C277-D277-E277</f>
        <v>51971</v>
      </c>
      <c r="X277" s="3">
        <f t="shared" ref="X277" si="1330">F277/W277</f>
        <v>1.3488291547209021E-2</v>
      </c>
      <c r="Y277">
        <f t="shared" si="1288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1">Z277-AC277-AF277</f>
        <v>399</v>
      </c>
      <c r="AJ277">
        <f t="shared" ref="AJ277:AJ278" si="1332">AA277-AD277-AG277</f>
        <v>287</v>
      </c>
      <c r="AK277">
        <f t="shared" ref="AK277:AK278" si="1333">AB277-AE277-AH277</f>
        <v>1767</v>
      </c>
      <c r="AT277">
        <f t="shared" si="1241"/>
        <v>25389</v>
      </c>
      <c r="AU277">
        <f t="shared" si="1145"/>
        <v>2055</v>
      </c>
      <c r="AV277">
        <f t="shared" ref="AV277" si="1334">AU277/AT277</f>
        <v>8.0940564811532556E-2</v>
      </c>
      <c r="AW277">
        <f t="shared" ref="AW277" si="1335">BV277-BV276</f>
        <v>239</v>
      </c>
      <c r="AX277">
        <f t="shared" si="1118"/>
        <v>8</v>
      </c>
      <c r="AY277">
        <f t="shared" ref="AY277" si="1336">CL277-CL276</f>
        <v>1479</v>
      </c>
      <c r="AZ277">
        <f t="shared" si="1120"/>
        <v>106</v>
      </c>
      <c r="BA277">
        <f t="shared" ref="BA277" si="1337">CD277-CD276</f>
        <v>160</v>
      </c>
      <c r="BB277">
        <f t="shared" si="1122"/>
        <v>7</v>
      </c>
      <c r="BC277">
        <f t="shared" ref="BC277" si="1338">AX277/AW277</f>
        <v>3.3472803347280332E-2</v>
      </c>
      <c r="BD277">
        <f t="shared" ref="BD277" si="1339">AZ277/AY277</f>
        <v>7.1670047329276537E-2</v>
      </c>
      <c r="BE277">
        <f t="shared" si="682"/>
        <v>4.3749999999999997E-2</v>
      </c>
      <c r="BF277">
        <f t="shared" ref="BF277" si="1340">SUM(AU271:AU277)/SUM(AT271:AT277)</f>
        <v>8.3911902701866201E-2</v>
      </c>
      <c r="BG277">
        <f t="shared" ref="BG277" si="1341">SUM(AU264:AU277)/SUM(AT264:AT277)</f>
        <v>8.896301282353597E-2</v>
      </c>
      <c r="BH277">
        <f t="shared" ref="BH277" si="1342">SUM(AX271:AX277)/SUM(AW271:AW277)</f>
        <v>5.673076923076923E-2</v>
      </c>
      <c r="BI277">
        <f t="shared" ref="BI277" si="1343">SUM(AZ271:AZ277)/SUM(AY271:AY277)</f>
        <v>7.2962154294032022E-2</v>
      </c>
      <c r="BJ277">
        <f t="shared" ref="BJ277" si="1344">SUM(BB271:BB277)/SUM(BA271:BA277)</f>
        <v>4.5838359469240045E-2</v>
      </c>
      <c r="BK277" s="20">
        <v>0.104</v>
      </c>
      <c r="BL277" s="20">
        <v>0.115</v>
      </c>
      <c r="BM277" s="20">
        <v>0.10100000000000001</v>
      </c>
      <c r="BN277" s="21">
        <v>2833970</v>
      </c>
      <c r="BO277" s="21">
        <v>285476</v>
      </c>
      <c r="BT277" s="21">
        <v>1305931</v>
      </c>
      <c r="BU277" s="21">
        <v>264103</v>
      </c>
      <c r="BV277" s="21">
        <v>21560</v>
      </c>
      <c r="BW277" s="21">
        <v>2270</v>
      </c>
      <c r="CB277" s="21">
        <v>9213</v>
      </c>
      <c r="CC277" s="21">
        <v>2165</v>
      </c>
      <c r="CD277" s="21">
        <v>16207</v>
      </c>
      <c r="CE277" s="21">
        <v>1250</v>
      </c>
      <c r="CJ277" s="21">
        <v>5412</v>
      </c>
      <c r="CK277" s="21">
        <v>1177</v>
      </c>
      <c r="CL277" s="21">
        <v>123945</v>
      </c>
      <c r="CM277" s="21">
        <v>13206</v>
      </c>
      <c r="CR277" s="21">
        <v>55428</v>
      </c>
      <c r="CS277" s="21">
        <v>12098</v>
      </c>
    </row>
    <row r="278" spans="1:97" x14ac:dyDescent="0.35">
      <c r="A278" s="14">
        <f t="shared" si="1160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45">-(J278-J277)+L278</f>
        <v>17</v>
      </c>
      <c r="N278" s="7">
        <f t="shared" ref="N278" si="1346">B278-C278</f>
        <v>1045822</v>
      </c>
      <c r="O278" s="4">
        <f t="shared" ref="O278" si="1347">C278/B278</f>
        <v>0.20276351206616208</v>
      </c>
      <c r="R278">
        <f t="shared" ref="R278" si="1348">C278-C277</f>
        <v>1884</v>
      </c>
      <c r="S278">
        <f t="shared" ref="S278" si="1349">N278-N277</f>
        <v>3994</v>
      </c>
      <c r="T278" s="8">
        <f t="shared" ref="T278" si="1350">R278/V278</f>
        <v>0.32051718271520924</v>
      </c>
      <c r="U278" s="8">
        <f t="shared" ref="U278" si="1351">SUM(R272:R278)/SUM(V272:V278)</f>
        <v>0.33406379352325299</v>
      </c>
      <c r="V278">
        <f t="shared" ref="V278" si="1352">B278-B277</f>
        <v>5878</v>
      </c>
      <c r="W278">
        <f t="shared" ref="W278" si="1353">C278-D278-E278</f>
        <v>50152</v>
      </c>
      <c r="X278" s="3">
        <f t="shared" ref="X278" si="1354">F278/W278</f>
        <v>1.3538841920561493E-2</v>
      </c>
      <c r="Y278">
        <f t="shared" si="1288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1"/>
        <v>372</v>
      </c>
      <c r="AJ278">
        <f t="shared" si="1332"/>
        <v>259</v>
      </c>
      <c r="AK278">
        <f t="shared" si="1333"/>
        <v>1708</v>
      </c>
      <c r="AT278">
        <f t="shared" si="1241"/>
        <v>28124</v>
      </c>
      <c r="AU278">
        <f t="shared" si="1145"/>
        <v>1961</v>
      </c>
      <c r="AV278">
        <f t="shared" ref="AV278" si="1355">AU278/AT278</f>
        <v>6.9726923623951068E-2</v>
      </c>
      <c r="AW278">
        <f t="shared" ref="AW278" si="1356">BV278-BV277</f>
        <v>171</v>
      </c>
      <c r="AX278">
        <f t="shared" si="1118"/>
        <v>13</v>
      </c>
      <c r="AY278">
        <f t="shared" ref="AY278" si="1357">CL278-CL277</f>
        <v>1098</v>
      </c>
      <c r="AZ278">
        <f t="shared" si="1120"/>
        <v>82</v>
      </c>
      <c r="BA278">
        <f t="shared" ref="BA278" si="1358">CD278-CD277</f>
        <v>133</v>
      </c>
      <c r="BB278">
        <f t="shared" si="1122"/>
        <v>6</v>
      </c>
      <c r="BC278">
        <f t="shared" ref="BC278" si="1359">AX278/AW278</f>
        <v>7.6023391812865493E-2</v>
      </c>
      <c r="BD278">
        <f t="shared" ref="BD278" si="1360">AZ278/AY278</f>
        <v>7.4681238615664849E-2</v>
      </c>
      <c r="BE278">
        <f t="shared" si="682"/>
        <v>4.5112781954887216E-2</v>
      </c>
      <c r="BF278">
        <f t="shared" ref="BF278" si="1361">SUM(AU272:AU278)/SUM(AT272:AT278)</f>
        <v>8.1279920419455781E-2</v>
      </c>
      <c r="BG278">
        <f t="shared" ref="BG278" si="1362">SUM(AU265:AU278)/SUM(AT265:AT278)</f>
        <v>8.6893142592599684E-2</v>
      </c>
      <c r="BH278">
        <f t="shared" ref="BH278" si="1363">SUM(AX272:AX278)/SUM(AW272:AW278)</f>
        <v>5.3191489361702128E-2</v>
      </c>
      <c r="BI278">
        <f t="shared" ref="BI278" si="1364">SUM(AZ272:AZ278)/SUM(AY272:AY278)</f>
        <v>6.8929684793903712E-2</v>
      </c>
      <c r="BJ278">
        <f t="shared" ref="BJ278" si="1365">SUM(BB272:BB278)/SUM(BA272:BA278)</f>
        <v>4.3478260869565216E-2</v>
      </c>
      <c r="BK278" s="20">
        <v>9.7000000000000003E-2</v>
      </c>
      <c r="BL278" s="20">
        <v>0.114</v>
      </c>
      <c r="BM278" s="20">
        <v>9.7000000000000003E-2</v>
      </c>
      <c r="BN278" s="21">
        <v>2862094</v>
      </c>
      <c r="BO278" s="21">
        <v>287437</v>
      </c>
      <c r="BT278" s="21">
        <v>1311809</v>
      </c>
      <c r="BU278" s="21">
        <v>165987</v>
      </c>
      <c r="BV278" s="21">
        <v>21731</v>
      </c>
      <c r="BW278" s="21">
        <v>2283</v>
      </c>
      <c r="CB278" s="21">
        <v>9240</v>
      </c>
      <c r="CC278" s="21">
        <v>2178</v>
      </c>
      <c r="CD278" s="21">
        <v>16340</v>
      </c>
      <c r="CE278" s="21">
        <v>1256</v>
      </c>
      <c r="CJ278" s="21">
        <v>5427</v>
      </c>
      <c r="CK278" s="21">
        <v>1183</v>
      </c>
      <c r="CL278" s="21">
        <v>125043</v>
      </c>
      <c r="CM278" s="21">
        <v>13288</v>
      </c>
      <c r="CR278" s="21">
        <v>55608</v>
      </c>
      <c r="CS278" s="21">
        <v>12174</v>
      </c>
    </row>
    <row r="279" spans="1:97" x14ac:dyDescent="0.35">
      <c r="A279" s="14">
        <f t="shared" si="1160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66">-(J279-J278)+L279</f>
        <v>30</v>
      </c>
      <c r="N279" s="7">
        <f t="shared" ref="N279" si="1367">B279-C279</f>
        <v>1048852</v>
      </c>
      <c r="O279" s="4">
        <f t="shared" ref="O279" si="1368">C279/B279</f>
        <v>0.20299757750023556</v>
      </c>
      <c r="R279">
        <f t="shared" ref="R279" si="1369">C279-C278</f>
        <v>1157</v>
      </c>
      <c r="S279">
        <f t="shared" ref="S279" si="1370">N279-N278</f>
        <v>3030</v>
      </c>
      <c r="T279" s="8">
        <f t="shared" ref="T279" si="1371">R279/V279</f>
        <v>0.27633150226892761</v>
      </c>
      <c r="U279" s="8">
        <f t="shared" ref="U279" si="1372">SUM(R273:R279)/SUM(V273:V279)</f>
        <v>0.32723668798990901</v>
      </c>
      <c r="V279">
        <f t="shared" ref="V279" si="1373">B279-B278</f>
        <v>4187</v>
      </c>
      <c r="W279">
        <f t="shared" ref="W279" si="1374">C279-D279-E279</f>
        <v>49913</v>
      </c>
      <c r="X279" s="3">
        <f t="shared" ref="X279" si="1375">F279/W279</f>
        <v>1.2802275960170697E-2</v>
      </c>
      <c r="Y279">
        <f t="shared" si="1288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76">Z279-AC279-AF279</f>
        <v>323</v>
      </c>
      <c r="AJ279">
        <f t="shared" ref="AJ279" si="1377">AA279-AD279-AG279</f>
        <v>242</v>
      </c>
      <c r="AK279">
        <f t="shared" ref="AK279" si="1378">AB279-AE279-AH279</f>
        <v>1660</v>
      </c>
      <c r="AT279">
        <f t="shared" ref="AT279" si="1379">BN279-BN278</f>
        <v>11908</v>
      </c>
      <c r="AU279">
        <f t="shared" si="1145"/>
        <v>1264</v>
      </c>
      <c r="AV279">
        <f t="shared" ref="AV279" si="1380">AU279/AT279</f>
        <v>0.10614712798118911</v>
      </c>
      <c r="AW279">
        <f t="shared" ref="AW279" si="1381">BV279-BV278</f>
        <v>67</v>
      </c>
      <c r="AX279">
        <f t="shared" si="1118"/>
        <v>4</v>
      </c>
      <c r="AY279">
        <f t="shared" ref="AY279" si="1382">CL279-CL278</f>
        <v>501</v>
      </c>
      <c r="AZ279">
        <f t="shared" si="1120"/>
        <v>51</v>
      </c>
      <c r="BA279">
        <f t="shared" ref="BA279" si="1383">CD279-CD278</f>
        <v>54</v>
      </c>
      <c r="BB279">
        <f t="shared" si="1122"/>
        <v>6</v>
      </c>
      <c r="BC279">
        <f t="shared" ref="BC279" si="1384">AX279/AW279</f>
        <v>5.9701492537313432E-2</v>
      </c>
      <c r="BD279">
        <f t="shared" ref="BD279" si="1385">AZ279/AY279</f>
        <v>0.10179640718562874</v>
      </c>
      <c r="BE279">
        <f t="shared" si="682"/>
        <v>0.1111111111111111</v>
      </c>
      <c r="BF279">
        <f t="shared" ref="BF279" si="1386">SUM(AU273:AU279)/SUM(AT273:AT279)</f>
        <v>7.988442544006448E-2</v>
      </c>
      <c r="BG279">
        <f t="shared" ref="BG279" si="1387">SUM(AU266:AU279)/SUM(AT266:AT279)</f>
        <v>8.6241791408439086E-2</v>
      </c>
      <c r="BH279">
        <f t="shared" ref="BH279" si="1388">SUM(AX273:AX279)/SUM(AW273:AW279)</f>
        <v>5.2681992337164751E-2</v>
      </c>
      <c r="BI279">
        <f t="shared" ref="BI279" si="1389">SUM(AZ273:AZ279)/SUM(AY273:AY279)</f>
        <v>7.1800208116545264E-2</v>
      </c>
      <c r="BJ279">
        <f t="shared" ref="BJ279" si="1390">SUM(BB273:BB279)/SUM(BA273:BA279)</f>
        <v>4.8426150121065374E-2</v>
      </c>
      <c r="BK279" s="20">
        <v>0.10199999999999999</v>
      </c>
      <c r="BL279" s="20">
        <v>0.114</v>
      </c>
      <c r="BM279" s="20">
        <v>9.7000000000000003E-2</v>
      </c>
      <c r="BN279" s="21">
        <v>2874002</v>
      </c>
      <c r="BO279" s="21">
        <v>288701</v>
      </c>
      <c r="BT279" s="21">
        <v>1315996</v>
      </c>
      <c r="BU279" s="21">
        <v>267144</v>
      </c>
      <c r="BV279" s="21">
        <v>21798</v>
      </c>
      <c r="BW279" s="21">
        <v>2287</v>
      </c>
      <c r="CB279" s="21">
        <v>9265</v>
      </c>
      <c r="CC279" s="21">
        <v>2183</v>
      </c>
      <c r="CD279" s="21">
        <v>16394</v>
      </c>
      <c r="CE279" s="21">
        <v>1262</v>
      </c>
      <c r="CJ279" s="21">
        <v>5448</v>
      </c>
      <c r="CK279" s="21">
        <v>1187</v>
      </c>
      <c r="CL279" s="21">
        <v>125544</v>
      </c>
      <c r="CM279" s="21">
        <v>13339</v>
      </c>
      <c r="CR279" s="21">
        <v>55761</v>
      </c>
      <c r="CS279" s="21">
        <v>12217</v>
      </c>
    </row>
    <row r="280" spans="1:97" x14ac:dyDescent="0.35">
      <c r="A280" s="14">
        <f t="shared" si="1160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91">-(J280-J279)+L280</f>
        <v>19</v>
      </c>
      <c r="N280" s="7">
        <f t="shared" ref="N280" si="1392">B280-C280</f>
        <v>1050178</v>
      </c>
      <c r="O280" s="4">
        <f t="shared" ref="O280" si="1393">C280/B280</f>
        <v>0.20314590201873428</v>
      </c>
      <c r="R280">
        <f t="shared" ref="R280" si="1394">C280-C279</f>
        <v>583</v>
      </c>
      <c r="S280">
        <f t="shared" ref="S280" si="1395">N280-N279</f>
        <v>1326</v>
      </c>
      <c r="T280" s="8">
        <f t="shared" ref="T280" si="1396">R280/V280</f>
        <v>0.30539549502357255</v>
      </c>
      <c r="U280" s="8">
        <f t="shared" ref="U280" si="1397">SUM(R274:R280)/SUM(V274:V280)</f>
        <v>0.327972620994609</v>
      </c>
      <c r="V280">
        <f t="shared" ref="V280" si="1398">B280-B279</f>
        <v>1909</v>
      </c>
      <c r="W280">
        <f t="shared" ref="W280" si="1399">C280-D280-E280</f>
        <v>49416</v>
      </c>
      <c r="X280" s="3">
        <f t="shared" ref="X280" si="1400">F280/W280</f>
        <v>1.3032216286223086E-2</v>
      </c>
      <c r="Y280">
        <f t="shared" si="1288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01">Z280-AC280-AF280</f>
        <v>307</v>
      </c>
      <c r="AJ280">
        <f t="shared" ref="AJ280" si="1402">AA280-AD280-AG280</f>
        <v>241</v>
      </c>
      <c r="AK280">
        <f t="shared" ref="AK280" si="1403">AB280-AE280-AH280</f>
        <v>1651</v>
      </c>
      <c r="AT280">
        <f t="shared" ref="AT280" si="1404">BN280-BN279</f>
        <v>6246</v>
      </c>
      <c r="AU280">
        <f t="shared" si="1145"/>
        <v>643</v>
      </c>
      <c r="AV280">
        <f t="shared" ref="AV280" si="1405">AU280/AT280</f>
        <v>0.10294588536663464</v>
      </c>
      <c r="AW280">
        <f t="shared" ref="AW280" si="1406">BV280-BV279</f>
        <v>29</v>
      </c>
      <c r="AX280">
        <f t="shared" si="1118"/>
        <v>6</v>
      </c>
      <c r="AY280">
        <f t="shared" ref="AY280" si="1407">CL280-CL279</f>
        <v>204</v>
      </c>
      <c r="AZ280">
        <f t="shared" si="1120"/>
        <v>17</v>
      </c>
      <c r="BA280">
        <f t="shared" ref="BA280" si="1408">CD280-CD279</f>
        <v>23</v>
      </c>
      <c r="BB280">
        <f t="shared" si="1122"/>
        <v>1</v>
      </c>
      <c r="BC280">
        <f t="shared" ref="BC280" si="1409">AX280/AW280</f>
        <v>0.20689655172413793</v>
      </c>
      <c r="BD280">
        <f t="shared" ref="BD280" si="1410">AZ280/AY280</f>
        <v>8.3333333333333329E-2</v>
      </c>
      <c r="BE280">
        <f t="shared" si="682"/>
        <v>4.3478260869565216E-2</v>
      </c>
      <c r="BF280">
        <f t="shared" ref="BF280" si="1411">SUM(AU274:AU280)/SUM(AT274:AT280)</f>
        <v>7.9474360025134555E-2</v>
      </c>
      <c r="BG280">
        <f t="shared" ref="BG280" si="1412">SUM(AU267:AU280)/SUM(AT267:AT280)</f>
        <v>8.6641989988684526E-2</v>
      </c>
      <c r="BH280">
        <f t="shared" ref="BH280" si="1413">SUM(AX274:AX280)/SUM(AW274:AW280)</f>
        <v>6.1068702290076333E-2</v>
      </c>
      <c r="BI280">
        <f t="shared" ref="BI280" si="1414">SUM(AZ274:AZ280)/SUM(AY274:AY280)</f>
        <v>7.3170731707317069E-2</v>
      </c>
      <c r="BJ280">
        <f t="shared" ref="BJ280" si="1415">SUM(BB274:BB280)/SUM(BA274:BA280)</f>
        <v>4.6060606060606059E-2</v>
      </c>
      <c r="BK280" s="20">
        <v>9.5000000000000001E-2</v>
      </c>
      <c r="BL280" s="20">
        <v>0.114</v>
      </c>
      <c r="BM280" s="20">
        <v>9.2999999999999999E-2</v>
      </c>
      <c r="BN280" s="21">
        <v>2880248</v>
      </c>
      <c r="BO280" s="21">
        <v>289344</v>
      </c>
      <c r="BT280" s="21">
        <v>1317905</v>
      </c>
      <c r="BU280" s="21">
        <v>267727</v>
      </c>
      <c r="BV280" s="21">
        <v>21827</v>
      </c>
      <c r="BW280" s="21">
        <v>2293</v>
      </c>
      <c r="CB280" s="21">
        <v>9274</v>
      </c>
      <c r="CC280" s="21">
        <v>2183</v>
      </c>
      <c r="CD280" s="21">
        <v>16417</v>
      </c>
      <c r="CE280" s="21">
        <v>1263</v>
      </c>
      <c r="CJ280" s="21">
        <v>5461</v>
      </c>
      <c r="CK280" s="21">
        <v>1189</v>
      </c>
      <c r="CL280" s="21">
        <v>125748</v>
      </c>
      <c r="CM280" s="21">
        <v>13356</v>
      </c>
      <c r="CR280" s="21">
        <v>55816</v>
      </c>
      <c r="CS280" s="21">
        <v>12234</v>
      </c>
    </row>
    <row r="281" spans="1:97" x14ac:dyDescent="0.35">
      <c r="A281" s="14">
        <f t="shared" si="1160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16">-(J281-J280)+L281</f>
        <v>10</v>
      </c>
      <c r="N281" s="7">
        <f t="shared" ref="N281" si="1417">B281-C281</f>
        <v>1053114</v>
      </c>
      <c r="O281" s="4">
        <f t="shared" ref="O281" si="1418">C281/B281</f>
        <v>0.20347408053949145</v>
      </c>
      <c r="R281">
        <f t="shared" ref="R281" si="1419">C281-C280</f>
        <v>1293</v>
      </c>
      <c r="S281">
        <f t="shared" ref="S281" si="1420">N281-N280</f>
        <v>2936</v>
      </c>
      <c r="T281" s="8">
        <f t="shared" ref="T281" si="1421">R281/V281</f>
        <v>0.30574603925277843</v>
      </c>
      <c r="U281" s="8">
        <f t="shared" ref="U281" si="1422">SUM(R275:R281)/SUM(V275:V281)</f>
        <v>0.32391951637643235</v>
      </c>
      <c r="V281">
        <f t="shared" ref="V281" si="1423">B281-B280</f>
        <v>4229</v>
      </c>
      <c r="W281">
        <f t="shared" ref="W281" si="1424">C281-D281-E281</f>
        <v>46358</v>
      </c>
      <c r="X281" s="3">
        <f t="shared" ref="X281" si="1425">F281/W281</f>
        <v>1.4042883644678372E-2</v>
      </c>
      <c r="Y281">
        <f t="shared" ref="Y281" si="1426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27">Z281-AC281-AF281</f>
        <v>268</v>
      </c>
      <c r="AJ281">
        <f t="shared" ref="AJ281" si="1428">AA281-AD281-AG281</f>
        <v>226</v>
      </c>
      <c r="AK281">
        <f t="shared" ref="AK281" si="1429">AB281-AE281-AH281</f>
        <v>1530</v>
      </c>
      <c r="AT281">
        <f t="shared" ref="AT281" si="1430">BN281-BN280</f>
        <v>30677</v>
      </c>
      <c r="AU281">
        <f t="shared" si="1145"/>
        <v>1361</v>
      </c>
      <c r="AV281">
        <f t="shared" ref="AV281" si="1431">AU281/AT281</f>
        <v>4.436548554291489E-2</v>
      </c>
      <c r="AW281">
        <f t="shared" ref="AW281" si="1432">BV281-BV280</f>
        <v>279</v>
      </c>
      <c r="AX281">
        <f t="shared" si="1118"/>
        <v>8</v>
      </c>
      <c r="AY281">
        <f t="shared" ref="AY281" si="1433">CL281-CL280</f>
        <v>1543</v>
      </c>
      <c r="AZ281">
        <f t="shared" si="1120"/>
        <v>47</v>
      </c>
      <c r="BA281">
        <f t="shared" ref="BA281" si="1434">CD281-CD280</f>
        <v>248</v>
      </c>
      <c r="BB281">
        <f t="shared" si="1122"/>
        <v>8</v>
      </c>
      <c r="BC281">
        <f t="shared" ref="BC281" si="1435">AX281/AW281</f>
        <v>2.8673835125448029E-2</v>
      </c>
      <c r="BD281">
        <f t="shared" ref="BD281" si="1436">AZ281/AY281</f>
        <v>3.0460142579390798E-2</v>
      </c>
      <c r="BE281">
        <f t="shared" si="682"/>
        <v>3.2258064516129031E-2</v>
      </c>
      <c r="BF281">
        <f t="shared" ref="BF281" si="1437">SUM(AU275:AU281)/SUM(AT275:AT281)</f>
        <v>7.4897316627580035E-2</v>
      </c>
      <c r="BG281">
        <f t="shared" ref="BG281" si="1438">SUM(AU268:AU281)/SUM(AT268:AT281)</f>
        <v>8.2191075632674637E-2</v>
      </c>
      <c r="BH281">
        <f t="shared" ref="BH281" si="1439">SUM(AX275:AX281)/SUM(AW275:AW281)</f>
        <v>5.3832116788321165E-2</v>
      </c>
      <c r="BI281">
        <f t="shared" ref="BI281" si="1440">SUM(AZ275:AZ281)/SUM(AY275:AY281)</f>
        <v>6.7145534041224239E-2</v>
      </c>
      <c r="BJ281">
        <f t="shared" ref="BJ281" si="1441">SUM(BB275:BB281)/SUM(BA275:BA281)</f>
        <v>4.8611111111111112E-2</v>
      </c>
      <c r="BK281" s="20">
        <v>8.8999999999999996E-2</v>
      </c>
      <c r="BL281" s="20">
        <v>0.107</v>
      </c>
      <c r="BM281" s="20">
        <v>9.0999999999999998E-2</v>
      </c>
      <c r="BN281" s="21">
        <v>2910925</v>
      </c>
      <c r="BO281" s="21">
        <v>290705</v>
      </c>
      <c r="BT281" s="21">
        <v>1322134</v>
      </c>
      <c r="BU281" s="21">
        <v>269020</v>
      </c>
      <c r="BV281" s="21">
        <v>22106</v>
      </c>
      <c r="BW281" s="21">
        <v>2301</v>
      </c>
      <c r="CB281" s="21">
        <v>9295</v>
      </c>
      <c r="CC281" s="21">
        <v>2189</v>
      </c>
      <c r="CD281" s="21">
        <v>16665</v>
      </c>
      <c r="CE281" s="21">
        <v>1271</v>
      </c>
      <c r="CJ281" s="21">
        <v>5472</v>
      </c>
      <c r="CK281" s="21">
        <v>1197</v>
      </c>
      <c r="CL281" s="21">
        <v>127291</v>
      </c>
      <c r="CM281" s="21">
        <v>13403</v>
      </c>
      <c r="CR281" s="21">
        <v>55963</v>
      </c>
      <c r="CS281" s="21">
        <v>12278</v>
      </c>
    </row>
    <row r="282" spans="1:97" x14ac:dyDescent="0.35">
      <c r="A282" s="14">
        <f t="shared" si="1160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42">-(J282-J281)+L282</f>
        <v>18</v>
      </c>
      <c r="N282" s="7">
        <f t="shared" ref="N282" si="1443">B282-C282</f>
        <v>1057311</v>
      </c>
      <c r="O282" s="4">
        <f t="shared" ref="O282" si="1444">C282/B282</f>
        <v>0.20402927286839329</v>
      </c>
      <c r="R282">
        <f t="shared" ref="R282" si="1445">C282-C281</f>
        <v>1998</v>
      </c>
      <c r="S282">
        <f t="shared" ref="S282" si="1446">N282-N281</f>
        <v>4197</v>
      </c>
      <c r="T282" s="8">
        <f t="shared" ref="T282" si="1447">R282/V282</f>
        <v>0.32251815980629539</v>
      </c>
      <c r="U282" s="8">
        <f t="shared" ref="U282" si="1448">SUM(R276:R282)/SUM(V276:V282)</f>
        <v>0.32007233273056057</v>
      </c>
      <c r="V282">
        <f t="shared" ref="V282" si="1449">B282-B281</f>
        <v>6195</v>
      </c>
      <c r="W282">
        <f t="shared" ref="W282" si="1450">C282-D282-E282</f>
        <v>45294</v>
      </c>
      <c r="X282" s="3">
        <f t="shared" ref="X282" si="1451">F282/W282</f>
        <v>1.4218218748620125E-2</v>
      </c>
      <c r="Y282">
        <f t="shared" ref="Y282" si="1452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53">Z282-AC282-AF282</f>
        <v>248</v>
      </c>
      <c r="AJ282">
        <f t="shared" ref="AJ282" si="1454">AA282-AD282-AG282</f>
        <v>225</v>
      </c>
      <c r="AK282">
        <f t="shared" ref="AK282" si="1455">AB282-AE282-AH282</f>
        <v>1483</v>
      </c>
      <c r="AT282">
        <f t="shared" ref="AT282" si="1456">BN282-BN281</f>
        <v>28875</v>
      </c>
      <c r="AU282">
        <f t="shared" si="1145"/>
        <v>2125</v>
      </c>
      <c r="AV282">
        <f t="shared" ref="AV282" si="1457">AU282/AT282</f>
        <v>7.3593073593073599E-2</v>
      </c>
      <c r="AW282">
        <f t="shared" ref="AW282" si="1458">BV282-BV281</f>
        <v>152</v>
      </c>
      <c r="AX282">
        <f t="shared" si="1118"/>
        <v>5</v>
      </c>
      <c r="AY282">
        <f t="shared" ref="AY282" si="1459">CL282-CL281</f>
        <v>1343</v>
      </c>
      <c r="AZ282">
        <f t="shared" si="1120"/>
        <v>90</v>
      </c>
      <c r="BA282">
        <f t="shared" ref="BA282" si="1460">CD282-CD281</f>
        <v>171</v>
      </c>
      <c r="BB282">
        <f t="shared" si="1122"/>
        <v>14</v>
      </c>
      <c r="BC282">
        <f t="shared" ref="BC282" si="1461">AX282/AW282</f>
        <v>3.2894736842105261E-2</v>
      </c>
      <c r="BD282">
        <f t="shared" ref="BD282" si="1462">AZ282/AY282</f>
        <v>6.7014147431124355E-2</v>
      </c>
      <c r="BE282">
        <f t="shared" si="682"/>
        <v>8.1871345029239762E-2</v>
      </c>
      <c r="BF282">
        <f t="shared" ref="BF282" si="1463">SUM(AU276:AU282)/SUM(AT276:AT282)</f>
        <v>7.4693869630185455E-2</v>
      </c>
      <c r="BG282">
        <f t="shared" ref="BG282" si="1464">SUM(AU269:AU282)/SUM(AT269:AT282)</f>
        <v>8.0559539679057754E-2</v>
      </c>
      <c r="BH282">
        <f t="shared" ref="BH282" si="1465">SUM(AX276:AX282)/SUM(AW276:AW282)</f>
        <v>4.6902654867256637E-2</v>
      </c>
      <c r="BI282">
        <f t="shared" ref="BI282" si="1466">SUM(AZ276:AZ282)/SUM(AY276:AY282)</f>
        <v>6.5719615439804854E-2</v>
      </c>
      <c r="BJ282">
        <f t="shared" ref="BJ282" si="1467">SUM(BB276:BB282)/SUM(BA276:BA282)</f>
        <v>5.5126791620727672E-2</v>
      </c>
      <c r="BK282" s="20">
        <v>8.6999999999999994E-2</v>
      </c>
      <c r="BL282" s="20">
        <v>0.11</v>
      </c>
      <c r="BM282" s="20">
        <v>9.4E-2</v>
      </c>
      <c r="BN282" s="21">
        <v>2939800</v>
      </c>
      <c r="BO282" s="21">
        <v>292830</v>
      </c>
      <c r="BT282" s="21">
        <v>1329329</v>
      </c>
      <c r="BU282" s="21">
        <v>271018</v>
      </c>
      <c r="BV282" s="21">
        <v>22258</v>
      </c>
      <c r="BW282" s="21">
        <v>2306</v>
      </c>
      <c r="CB282" s="21">
        <v>9326</v>
      </c>
      <c r="CC282" s="21">
        <v>2199</v>
      </c>
      <c r="CD282" s="21">
        <v>16836</v>
      </c>
      <c r="CE282" s="21">
        <v>1285</v>
      </c>
      <c r="CJ282" s="21">
        <v>5496</v>
      </c>
      <c r="CK282" s="21">
        <v>1211</v>
      </c>
      <c r="CL282" s="21">
        <v>128634</v>
      </c>
      <c r="CM282" s="21">
        <v>13493</v>
      </c>
      <c r="CR282" s="21">
        <v>56229</v>
      </c>
      <c r="CS282" s="21">
        <v>12366</v>
      </c>
    </row>
    <row r="283" spans="1:97" x14ac:dyDescent="0.35">
      <c r="A283" s="14">
        <f t="shared" si="1160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68">-(J283-J282)+L283</f>
        <v>18</v>
      </c>
      <c r="N283" s="7">
        <f t="shared" ref="N283" si="1469">B283-C283</f>
        <v>1060494</v>
      </c>
      <c r="O283" s="4">
        <f t="shared" ref="O283" si="1470">C283/B283</f>
        <v>0.2043936027032015</v>
      </c>
      <c r="R283">
        <f t="shared" ref="R283" si="1471">C283-C282</f>
        <v>1426</v>
      </c>
      <c r="S283">
        <f t="shared" ref="S283" si="1472">N283-N282</f>
        <v>3183</v>
      </c>
      <c r="T283" s="8">
        <f t="shared" ref="T283" si="1473">R283/V283</f>
        <v>0.30939466261661963</v>
      </c>
      <c r="U283" s="8">
        <f t="shared" ref="U283" si="1474">SUM(R277:R283)/SUM(V277:V283)</f>
        <v>0.31533916040871601</v>
      </c>
      <c r="V283">
        <f t="shared" ref="V283" si="1475">B283-B282</f>
        <v>4609</v>
      </c>
      <c r="W283">
        <f t="shared" ref="W283" si="1476">C283-D283-E283</f>
        <v>43955</v>
      </c>
      <c r="X283" s="3">
        <f t="shared" ref="X283" si="1477">F283/W283</f>
        <v>1.4219087703332954E-2</v>
      </c>
      <c r="Y283">
        <f t="shared" ref="Y283" si="1478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79">Z283-AC283-AF283</f>
        <v>234</v>
      </c>
      <c r="AJ283">
        <f t="shared" ref="AJ283" si="1480">AA283-AD283-AG283</f>
        <v>214</v>
      </c>
      <c r="AK283">
        <f t="shared" ref="AK283" si="1481">AB283-AE283-AH283</f>
        <v>1409</v>
      </c>
      <c r="AT283">
        <f t="shared" ref="AT283" si="1482">BN283-BN282</f>
        <v>21861</v>
      </c>
      <c r="AU283">
        <f t="shared" si="1145"/>
        <v>1534</v>
      </c>
      <c r="AV283">
        <f t="shared" ref="AV283" si="1483">AU283/AT283</f>
        <v>7.0170623484744524E-2</v>
      </c>
      <c r="AW283">
        <f t="shared" ref="AW283" si="1484">BV283-BV282</f>
        <v>94</v>
      </c>
      <c r="AX283">
        <f t="shared" si="1118"/>
        <v>10</v>
      </c>
      <c r="AY283">
        <f t="shared" ref="AY283" si="1485">CL283-CL282</f>
        <v>811</v>
      </c>
      <c r="AZ283">
        <f t="shared" si="1120"/>
        <v>43</v>
      </c>
      <c r="BA283">
        <f t="shared" ref="BA283" si="1486">CD283-CD282</f>
        <v>119</v>
      </c>
      <c r="BB283">
        <f t="shared" si="1122"/>
        <v>13</v>
      </c>
      <c r="BC283">
        <f t="shared" ref="BC283" si="1487">AX283/AW283</f>
        <v>0.10638297872340426</v>
      </c>
      <c r="BD283">
        <f t="shared" ref="BD283" si="1488">AZ283/AY283</f>
        <v>5.3020961775585698E-2</v>
      </c>
      <c r="BE283">
        <f t="shared" si="682"/>
        <v>0.1092436974789916</v>
      </c>
      <c r="BF283">
        <f t="shared" ref="BF283" si="1489">SUM(AU277:AU283)/SUM(AT277:AT283)</f>
        <v>7.1485497778939117E-2</v>
      </c>
      <c r="BG283">
        <f t="shared" ref="BG283" si="1490">SUM(AU270:AU283)/SUM(AT270:AT283)</f>
        <v>7.7419637855749693E-2</v>
      </c>
      <c r="BH283">
        <f t="shared" ref="BH283" si="1491">SUM(AX277:AX283)/SUM(AW277:AW283)</f>
        <v>5.2376333656644035E-2</v>
      </c>
      <c r="BI283">
        <f t="shared" ref="BI283" si="1492">SUM(AZ277:AZ283)/SUM(AY277:AY283)</f>
        <v>6.247313368677461E-2</v>
      </c>
      <c r="BJ283">
        <f t="shared" ref="BJ283" si="1493">SUM(BB277:BB283)/SUM(BA277:BA283)</f>
        <v>6.0572687224669602E-2</v>
      </c>
      <c r="BK283" s="20">
        <v>8.2000000000000003E-2</v>
      </c>
      <c r="BL283" s="20">
        <v>0.109</v>
      </c>
      <c r="BM283" s="20">
        <v>0.104</v>
      </c>
      <c r="BN283" s="21">
        <v>2961661</v>
      </c>
      <c r="BO283" s="21">
        <v>294364</v>
      </c>
      <c r="BT283" s="21">
        <v>1332938</v>
      </c>
      <c r="BU283" s="21">
        <v>272444</v>
      </c>
      <c r="BV283" s="21">
        <v>22352</v>
      </c>
      <c r="BW283" s="21">
        <v>2316</v>
      </c>
      <c r="CB283" s="21">
        <v>9343</v>
      </c>
      <c r="CC283" s="21">
        <v>2208</v>
      </c>
      <c r="CD283" s="21">
        <v>16955</v>
      </c>
      <c r="CE283" s="21">
        <v>1298</v>
      </c>
      <c r="CJ283" s="21">
        <v>5512</v>
      </c>
      <c r="CK283" s="21">
        <v>1224</v>
      </c>
      <c r="CL283" s="21">
        <v>129445</v>
      </c>
      <c r="CM283" s="21">
        <v>13536</v>
      </c>
      <c r="CR283" s="21">
        <v>56352</v>
      </c>
      <c r="CS283" s="21">
        <v>12402</v>
      </c>
    </row>
    <row r="284" spans="1:97" x14ac:dyDescent="0.35">
      <c r="A284" s="14">
        <f t="shared" si="1160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94">-(J284-J283)+L284</f>
        <v>20</v>
      </c>
      <c r="N284" s="7">
        <f t="shared" ref="N284" si="1495">B284-C284</f>
        <v>1064023</v>
      </c>
      <c r="O284" s="4">
        <f t="shared" ref="O284" si="1496">C284/B284</f>
        <v>0.20472921764685659</v>
      </c>
      <c r="R284">
        <f t="shared" ref="R284" si="1497">C284-C283</f>
        <v>1471</v>
      </c>
      <c r="S284">
        <f t="shared" ref="S284" si="1498">N284-N283</f>
        <v>3529</v>
      </c>
      <c r="T284" s="8">
        <f t="shared" ref="T284" si="1499">R284/V284</f>
        <v>0.29420000000000002</v>
      </c>
      <c r="U284" s="8">
        <f t="shared" ref="U284" si="1500">SUM(R278:R284)/SUM(V278:V284)</f>
        <v>0.30655794045052642</v>
      </c>
      <c r="V284">
        <f t="shared" ref="V284" si="1501">B284-B283</f>
        <v>5000</v>
      </c>
      <c r="W284">
        <f t="shared" ref="W284" si="1502">C284-D284-E284</f>
        <v>45021</v>
      </c>
      <c r="X284" s="3">
        <f t="shared" ref="X284" si="1503">F284/W284</f>
        <v>1.3327114013460385E-2</v>
      </c>
      <c r="Y284">
        <f t="shared" ref="Y284" si="1504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05">Z284-AC284-AF284</f>
        <v>235</v>
      </c>
      <c r="AJ284">
        <f t="shared" ref="AJ284:AJ285" si="1506">AA284-AD284-AG284</f>
        <v>227</v>
      </c>
      <c r="AK284">
        <f t="shared" ref="AK284:AK285" si="1507">AB284-AE284-AH284</f>
        <v>1474</v>
      </c>
      <c r="AT284">
        <f t="shared" ref="AT284" si="1508">BN284-BN283</f>
        <v>23418</v>
      </c>
      <c r="AU284">
        <f t="shared" si="1145"/>
        <v>1653</v>
      </c>
      <c r="AV284">
        <f t="shared" ref="AV284" si="1509">AU284/AT284</f>
        <v>7.0586728157827308E-2</v>
      </c>
      <c r="AW284">
        <f t="shared" ref="AW284" si="1510">BV284-BV283</f>
        <v>189</v>
      </c>
      <c r="AX284">
        <f t="shared" si="1118"/>
        <v>4</v>
      </c>
      <c r="AY284">
        <f t="shared" ref="AY284" si="1511">CL284-CL283</f>
        <v>1306</v>
      </c>
      <c r="AZ284">
        <f t="shared" si="1120"/>
        <v>86</v>
      </c>
      <c r="BA284">
        <f t="shared" ref="BA284" si="1512">CD284-CD283</f>
        <v>163</v>
      </c>
      <c r="BB284">
        <f t="shared" si="1122"/>
        <v>16</v>
      </c>
      <c r="BC284">
        <f t="shared" ref="BC284" si="1513">AX284/AW284</f>
        <v>2.1164021164021163E-2</v>
      </c>
      <c r="BD284">
        <f t="shared" ref="BD284" si="1514">AZ284/AY284</f>
        <v>6.5849923430321589E-2</v>
      </c>
      <c r="BE284">
        <f t="shared" si="682"/>
        <v>9.815950920245399E-2</v>
      </c>
      <c r="BF284">
        <f t="shared" ref="BF284" si="1515">SUM(AU278:AU284)/SUM(AT278:AT284)</f>
        <v>6.9757592201655755E-2</v>
      </c>
      <c r="BG284">
        <f t="shared" ref="BG284" si="1516">SUM(AU271:AU284)/SUM(AT271:AT284)</f>
        <v>7.6618815426057904E-2</v>
      </c>
      <c r="BH284">
        <f t="shared" ref="BH284" si="1517">SUM(AX278:AX284)/SUM(AW278:AW284)</f>
        <v>5.09683995922528E-2</v>
      </c>
      <c r="BI284">
        <f t="shared" ref="BI284" si="1518">SUM(AZ278:AZ284)/SUM(AY278:AY284)</f>
        <v>6.1122538936232734E-2</v>
      </c>
      <c r="BJ284">
        <f t="shared" ref="BJ284" si="1519">SUM(BB278:BB284)/SUM(BA278:BA284)</f>
        <v>7.025246981339188E-2</v>
      </c>
      <c r="BK284" s="20">
        <v>7.9000000000000001E-2</v>
      </c>
      <c r="BL284" s="20">
        <v>0.11</v>
      </c>
      <c r="BM284" s="20">
        <v>0.11799999999999999</v>
      </c>
      <c r="BN284" s="21">
        <v>2985079</v>
      </c>
      <c r="BO284" s="21">
        <v>296017</v>
      </c>
      <c r="BT284" s="21">
        <v>1337938</v>
      </c>
      <c r="BU284" s="21">
        <v>273915</v>
      </c>
      <c r="BV284" s="21">
        <v>22541</v>
      </c>
      <c r="BW284" s="21">
        <v>2320</v>
      </c>
      <c r="CB284" s="21">
        <v>9382</v>
      </c>
      <c r="CC284" s="21">
        <v>2214</v>
      </c>
      <c r="CD284" s="21">
        <v>17118</v>
      </c>
      <c r="CE284" s="21">
        <v>1314</v>
      </c>
      <c r="CJ284" s="21">
        <v>5537</v>
      </c>
      <c r="CK284" s="21">
        <v>1240</v>
      </c>
      <c r="CL284" s="21">
        <v>130751</v>
      </c>
      <c r="CM284" s="21">
        <v>13622</v>
      </c>
      <c r="CR284" s="21">
        <v>56557</v>
      </c>
      <c r="CS284" s="21">
        <v>12486</v>
      </c>
    </row>
    <row r="285" spans="1:97" x14ac:dyDescent="0.35">
      <c r="A285" s="14">
        <f t="shared" si="1160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20">-(J285-J284)+L285</f>
        <v>27</v>
      </c>
      <c r="N285" s="7">
        <f t="shared" ref="N285" si="1521">B285-C285</f>
        <v>1065177</v>
      </c>
      <c r="O285" s="4">
        <f t="shared" ref="O285" si="1522">C285/B285</f>
        <v>0.204787948828209</v>
      </c>
      <c r="R285">
        <f t="shared" ref="R285" si="1523">C285-C284</f>
        <v>396</v>
      </c>
      <c r="S285">
        <f t="shared" ref="S285" si="1524">N285-N284</f>
        <v>1154</v>
      </c>
      <c r="T285" s="8">
        <f t="shared" ref="T285" si="1525">R285/V285</f>
        <v>0.25548387096774194</v>
      </c>
      <c r="U285" s="8">
        <f t="shared" ref="U285" si="1526">SUM(R279:R285)/SUM(V279:V285)</f>
        <v>0.3007334079988439</v>
      </c>
      <c r="V285">
        <f t="shared" ref="V285" si="1527">B285-B284</f>
        <v>1550</v>
      </c>
      <c r="W285">
        <f t="shared" ref="W285" si="1528">C285-D285-E285</f>
        <v>42896</v>
      </c>
      <c r="X285" s="3">
        <f t="shared" ref="X285" si="1529">F285/W285</f>
        <v>1.3008205893323388E-2</v>
      </c>
      <c r="Y285">
        <f t="shared" ref="Y285" si="1530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05"/>
        <v>217</v>
      </c>
      <c r="AJ285">
        <f t="shared" si="1506"/>
        <v>200</v>
      </c>
      <c r="AK285">
        <f t="shared" si="1507"/>
        <v>1416</v>
      </c>
      <c r="AT285">
        <f t="shared" ref="AT285" si="1531">BN285-BN284</f>
        <v>5564</v>
      </c>
      <c r="AU285">
        <f t="shared" si="1145"/>
        <v>424</v>
      </c>
      <c r="AV285">
        <f t="shared" ref="AV285" si="1532">AU285/AT285</f>
        <v>7.6204169662113588E-2</v>
      </c>
      <c r="AW285">
        <f t="shared" ref="AW285" si="1533">BV285-BV284</f>
        <v>26</v>
      </c>
      <c r="AX285">
        <f t="shared" si="1118"/>
        <v>6</v>
      </c>
      <c r="AY285">
        <f t="shared" ref="AY285" si="1534">CL285-CL284</f>
        <v>245</v>
      </c>
      <c r="AZ285">
        <f t="shared" si="1120"/>
        <v>15</v>
      </c>
      <c r="BA285">
        <f t="shared" ref="BA285" si="1535">CD285-CD284</f>
        <v>36</v>
      </c>
      <c r="BB285">
        <f t="shared" si="1122"/>
        <v>3</v>
      </c>
      <c r="BC285">
        <f t="shared" ref="BC285" si="1536">AX285/AW285</f>
        <v>0.23076923076923078</v>
      </c>
      <c r="BD285">
        <f t="shared" ref="BD285" si="1537">AZ285/AY285</f>
        <v>6.1224489795918366E-2</v>
      </c>
      <c r="BE285">
        <f t="shared" si="682"/>
        <v>8.3333333333333329E-2</v>
      </c>
      <c r="BF285">
        <f t="shared" ref="BF285" si="1538">SUM(AU279:AU285)/SUM(AT279:AT285)</f>
        <v>7.0043329780861779E-2</v>
      </c>
      <c r="BG285">
        <f t="shared" ref="BG285" si="1539">SUM(AU272:AU285)/SUM(AT272:AT285)</f>
        <v>7.5994848303013451E-2</v>
      </c>
      <c r="BH285">
        <f t="shared" ref="BH285" si="1540">SUM(AX279:AX285)/SUM(AW279:AW285)</f>
        <v>5.1435406698564591E-2</v>
      </c>
      <c r="BI285">
        <f t="shared" ref="BI285" si="1541">SUM(AZ279:AZ285)/SUM(AY279:AY285)</f>
        <v>5.8625902906097767E-2</v>
      </c>
      <c r="BJ285">
        <f t="shared" ref="BJ285" si="1542">SUM(BB279:BB285)/SUM(BA279:BA285)</f>
        <v>7.4938574938574934E-2</v>
      </c>
      <c r="BK285" s="20">
        <v>8.2000000000000003E-2</v>
      </c>
      <c r="BL285" s="20">
        <v>0.106</v>
      </c>
      <c r="BM285" s="20">
        <v>0.122</v>
      </c>
      <c r="BN285" s="21">
        <v>2990643</v>
      </c>
      <c r="BO285" s="21">
        <v>296441</v>
      </c>
      <c r="BT285" s="21">
        <v>1339488</v>
      </c>
      <c r="BU285" s="21">
        <v>274311</v>
      </c>
      <c r="BV285" s="21">
        <v>22567</v>
      </c>
      <c r="BW285" s="21">
        <v>2326</v>
      </c>
      <c r="CB285" s="21">
        <v>9393</v>
      </c>
      <c r="CC285" s="21">
        <v>2221</v>
      </c>
      <c r="CD285" s="21">
        <v>17154</v>
      </c>
      <c r="CE285" s="21">
        <v>1317</v>
      </c>
      <c r="CJ285" s="21">
        <v>5542</v>
      </c>
      <c r="CK285" s="21">
        <v>1243</v>
      </c>
      <c r="CL285" s="21">
        <v>130996</v>
      </c>
      <c r="CM285" s="21">
        <v>13637</v>
      </c>
      <c r="CR285" s="21">
        <v>56601</v>
      </c>
      <c r="CS285" s="21">
        <v>12501</v>
      </c>
    </row>
    <row r="286" spans="1:97" x14ac:dyDescent="0.35">
      <c r="A286" s="14">
        <f t="shared" si="1160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43">-(J286-J285)+L286</f>
        <v>20</v>
      </c>
      <c r="N286" s="7">
        <f t="shared" ref="N286" si="1544">B286-C286</f>
        <v>1066467</v>
      </c>
      <c r="O286" s="4">
        <f t="shared" ref="O286" si="1545">C286/B286</f>
        <v>0.20496152163071052</v>
      </c>
      <c r="R286">
        <f t="shared" ref="R286" si="1546">C286-C285</f>
        <v>625</v>
      </c>
      <c r="S286">
        <f t="shared" ref="S286" si="1547">N286-N285</f>
        <v>1290</v>
      </c>
      <c r="T286" s="8">
        <f t="shared" ref="T286" si="1548">R286/V286</f>
        <v>0.32637075718015668</v>
      </c>
      <c r="U286" s="8">
        <f t="shared" ref="U286" si="1549">SUM(R280:R286)/SUM(V280:V286)</f>
        <v>0.3066871334671547</v>
      </c>
      <c r="V286">
        <f t="shared" ref="V286" si="1550">B286-B285</f>
        <v>1915</v>
      </c>
      <c r="W286">
        <f t="shared" ref="W286" si="1551">C286-D286-E286</f>
        <v>42429</v>
      </c>
      <c r="X286" s="3">
        <f t="shared" ref="X286" si="1552">F286/W286</f>
        <v>1.3033538381767188E-2</v>
      </c>
      <c r="Y286">
        <f t="shared" ref="Y286" si="155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54">Z286-AC286-AF286</f>
        <v>211</v>
      </c>
      <c r="AJ286">
        <f t="shared" ref="AJ286" si="1555">AA286-AD286-AG286</f>
        <v>200</v>
      </c>
      <c r="AK286">
        <f t="shared" ref="AK286" si="1556">AB286-AE286-AH286</f>
        <v>1404</v>
      </c>
      <c r="AT286">
        <f t="shared" ref="AT286" si="1557">BN286-BN285</f>
        <v>6385</v>
      </c>
      <c r="AU286">
        <f t="shared" si="1145"/>
        <v>681</v>
      </c>
      <c r="AV286">
        <f t="shared" ref="AV286" si="1558">AU286/AT286</f>
        <v>0.10665622552858262</v>
      </c>
      <c r="AW286">
        <f t="shared" ref="AW286" si="1559">BV286-BV285</f>
        <v>37</v>
      </c>
      <c r="AX286">
        <f t="shared" si="1118"/>
        <v>2</v>
      </c>
      <c r="AY286">
        <f t="shared" ref="AY286" si="1560">CL286-CL285</f>
        <v>283</v>
      </c>
      <c r="AZ286">
        <f t="shared" si="1120"/>
        <v>23</v>
      </c>
      <c r="BA286">
        <f t="shared" ref="BA286" si="1561">CD286-CD285</f>
        <v>41</v>
      </c>
      <c r="BB286">
        <f t="shared" si="1122"/>
        <v>4</v>
      </c>
      <c r="BC286">
        <f t="shared" ref="BC286" si="1562">AX286/AW286</f>
        <v>5.4054054054054057E-2</v>
      </c>
      <c r="BD286">
        <f t="shared" ref="BD286" si="1563">AZ286/AY286</f>
        <v>8.1272084805653705E-2</v>
      </c>
      <c r="BE286">
        <f t="shared" si="682"/>
        <v>9.7560975609756101E-2</v>
      </c>
      <c r="BF286">
        <f t="shared" ref="BF286" si="1564">SUM(AU280:AU286)/SUM(AT280:AT286)</f>
        <v>6.8448945751304599E-2</v>
      </c>
      <c r="BG286">
        <f t="shared" ref="BG286" si="1565">SUM(AU273:AU286)/SUM(AT273:AT286)</f>
        <v>7.466270761807553E-2</v>
      </c>
      <c r="BH286">
        <f t="shared" ref="BH286" si="1566">SUM(AX280:AX286)/SUM(AW280:AW286)</f>
        <v>5.0868486352357321E-2</v>
      </c>
      <c r="BI286">
        <f t="shared" ref="BI286" si="1567">SUM(AZ280:AZ286)/SUM(AY280:AY286)</f>
        <v>5.5972101133391454E-2</v>
      </c>
      <c r="BJ286">
        <f t="shared" ref="BJ286" si="1568">SUM(BB280:BB286)/SUM(BA280:BA286)</f>
        <v>7.365792759051186E-2</v>
      </c>
      <c r="BK286" s="20">
        <v>8.4000000000000005E-2</v>
      </c>
      <c r="BL286" s="20">
        <v>0.106</v>
      </c>
      <c r="BM286" s="20">
        <v>0.123</v>
      </c>
      <c r="BN286" s="21">
        <v>2997028</v>
      </c>
      <c r="BO286" s="21">
        <v>297122</v>
      </c>
      <c r="BT286" s="21">
        <v>1341403</v>
      </c>
      <c r="BU286" s="21">
        <v>274936</v>
      </c>
      <c r="BV286" s="21">
        <v>22604</v>
      </c>
      <c r="BW286" s="21">
        <v>2328</v>
      </c>
      <c r="CB286" s="21">
        <v>9405</v>
      </c>
      <c r="CC286" s="21">
        <v>2223</v>
      </c>
      <c r="CD286" s="21">
        <v>17195</v>
      </c>
      <c r="CE286" s="21">
        <v>1321</v>
      </c>
      <c r="CJ286" s="21">
        <v>5550</v>
      </c>
      <c r="CK286" s="21">
        <v>1246</v>
      </c>
      <c r="CL286" s="21">
        <v>131279</v>
      </c>
      <c r="CM286" s="21">
        <v>13660</v>
      </c>
      <c r="CR286" s="21">
        <v>56679</v>
      </c>
      <c r="CS286" s="21">
        <v>12521</v>
      </c>
    </row>
    <row r="287" spans="1:97" x14ac:dyDescent="0.35">
      <c r="A287" s="14">
        <f t="shared" si="1160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69">-(J287-J286)+L287</f>
        <v>23</v>
      </c>
      <c r="N287" s="7">
        <f t="shared" ref="N287" si="1570">B287-C287</f>
        <v>1067338</v>
      </c>
      <c r="O287" s="4">
        <f t="shared" ref="O287" si="1571">C287/B287</f>
        <v>0.20514533340184643</v>
      </c>
      <c r="R287">
        <f t="shared" ref="R287" si="1572">C287-C286</f>
        <v>535</v>
      </c>
      <c r="S287">
        <f t="shared" ref="S287" si="1573">N287-N286</f>
        <v>871</v>
      </c>
      <c r="T287" s="8">
        <f t="shared" ref="T287" si="1574">R287/V287</f>
        <v>0.38051209103840683</v>
      </c>
      <c r="U287" s="8">
        <f t="shared" ref="U287" si="1575">SUM(R281:R287)/SUM(V281:V287)</f>
        <v>0.31095406360424027</v>
      </c>
      <c r="V287">
        <f t="shared" ref="V287" si="1576">B287-B286</f>
        <v>1406</v>
      </c>
      <c r="W287">
        <f t="shared" ref="W287" si="1577">C287-D287-E287</f>
        <v>42102</v>
      </c>
      <c r="X287" s="3">
        <f t="shared" ref="X287" si="1578">F287/W287</f>
        <v>1.3918578689848464E-2</v>
      </c>
      <c r="Y287">
        <f t="shared" ref="Y287" si="1579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80">Z287-AC287-AF287</f>
        <v>208</v>
      </c>
      <c r="AJ287">
        <f t="shared" ref="AJ287" si="1581">AA287-AD287-AG287</f>
        <v>198</v>
      </c>
      <c r="AK287">
        <f t="shared" ref="AK287" si="1582">AB287-AE287-AH287</f>
        <v>1414</v>
      </c>
      <c r="AT287">
        <f t="shared" ref="AT287" si="1583">BN287-BN286</f>
        <v>5415</v>
      </c>
      <c r="AU287">
        <f t="shared" si="1145"/>
        <v>576</v>
      </c>
      <c r="AV287">
        <f t="shared" ref="AV287" si="1584">AU287/AT287</f>
        <v>0.10637119113573407</v>
      </c>
      <c r="AW287">
        <f t="shared" ref="AW287" si="1585">BV287-BV286</f>
        <v>36</v>
      </c>
      <c r="AX287">
        <f t="shared" si="1118"/>
        <v>5</v>
      </c>
      <c r="AY287">
        <f t="shared" ref="AY287" si="1586">CL287-CL286</f>
        <v>405</v>
      </c>
      <c r="AZ287">
        <f t="shared" si="1120"/>
        <v>37</v>
      </c>
      <c r="BA287">
        <f t="shared" ref="BA287" si="1587">CD287-CD286</f>
        <v>55</v>
      </c>
      <c r="BB287">
        <f t="shared" si="1122"/>
        <v>1</v>
      </c>
      <c r="BC287">
        <f t="shared" ref="BC287" si="1588">AX287/AW287</f>
        <v>0.1388888888888889</v>
      </c>
      <c r="BD287">
        <f t="shared" ref="BD287" si="1589">AZ287/AY287</f>
        <v>9.1358024691358022E-2</v>
      </c>
      <c r="BE287">
        <f t="shared" si="682"/>
        <v>1.8181818181818181E-2</v>
      </c>
      <c r="BF287">
        <f t="shared" ref="BF287" si="1590">SUM(AU281:AU287)/SUM(AT281:AT287)</f>
        <v>6.8366136093948204E-2</v>
      </c>
      <c r="BG287">
        <f t="shared" ref="BG287" si="1591">SUM(AU274:AU287)/SUM(AT274:AT287)</f>
        <v>7.442099424065643E-2</v>
      </c>
      <c r="BH287">
        <f t="shared" ref="BH287" si="1592">SUM(AX281:AX287)/SUM(AW281:AW287)</f>
        <v>4.9200492004920049E-2</v>
      </c>
      <c r="BI287">
        <f t="shared" ref="BI287" si="1593">SUM(AZ281:AZ287)/SUM(AY281:AY287)</f>
        <v>5.7446091644204854E-2</v>
      </c>
      <c r="BJ287">
        <f t="shared" ref="BJ287" si="1594">SUM(BB281:BB287)/SUM(BA281:BA287)</f>
        <v>7.0828331332533009E-2</v>
      </c>
      <c r="BK287" s="20">
        <v>8.2000000000000003E-2</v>
      </c>
      <c r="BL287" s="20">
        <v>0.109</v>
      </c>
      <c r="BM287" s="20">
        <v>0.123</v>
      </c>
      <c r="BN287" s="21">
        <v>3002443</v>
      </c>
      <c r="BO287" s="21">
        <v>297698</v>
      </c>
      <c r="BT287" s="21">
        <v>1342809</v>
      </c>
      <c r="BU287" s="21">
        <v>275471</v>
      </c>
      <c r="BV287" s="21">
        <v>22640</v>
      </c>
      <c r="BW287" s="21">
        <v>2333</v>
      </c>
      <c r="CB287" s="21">
        <v>9410</v>
      </c>
      <c r="CC287" s="21">
        <v>2226</v>
      </c>
      <c r="CD287" s="21">
        <v>17250</v>
      </c>
      <c r="CE287" s="21">
        <v>1322</v>
      </c>
      <c r="CJ287" s="21">
        <v>5562</v>
      </c>
      <c r="CK287" s="21">
        <v>1248</v>
      </c>
      <c r="CL287" s="21">
        <v>131684</v>
      </c>
      <c r="CM287" s="21">
        <v>13697</v>
      </c>
      <c r="CR287" s="21">
        <v>56771</v>
      </c>
      <c r="CS287" s="21">
        <v>12554</v>
      </c>
    </row>
    <row r="288" spans="1:97" x14ac:dyDescent="0.35">
      <c r="A288" s="14">
        <f t="shared" si="1160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95">-(J288-J287)+L288</f>
        <v>9</v>
      </c>
      <c r="N288" s="7">
        <f t="shared" ref="N288" si="1596">B288-C288</f>
        <v>1069764</v>
      </c>
      <c r="O288" s="4">
        <f t="shared" ref="O288" si="1597">C288/B288</f>
        <v>0.20564635296388978</v>
      </c>
      <c r="R288">
        <f t="shared" ref="R288" si="1598">C288-C287</f>
        <v>1475</v>
      </c>
      <c r="S288">
        <f t="shared" ref="S288" si="1599">N288-N287</f>
        <v>2426</v>
      </c>
      <c r="T288" s="8">
        <f t="shared" ref="T288" si="1600">R288/V288</f>
        <v>0.37810817739041269</v>
      </c>
      <c r="U288" s="8">
        <f t="shared" ref="U288" si="1601">SUM(R282:R288)/SUM(V282:V288)</f>
        <v>0.322509765625</v>
      </c>
      <c r="V288">
        <f t="shared" ref="V288" si="1602">B288-B287</f>
        <v>3901</v>
      </c>
      <c r="W288">
        <f t="shared" ref="W288" si="1603">C288-D288-E288</f>
        <v>39476</v>
      </c>
      <c r="X288" s="3">
        <f t="shared" ref="X288" si="1604">F288/W288</f>
        <v>1.5705745262944572E-2</v>
      </c>
      <c r="Y288">
        <f t="shared" ref="Y288" si="1605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06">Z288-AC288-AF288</f>
        <v>191</v>
      </c>
      <c r="AJ288">
        <f t="shared" ref="AJ288" si="1607">AA288-AD288-AG288</f>
        <v>175</v>
      </c>
      <c r="AK288">
        <f t="shared" ref="AK288" si="1608">AB288-AE288-AH288</f>
        <v>1289</v>
      </c>
      <c r="AT288">
        <f t="shared" ref="AT288" si="1609">BN288-BN287</f>
        <v>26081</v>
      </c>
      <c r="AU288">
        <f t="shared" si="1145"/>
        <v>1558</v>
      </c>
      <c r="AV288">
        <f t="shared" ref="AV288" si="1610">AU288/AT288</f>
        <v>5.9736973275564584E-2</v>
      </c>
      <c r="AW288">
        <f t="shared" ref="AW288" si="1611">BV288-BV287</f>
        <v>106</v>
      </c>
      <c r="AX288">
        <f t="shared" si="1118"/>
        <v>13</v>
      </c>
      <c r="AY288">
        <f t="shared" ref="AY288" si="1612">CL288-CL287</f>
        <v>1737</v>
      </c>
      <c r="AZ288">
        <f t="shared" si="1120"/>
        <v>53</v>
      </c>
      <c r="BA288">
        <f t="shared" ref="BA288" si="1613">CD288-CD287</f>
        <v>133</v>
      </c>
      <c r="BB288">
        <f t="shared" si="1122"/>
        <v>1</v>
      </c>
      <c r="BC288">
        <f t="shared" ref="BC288" si="1614">AX288/AW288</f>
        <v>0.12264150943396226</v>
      </c>
      <c r="BD288">
        <f t="shared" ref="BD288" si="1615">AZ288/AY288</f>
        <v>3.051237766263673E-2</v>
      </c>
      <c r="BE288">
        <f t="shared" si="682"/>
        <v>7.5187969924812026E-3</v>
      </c>
      <c r="BF288">
        <f t="shared" ref="BF288" si="1616">SUM(AU282:AU288)/SUM(AT282:AT288)</f>
        <v>7.2713203343565846E-2</v>
      </c>
      <c r="BG288">
        <f t="shared" ref="BG288" si="1617">SUM(AU275:AU288)/SUM(AT275:AT288)</f>
        <v>7.3952867548913989E-2</v>
      </c>
      <c r="BH288">
        <f t="shared" ref="BH288" si="1618">SUM(AX282:AX288)/SUM(AW282:AW288)</f>
        <v>7.03125E-2</v>
      </c>
      <c r="BI288">
        <f t="shared" ref="BI288" si="1619">SUM(AZ282:AZ288)/SUM(AY282:AY288)</f>
        <v>5.6606851549755303E-2</v>
      </c>
      <c r="BJ288">
        <f t="shared" ref="BJ288" si="1620">SUM(BB282:BB288)/SUM(BA282:BA288)</f>
        <v>7.2423398328690811E-2</v>
      </c>
      <c r="BK288" s="20">
        <v>8.5999999999999993E-2</v>
      </c>
      <c r="BL288" s="20">
        <v>0.109</v>
      </c>
      <c r="BM288" s="20">
        <v>0.113</v>
      </c>
      <c r="BN288" s="20">
        <v>3028524</v>
      </c>
      <c r="BO288" s="20">
        <v>299256</v>
      </c>
      <c r="BP288" s="20"/>
      <c r="BQ288" s="20"/>
      <c r="BR288" s="20"/>
      <c r="BS288" s="20"/>
      <c r="BT288" s="20">
        <v>1346710</v>
      </c>
      <c r="BU288" s="20">
        <v>276946</v>
      </c>
      <c r="BV288" s="20">
        <v>22746</v>
      </c>
      <c r="BW288" s="20">
        <v>2346</v>
      </c>
      <c r="BX288" s="20"/>
      <c r="BY288" s="20"/>
      <c r="BZ288" s="20"/>
      <c r="CA288" s="20"/>
      <c r="CB288" s="20">
        <v>9431</v>
      </c>
      <c r="CC288" s="20">
        <v>2234</v>
      </c>
      <c r="CD288" s="20">
        <v>17383</v>
      </c>
      <c r="CE288" s="20">
        <v>1323</v>
      </c>
      <c r="CF288" s="20"/>
      <c r="CG288" s="20"/>
      <c r="CH288" s="20"/>
      <c r="CI288" s="20"/>
      <c r="CJ288" s="20">
        <v>5570</v>
      </c>
      <c r="CK288" s="20">
        <v>1249</v>
      </c>
      <c r="CL288" s="20">
        <v>133421</v>
      </c>
      <c r="CM288" s="20">
        <v>13750</v>
      </c>
      <c r="CN288" s="20"/>
      <c r="CO288" s="20"/>
      <c r="CP288" s="20"/>
      <c r="CQ288" s="20"/>
      <c r="CR288" s="20">
        <v>56885</v>
      </c>
      <c r="CS288" s="20">
        <v>12600</v>
      </c>
    </row>
    <row r="289" spans="1:97" x14ac:dyDescent="0.35">
      <c r="A289" s="14">
        <f t="shared" si="1160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21">-(J289-J288)+L289</f>
        <v>26</v>
      </c>
      <c r="N289" s="7">
        <f t="shared" ref="N289" si="1622">B289-C289</f>
        <v>1072283</v>
      </c>
      <c r="O289" s="4">
        <f t="shared" ref="O289" si="1623">C289/B289</f>
        <v>0.20623136394458114</v>
      </c>
      <c r="R289">
        <f t="shared" ref="R289" si="1624">C289-C288</f>
        <v>1647</v>
      </c>
      <c r="S289">
        <f t="shared" ref="S289" si="1625">N289-N288</f>
        <v>2519</v>
      </c>
      <c r="T289" s="8">
        <f t="shared" ref="T289" si="1626">R289/V289</f>
        <v>0.39534325492078731</v>
      </c>
      <c r="U289" s="8">
        <f t="shared" ref="U289" si="1627">SUM(R283:R289)/SUM(V283:V289)</f>
        <v>0.33596487337561537</v>
      </c>
      <c r="V289">
        <f t="shared" ref="V289" si="1628">B289-B288</f>
        <v>4166</v>
      </c>
      <c r="W289">
        <f t="shared" ref="W289" si="1629">C289-D289-E289</f>
        <v>38124</v>
      </c>
      <c r="X289" s="3">
        <f t="shared" ref="X289" si="1630">F289/W289</f>
        <v>1.6052880075542966E-2</v>
      </c>
      <c r="Y289">
        <f t="shared" ref="Y289" si="1631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32">Z289-AC289-AF289</f>
        <v>175</v>
      </c>
      <c r="AJ289">
        <f t="shared" ref="AJ289" si="1633">AA289-AD289-AG289</f>
        <v>169</v>
      </c>
      <c r="AK289">
        <f t="shared" ref="AK289" si="1634">AB289-AE289-AH289</f>
        <v>1289</v>
      </c>
      <c r="AT289">
        <f t="shared" ref="AT289" si="1635">BN289-BN288</f>
        <v>20590</v>
      </c>
      <c r="AU289">
        <f t="shared" si="1145"/>
        <v>1727</v>
      </c>
      <c r="AV289">
        <f t="shared" ref="AV289" si="1636">AU289/AT289</f>
        <v>8.3875667799902867E-2</v>
      </c>
      <c r="AW289">
        <f t="shared" ref="AW289" si="1637">BV289-BV288</f>
        <v>160</v>
      </c>
      <c r="AX289">
        <f t="shared" si="1118"/>
        <v>10</v>
      </c>
      <c r="AY289">
        <f t="shared" ref="AY289" si="1638">CL289-CL288</f>
        <v>881</v>
      </c>
      <c r="AZ289">
        <f t="shared" si="1120"/>
        <v>80</v>
      </c>
      <c r="BA289">
        <f t="shared" ref="BA289" si="1639">CD289-CD288</f>
        <v>144</v>
      </c>
      <c r="BB289">
        <f t="shared" si="1122"/>
        <v>9</v>
      </c>
      <c r="BC289">
        <f t="shared" ref="BC289" si="1640">AX289/AW289</f>
        <v>6.25E-2</v>
      </c>
      <c r="BD289">
        <f t="shared" ref="BD289" si="1641">AZ289/AY289</f>
        <v>9.0805902383654935E-2</v>
      </c>
      <c r="BE289">
        <f t="shared" si="682"/>
        <v>6.25E-2</v>
      </c>
      <c r="BF289">
        <f t="shared" ref="BF289" si="1642">SUM(AU283:AU289)/SUM(AT283:AT289)</f>
        <v>7.4583310463435609E-2</v>
      </c>
      <c r="BG289">
        <f t="shared" ref="BG289" si="1643">SUM(AU276:AU289)/SUM(AT276:AT289)</f>
        <v>7.464807411758019E-2</v>
      </c>
      <c r="BH289">
        <f t="shared" ref="BH289" si="1644">SUM(AX283:AX289)/SUM(AW283:AW289)</f>
        <v>7.716049382716049E-2</v>
      </c>
      <c r="BI289">
        <f t="shared" ref="BI289" si="1645">SUM(AZ283:AZ289)/SUM(AY283:AY289)</f>
        <v>5.9456598447424139E-2</v>
      </c>
      <c r="BJ289">
        <f t="shared" ref="BJ289" si="1646">SUM(BB283:BB289)/SUM(BA283:BA289)</f>
        <v>6.8017366136034735E-2</v>
      </c>
      <c r="BK289" s="20">
        <v>0.09</v>
      </c>
      <c r="BL289" s="20">
        <v>0.11700000000000001</v>
      </c>
      <c r="BM289" s="20">
        <v>0.124</v>
      </c>
      <c r="BN289" s="20">
        <v>3049114</v>
      </c>
      <c r="BO289" s="20">
        <v>300983</v>
      </c>
      <c r="BP289" s="20"/>
      <c r="BQ289" s="20"/>
      <c r="BR289" s="20"/>
      <c r="BS289" s="20"/>
      <c r="BT289" s="20">
        <v>1350876</v>
      </c>
      <c r="BU289" s="20">
        <v>278593</v>
      </c>
      <c r="BV289" s="20">
        <v>22906</v>
      </c>
      <c r="BW289" s="20">
        <v>2356</v>
      </c>
      <c r="BX289" s="20"/>
      <c r="BY289" s="20"/>
      <c r="BZ289" s="20"/>
      <c r="CA289" s="20"/>
      <c r="CB289" s="20">
        <v>9462</v>
      </c>
      <c r="CC289" s="20">
        <v>2247</v>
      </c>
      <c r="CD289" s="20">
        <v>17527</v>
      </c>
      <c r="CE289" s="20">
        <v>1332</v>
      </c>
      <c r="CF289" s="20"/>
      <c r="CG289" s="20"/>
      <c r="CH289" s="20"/>
      <c r="CI289" s="20"/>
      <c r="CJ289" s="20">
        <v>5595</v>
      </c>
      <c r="CK289" s="20">
        <v>1258</v>
      </c>
      <c r="CL289" s="20">
        <v>134302</v>
      </c>
      <c r="CM289" s="20">
        <v>13830</v>
      </c>
      <c r="CN289" s="20"/>
      <c r="CO289" s="20"/>
      <c r="CP289" s="20"/>
      <c r="CQ289" s="20"/>
      <c r="CR289" s="20">
        <v>57087</v>
      </c>
      <c r="CS289" s="20">
        <v>12680</v>
      </c>
    </row>
    <row r="290" spans="1:97" x14ac:dyDescent="0.35">
      <c r="A290" s="14">
        <f t="shared" si="1160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47">-(J290-J289)+L290</f>
        <v>23</v>
      </c>
      <c r="N290" s="7">
        <f t="shared" ref="N290" si="1648">B290-C290</f>
        <v>1074712</v>
      </c>
      <c r="O290" s="4">
        <f t="shared" ref="O290" si="1649">C290/B290</f>
        <v>0.20686046597442084</v>
      </c>
      <c r="R290">
        <f t="shared" ref="R290" si="1650">C290-C289</f>
        <v>1705</v>
      </c>
      <c r="S290">
        <f t="shared" ref="S290" si="1651">N290-N289</f>
        <v>2429</v>
      </c>
      <c r="T290" s="8">
        <f t="shared" ref="T290" si="1652">R290/V290</f>
        <v>0.41243347847121431</v>
      </c>
      <c r="U290" s="8">
        <f t="shared" ref="U290" si="1653">SUM(R284:R290)/SUM(V284:V290)</f>
        <v>0.35583544762595143</v>
      </c>
      <c r="V290">
        <f t="shared" ref="V290" si="1654">B290-B289</f>
        <v>4134</v>
      </c>
      <c r="W290">
        <f t="shared" ref="W290" si="1655">C290-D290-E290</f>
        <v>37499</v>
      </c>
      <c r="X290" s="3">
        <f t="shared" ref="X290" si="1656">F290/W290</f>
        <v>1.6000426678044747E-2</v>
      </c>
      <c r="Y290">
        <f t="shared" ref="Y290" si="165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58">Z290-AC290-AF290</f>
        <v>170</v>
      </c>
      <c r="AJ290">
        <f t="shared" ref="AJ290" si="1659">AA290-AD290-AG290</f>
        <v>162</v>
      </c>
      <c r="AK290">
        <f t="shared" ref="AK290" si="1660">AB290-AE290-AH290</f>
        <v>1288</v>
      </c>
      <c r="AT290">
        <f t="shared" ref="AT290" si="1661">BN290-BN289</f>
        <v>15418</v>
      </c>
      <c r="AU290">
        <f t="shared" si="1145"/>
        <v>1909</v>
      </c>
      <c r="AV290">
        <f t="shared" ref="AV290" si="1662">AU290/AT290</f>
        <v>0.1238163185886626</v>
      </c>
      <c r="AW290">
        <f t="shared" ref="AW290" si="1663">BV290-BV289</f>
        <v>93</v>
      </c>
      <c r="AX290">
        <f t="shared" si="1118"/>
        <v>14</v>
      </c>
      <c r="AY290">
        <f t="shared" ref="AY290" si="1664">CL290-CL289</f>
        <v>719</v>
      </c>
      <c r="AZ290">
        <f t="shared" si="1120"/>
        <v>74</v>
      </c>
      <c r="BA290">
        <f t="shared" ref="BA290" si="1665">CD290-CD289</f>
        <v>69</v>
      </c>
      <c r="BB290">
        <f t="shared" si="1122"/>
        <v>9</v>
      </c>
      <c r="BC290">
        <f t="shared" ref="BC290" si="1666">AX290/AW290</f>
        <v>0.15053763440860216</v>
      </c>
      <c r="BD290">
        <f t="shared" ref="BD290" si="1667">AZ290/AY290</f>
        <v>0.10292072322670376</v>
      </c>
      <c r="BE290">
        <f t="shared" si="682"/>
        <v>0.13043478260869565</v>
      </c>
      <c r="BF290">
        <f t="shared" ref="BF290" si="1668">SUM(AU284:AU290)/SUM(AT284:AT290)</f>
        <v>8.2899942646615668E-2</v>
      </c>
      <c r="BG290">
        <f t="shared" ref="BG290" si="1669">SUM(AU277:AU290)/SUM(AT277:AT290)</f>
        <v>7.6073154627252879E-2</v>
      </c>
      <c r="BH290">
        <f t="shared" ref="BH290" si="1670">SUM(AX284:AX290)/SUM(AW284:AW290)</f>
        <v>8.3462132921174659E-2</v>
      </c>
      <c r="BI290">
        <f t="shared" ref="BI290" si="1671">SUM(AZ284:AZ290)/SUM(AY284:AY290)</f>
        <v>6.5997130559540887E-2</v>
      </c>
      <c r="BJ290">
        <f t="shared" ref="BJ290" si="1672">SUM(BB284:BB290)/SUM(BA284:BA290)</f>
        <v>6.7082683307332289E-2</v>
      </c>
      <c r="BK290" s="20">
        <v>0.1</v>
      </c>
      <c r="BL290" s="20">
        <v>0.121</v>
      </c>
      <c r="BM290" s="20">
        <v>0.13800000000000001</v>
      </c>
      <c r="BN290" s="20">
        <v>3064532</v>
      </c>
      <c r="BO290" s="20">
        <v>302892</v>
      </c>
      <c r="BP290" s="20"/>
      <c r="BQ290" s="20"/>
      <c r="BR290" s="20"/>
      <c r="BS290" s="20"/>
      <c r="BT290" s="20">
        <v>1355010</v>
      </c>
      <c r="BU290" s="20">
        <v>280298</v>
      </c>
      <c r="BV290" s="20">
        <v>22999</v>
      </c>
      <c r="BW290" s="20">
        <v>2370</v>
      </c>
      <c r="BX290" s="20"/>
      <c r="BY290" s="20"/>
      <c r="BZ290" s="20"/>
      <c r="CA290" s="20"/>
      <c r="CB290" s="20">
        <v>9479</v>
      </c>
      <c r="CC290" s="20">
        <v>2259</v>
      </c>
      <c r="CD290" s="20">
        <v>17596</v>
      </c>
      <c r="CE290" s="20">
        <v>1341</v>
      </c>
      <c r="CF290" s="20"/>
      <c r="CG290" s="20"/>
      <c r="CH290" s="20"/>
      <c r="CI290" s="20"/>
      <c r="CJ290" s="20">
        <v>5609</v>
      </c>
      <c r="CK290" s="20">
        <v>1267</v>
      </c>
      <c r="CL290" s="20">
        <v>135021</v>
      </c>
      <c r="CM290" s="20">
        <v>13904</v>
      </c>
      <c r="CN290" s="20"/>
      <c r="CO290" s="20"/>
      <c r="CP290" s="20"/>
      <c r="CQ290" s="20"/>
      <c r="CR290" s="20">
        <v>57247</v>
      </c>
      <c r="CS290" s="20">
        <v>12746</v>
      </c>
    </row>
    <row r="291" spans="1:97" x14ac:dyDescent="0.35">
      <c r="A291" s="14">
        <f t="shared" si="1160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73">-(J291-J290)+L291</f>
        <v>20</v>
      </c>
      <c r="N291" s="7">
        <f t="shared" ref="N291" si="1674">B291-C291</f>
        <v>1077222</v>
      </c>
      <c r="O291" s="4">
        <f t="shared" ref="O291" si="1675">C291/B291</f>
        <v>0.20772634903310316</v>
      </c>
      <c r="R291">
        <f t="shared" ref="R291" si="1676">C291-C290</f>
        <v>2139</v>
      </c>
      <c r="S291">
        <f t="shared" ref="S291" si="1677">N291-N290</f>
        <v>2510</v>
      </c>
      <c r="T291" s="8">
        <f t="shared" ref="T291" si="1678">R291/V291</f>
        <v>0.46009894600989459</v>
      </c>
      <c r="U291" s="8">
        <f t="shared" ref="U291" si="1679">SUM(R285:R291)/SUM(V285:V291)</f>
        <v>0.39233921090189217</v>
      </c>
      <c r="V291">
        <f t="shared" ref="V291" si="1680">B291-B290</f>
        <v>4649</v>
      </c>
      <c r="W291">
        <f t="shared" ref="W291" si="1681">C291-D291-E291</f>
        <v>37316</v>
      </c>
      <c r="X291" s="3">
        <f t="shared" ref="X291" si="1682">F291/W291</f>
        <v>1.5408939864937292E-2</v>
      </c>
      <c r="Y291">
        <f t="shared" ref="Y291" si="1683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84">Z291-AC291-AF291</f>
        <v>169</v>
      </c>
      <c r="AJ291">
        <f t="shared" ref="AJ291" si="1685">AA291-AD291-AG291</f>
        <v>168</v>
      </c>
      <c r="AK291">
        <f t="shared" ref="AK291" si="1686">AB291-AE291-AH291</f>
        <v>1282</v>
      </c>
      <c r="AT291">
        <f t="shared" ref="AT291" si="1687">BN291-BN290</f>
        <v>29441</v>
      </c>
      <c r="AU291">
        <f t="shared" si="1145"/>
        <v>2268</v>
      </c>
      <c r="AV291">
        <f t="shared" ref="AV291" si="1688">AU291/AT291</f>
        <v>7.7035426785774935E-2</v>
      </c>
      <c r="AW291">
        <f t="shared" ref="AW291" si="1689">BV291-BV290</f>
        <v>143</v>
      </c>
      <c r="AX291">
        <f t="shared" si="1118"/>
        <v>7</v>
      </c>
      <c r="AY291">
        <f t="shared" ref="AY291" si="1690">CL291-CL290</f>
        <v>1297</v>
      </c>
      <c r="AZ291">
        <f t="shared" si="1120"/>
        <v>61</v>
      </c>
      <c r="BA291">
        <f t="shared" ref="BA291" si="1691">CD291-CD290</f>
        <v>239</v>
      </c>
      <c r="BB291">
        <f t="shared" si="1122"/>
        <v>15</v>
      </c>
      <c r="BC291">
        <f t="shared" ref="BC291" si="1692">AX291/AW291</f>
        <v>4.8951048951048952E-2</v>
      </c>
      <c r="BD291">
        <f t="shared" ref="BD291" si="1693">AZ291/AY291</f>
        <v>4.7031611410948346E-2</v>
      </c>
      <c r="BE291">
        <f t="shared" si="682"/>
        <v>6.2761506276150625E-2</v>
      </c>
      <c r="BF291">
        <f t="shared" ref="BF291" si="1694">SUM(AU285:AU291)/SUM(AT285:AT291)</f>
        <v>8.3962385439050824E-2</v>
      </c>
      <c r="BG291">
        <f t="shared" ref="BG291" si="1695">SUM(AU278:AU291)/SUM(AT278:AT291)</f>
        <v>7.5706818767475759E-2</v>
      </c>
      <c r="BH291">
        <f t="shared" ref="BH291" si="1696">SUM(AX285:AX291)/SUM(AW285:AW291)</f>
        <v>9.4841930116472545E-2</v>
      </c>
      <c r="BI291">
        <f t="shared" ref="BI291" si="1697">SUM(AZ285:AZ291)/SUM(AY285:AY291)</f>
        <v>6.1613077061253817E-2</v>
      </c>
      <c r="BJ291">
        <f t="shared" ref="BJ291" si="1698">SUM(BB285:BB291)/SUM(BA285:BA291)</f>
        <v>5.8577405857740586E-2</v>
      </c>
      <c r="BK291" s="20">
        <v>0.104</v>
      </c>
      <c r="BL291" s="20">
        <v>0.122</v>
      </c>
      <c r="BM291" s="20">
        <v>0.15</v>
      </c>
      <c r="BN291" s="20">
        <v>3093973</v>
      </c>
      <c r="BO291" s="20">
        <v>305160</v>
      </c>
      <c r="BP291" s="20"/>
      <c r="BQ291" s="20"/>
      <c r="BR291" s="20"/>
      <c r="BS291" s="20"/>
      <c r="BT291" s="20">
        <v>1359659</v>
      </c>
      <c r="BU291" s="20">
        <v>282437</v>
      </c>
      <c r="BV291" s="20">
        <v>23142</v>
      </c>
      <c r="BW291" s="20">
        <v>2377</v>
      </c>
      <c r="BX291" s="20"/>
      <c r="BY291" s="20"/>
      <c r="BZ291" s="20"/>
      <c r="CA291" s="20"/>
      <c r="CB291" s="20">
        <v>9501</v>
      </c>
      <c r="CC291" s="20">
        <v>2269</v>
      </c>
      <c r="CD291" s="20">
        <v>17835</v>
      </c>
      <c r="CE291" s="20">
        <v>1356</v>
      </c>
      <c r="CF291" s="20"/>
      <c r="CG291" s="20"/>
      <c r="CH291" s="20"/>
      <c r="CI291" s="20"/>
      <c r="CJ291" s="20">
        <v>5631</v>
      </c>
      <c r="CK291" s="20">
        <v>1282</v>
      </c>
      <c r="CL291" s="20">
        <v>136318</v>
      </c>
      <c r="CM291" s="20">
        <v>13965</v>
      </c>
      <c r="CN291" s="20"/>
      <c r="CO291" s="20"/>
      <c r="CP291" s="20"/>
      <c r="CQ291" s="20"/>
      <c r="CR291" s="20">
        <v>57394</v>
      </c>
      <c r="CS291" s="20">
        <v>12804</v>
      </c>
    </row>
    <row r="292" spans="1:97" x14ac:dyDescent="0.35">
      <c r="A292" s="14">
        <f t="shared" si="1160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99">-(J292-J291)+L292</f>
        <v>25</v>
      </c>
      <c r="N292" s="7">
        <f t="shared" ref="N292" si="1700">B292-C292</f>
        <v>1078566</v>
      </c>
      <c r="O292" s="4">
        <f t="shared" ref="O292" si="1701">C292/B292</f>
        <v>0.20793267288923487</v>
      </c>
      <c r="R292">
        <f t="shared" ref="R292" si="1702">C292-C291</f>
        <v>707</v>
      </c>
      <c r="S292">
        <f t="shared" ref="S292" si="1703">N292-N291</f>
        <v>1344</v>
      </c>
      <c r="T292" s="8">
        <f t="shared" ref="T292" si="1704">R292/V292</f>
        <v>0.34470989761092152</v>
      </c>
      <c r="U292" s="8">
        <f t="shared" ref="U292" si="1705">SUM(R286:R292)/SUM(V286:V292)</f>
        <v>0.39748897488974888</v>
      </c>
      <c r="V292">
        <f t="shared" ref="V292" si="1706">B292-B291</f>
        <v>2051</v>
      </c>
      <c r="W292">
        <f t="shared" ref="W292" si="1707">C292-D292-E292</f>
        <v>35980</v>
      </c>
      <c r="X292" s="3">
        <f t="shared" ref="X292" si="1708">F292/W292</f>
        <v>1.5897720956086714E-2</v>
      </c>
      <c r="Y292">
        <f t="shared" ref="Y292" si="1709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10">Z292-AC292-AF292</f>
        <v>160</v>
      </c>
      <c r="AJ292">
        <f t="shared" ref="AJ292:AJ293" si="1711">AA292-AD292-AG292</f>
        <v>166</v>
      </c>
      <c r="AK292">
        <f t="shared" ref="AK292:AK293" si="1712">AB292-AE292-AH292</f>
        <v>1224</v>
      </c>
      <c r="AT292">
        <f t="shared" ref="AT292" si="1713">BN292-BN291</f>
        <v>8336</v>
      </c>
      <c r="AU292">
        <f t="shared" si="1145"/>
        <v>735</v>
      </c>
      <c r="AV292">
        <f t="shared" ref="AV292" si="1714">AU292/AT292</f>
        <v>8.8171785028790792E-2</v>
      </c>
      <c r="AW292">
        <f t="shared" ref="AW292" si="1715">BV292-BV291</f>
        <v>39</v>
      </c>
      <c r="AX292">
        <f t="shared" si="1118"/>
        <v>1</v>
      </c>
      <c r="AY292">
        <f t="shared" ref="AY292" si="1716">CL292-CL291</f>
        <v>449</v>
      </c>
      <c r="AZ292">
        <f t="shared" si="1120"/>
        <v>21</v>
      </c>
      <c r="BA292">
        <f t="shared" ref="BA292" si="1717">CD292-CD291</f>
        <v>33</v>
      </c>
      <c r="BB292">
        <f t="shared" si="1122"/>
        <v>9</v>
      </c>
      <c r="BC292">
        <f t="shared" ref="BC292" si="1718">AX292/AW292</f>
        <v>2.564102564102564E-2</v>
      </c>
      <c r="BD292">
        <f t="shared" ref="BD292" si="1719">AZ292/AY292</f>
        <v>4.6770601336302897E-2</v>
      </c>
      <c r="BE292">
        <f t="shared" si="682"/>
        <v>0.27272727272727271</v>
      </c>
      <c r="BF292">
        <f t="shared" ref="BF292" si="1720">SUM(AU286:AU292)/SUM(AT286:AT292)</f>
        <v>8.4663192019056824E-2</v>
      </c>
      <c r="BG292">
        <f t="shared" ref="BG292" si="1721">SUM(AU279:AU292)/SUM(AT279:AT292)</f>
        <v>7.6839497949753352E-2</v>
      </c>
      <c r="BH292">
        <f t="shared" ref="BH292" si="1722">SUM(AX286:AX292)/SUM(AW286:AW292)</f>
        <v>8.4690553745928335E-2</v>
      </c>
      <c r="BI292">
        <f t="shared" ref="BI292" si="1723">SUM(AZ286:AZ292)/SUM(AY286:AY292)</f>
        <v>6.0474787731762257E-2</v>
      </c>
      <c r="BJ292">
        <f t="shared" ref="BJ292" si="1724">SUM(BB286:BB292)/SUM(BA286:BA292)</f>
        <v>6.7226890756302518E-2</v>
      </c>
      <c r="BK292" s="20">
        <v>0.105</v>
      </c>
      <c r="BL292" s="20">
        <v>0.122</v>
      </c>
      <c r="BM292" s="20">
        <v>0.155</v>
      </c>
      <c r="BN292" s="20">
        <v>3102309</v>
      </c>
      <c r="BO292" s="20">
        <v>305895</v>
      </c>
      <c r="BP292" s="20"/>
      <c r="BQ292" s="20"/>
      <c r="BR292" s="20"/>
      <c r="BS292" s="20"/>
      <c r="BT292" s="20">
        <v>1361710</v>
      </c>
      <c r="BU292" s="20">
        <v>283144</v>
      </c>
      <c r="BV292" s="20">
        <v>23181</v>
      </c>
      <c r="BW292" s="20">
        <v>2378</v>
      </c>
      <c r="BX292" s="20"/>
      <c r="BY292" s="20"/>
      <c r="BZ292" s="20"/>
      <c r="CA292" s="20"/>
      <c r="CB292" s="20">
        <v>9509</v>
      </c>
      <c r="CC292" s="20">
        <v>2271</v>
      </c>
      <c r="CD292" s="20">
        <v>17868</v>
      </c>
      <c r="CE292" s="20">
        <v>1365</v>
      </c>
      <c r="CF292" s="20"/>
      <c r="CG292" s="20"/>
      <c r="CH292" s="20"/>
      <c r="CI292" s="20"/>
      <c r="CJ292" s="20">
        <v>5646</v>
      </c>
      <c r="CK292" s="20">
        <v>1290</v>
      </c>
      <c r="CL292" s="20">
        <v>136767</v>
      </c>
      <c r="CM292" s="20">
        <v>13986</v>
      </c>
      <c r="CN292" s="20"/>
      <c r="CO292" s="20"/>
      <c r="CP292" s="20"/>
      <c r="CQ292" s="20"/>
      <c r="CR292" s="20">
        <v>57453</v>
      </c>
      <c r="CS292" s="20">
        <v>12823</v>
      </c>
    </row>
    <row r="293" spans="1:97" x14ac:dyDescent="0.35">
      <c r="A293" s="14">
        <f t="shared" si="1160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25">-(J293-J292)+L293</f>
        <v>15</v>
      </c>
      <c r="N293" s="7">
        <f t="shared" ref="N293" si="1726">B293-C293</f>
        <v>1080084</v>
      </c>
      <c r="O293" s="4">
        <f t="shared" ref="O293" si="1727">C293/B293</f>
        <v>0.20835211518460453</v>
      </c>
      <c r="R293">
        <f t="shared" ref="R293" si="1728">C293-C292</f>
        <v>1121</v>
      </c>
      <c r="S293">
        <f t="shared" ref="S293" si="1729">N293-N292</f>
        <v>1518</v>
      </c>
      <c r="T293" s="8">
        <f t="shared" ref="T293" si="1730">R293/V293</f>
        <v>0.42478211443728686</v>
      </c>
      <c r="U293" s="8">
        <f t="shared" ref="U293" si="1731">SUM(R287:R293)/SUM(V287:V293)</f>
        <v>0.40656323542229583</v>
      </c>
      <c r="V293">
        <f t="shared" ref="V293" si="1732">B293-B292</f>
        <v>2639</v>
      </c>
      <c r="W293">
        <f t="shared" ref="W293" si="1733">C293-D293-E293</f>
        <v>36297</v>
      </c>
      <c r="X293" s="3">
        <f t="shared" ref="X293" si="1734">F293/W293</f>
        <v>1.5896630575529657E-2</v>
      </c>
      <c r="Y293">
        <f t="shared" ref="Y293" si="1735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10"/>
        <v>158</v>
      </c>
      <c r="AJ293">
        <f t="shared" si="1711"/>
        <v>172</v>
      </c>
      <c r="AK293">
        <f t="shared" si="1712"/>
        <v>1247</v>
      </c>
      <c r="AT293">
        <f t="shared" ref="AT293" si="1736">BN293-BN292</f>
        <v>8560</v>
      </c>
      <c r="AU293">
        <f t="shared" si="1145"/>
        <v>1215</v>
      </c>
      <c r="AV293">
        <f t="shared" ref="AV293" si="1737">AU293/AT293</f>
        <v>0.14193925233644861</v>
      </c>
      <c r="AW293">
        <f t="shared" ref="AW293" si="1738">BV293-BV292</f>
        <v>48</v>
      </c>
      <c r="AX293">
        <f t="shared" si="1118"/>
        <v>4</v>
      </c>
      <c r="AY293">
        <f t="shared" ref="AY293" si="1739">CL293-CL292</f>
        <v>422</v>
      </c>
      <c r="AZ293">
        <f t="shared" si="1120"/>
        <v>55</v>
      </c>
      <c r="BA293">
        <f t="shared" ref="BA293" si="1740">CD293-CD292</f>
        <v>54</v>
      </c>
      <c r="BB293">
        <f t="shared" si="1122"/>
        <v>7</v>
      </c>
      <c r="BC293">
        <f t="shared" ref="BC293" si="1741">AX293/AW293</f>
        <v>8.3333333333333329E-2</v>
      </c>
      <c r="BD293">
        <f t="shared" ref="BD293" si="1742">AZ293/AY293</f>
        <v>0.13033175355450238</v>
      </c>
      <c r="BE293">
        <f t="shared" si="682"/>
        <v>0.12962962962962962</v>
      </c>
      <c r="BF293">
        <f t="shared" ref="BF293" si="1743">SUM(AU287:AU293)/SUM(AT287:AT293)</f>
        <v>8.7736404283166869E-2</v>
      </c>
      <c r="BG293">
        <f t="shared" ref="BG293" si="1744">SUM(AU280:AU293)/SUM(AT280:AT293)</f>
        <v>7.771871978789785E-2</v>
      </c>
      <c r="BH293">
        <f t="shared" ref="BH293" si="1745">SUM(AX287:AX293)/SUM(AW287:AW293)</f>
        <v>8.6400000000000005E-2</v>
      </c>
      <c r="BI293">
        <f t="shared" ref="BI293" si="1746">SUM(AZ287:AZ293)/SUM(AY287:AY293)</f>
        <v>6.4467005076142128E-2</v>
      </c>
      <c r="BJ293">
        <f t="shared" ref="BJ293" si="1747">SUM(BB287:BB293)/SUM(BA287:BA293)</f>
        <v>7.0151306740027508E-2</v>
      </c>
      <c r="BK293" s="20">
        <v>0.10199999999999999</v>
      </c>
      <c r="BL293" s="20">
        <v>0.124</v>
      </c>
      <c r="BM293" s="20">
        <v>0.16</v>
      </c>
      <c r="BN293" s="20">
        <v>3110869</v>
      </c>
      <c r="BO293" s="20">
        <v>307110</v>
      </c>
      <c r="BP293" s="20"/>
      <c r="BQ293" s="20"/>
      <c r="BR293" s="20"/>
      <c r="BS293" s="20"/>
      <c r="BT293" s="20">
        <v>1364349</v>
      </c>
      <c r="BU293" s="20">
        <v>284265</v>
      </c>
      <c r="BV293" s="20">
        <v>23229</v>
      </c>
      <c r="BW293" s="20">
        <v>2382</v>
      </c>
      <c r="BX293" s="20"/>
      <c r="BY293" s="20"/>
      <c r="BZ293" s="20"/>
      <c r="CA293" s="20"/>
      <c r="CB293" s="20">
        <v>9531</v>
      </c>
      <c r="CC293" s="20">
        <v>2273</v>
      </c>
      <c r="CD293" s="20">
        <v>17922</v>
      </c>
      <c r="CE293" s="20">
        <v>1372</v>
      </c>
      <c r="CF293" s="20"/>
      <c r="CG293" s="20"/>
      <c r="CH293" s="20"/>
      <c r="CI293" s="20"/>
      <c r="CJ293" s="20">
        <v>5660</v>
      </c>
      <c r="CK293" s="20">
        <v>1298</v>
      </c>
      <c r="CL293" s="20">
        <v>137189</v>
      </c>
      <c r="CM293" s="20">
        <v>14041</v>
      </c>
      <c r="CN293" s="20"/>
      <c r="CO293" s="20"/>
      <c r="CP293" s="20"/>
      <c r="CQ293" s="20"/>
      <c r="CR293" s="20">
        <v>57597</v>
      </c>
      <c r="CS293" s="20">
        <v>12869</v>
      </c>
    </row>
    <row r="294" spans="1:97" x14ac:dyDescent="0.35">
      <c r="A294" s="14">
        <f t="shared" si="1160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48">-(J294-J293)+L294</f>
        <v>15</v>
      </c>
      <c r="N294" s="7">
        <f t="shared" ref="N294" si="1749">B294-C294</f>
        <v>1080846</v>
      </c>
      <c r="O294" s="4">
        <f t="shared" ref="O294" si="1750">C294/B294</f>
        <v>0.20857960436522116</v>
      </c>
      <c r="R294">
        <f t="shared" ref="R294" si="1751">C294-C293</f>
        <v>593</v>
      </c>
      <c r="S294">
        <f t="shared" ref="S294" si="1752">N294-N293</f>
        <v>762</v>
      </c>
      <c r="T294" s="8">
        <f t="shared" ref="T294" si="1753">R294/V294</f>
        <v>0.43763837638376385</v>
      </c>
      <c r="U294" s="8">
        <f t="shared" ref="U294" si="1754">SUM(R288:R294)/SUM(V288:V294)</f>
        <v>0.41000218388294385</v>
      </c>
      <c r="V294">
        <f t="shared" ref="V294" si="1755">B294-B293</f>
        <v>1355</v>
      </c>
      <c r="W294">
        <f t="shared" ref="W294" si="1756">C294-D294-E294</f>
        <v>36292</v>
      </c>
      <c r="X294" s="3">
        <f t="shared" ref="X294" si="1757">F294/W294</f>
        <v>1.5733494985120687E-2</v>
      </c>
      <c r="Y294">
        <f t="shared" ref="Y294" si="1758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59">Z294-AC294-AF294</f>
        <v>159</v>
      </c>
      <c r="AJ294">
        <f t="shared" ref="AJ294" si="1760">AA294-AD294-AG294</f>
        <v>167</v>
      </c>
      <c r="AK294">
        <f t="shared" ref="AK294" si="1761">AB294-AE294-AH294</f>
        <v>1262</v>
      </c>
      <c r="AT294">
        <f t="shared" ref="AT294" si="1762">BN294-BN293</f>
        <v>5106</v>
      </c>
      <c r="AU294">
        <f t="shared" si="1145"/>
        <v>646</v>
      </c>
      <c r="AV294">
        <f t="shared" ref="AV294" si="1763">AU294/AT294</f>
        <v>0.12651782216999607</v>
      </c>
      <c r="AW294">
        <f t="shared" ref="AW294" si="1764">BV294-BV293</f>
        <v>35</v>
      </c>
      <c r="AX294">
        <f t="shared" si="1118"/>
        <v>5</v>
      </c>
      <c r="AY294">
        <f t="shared" ref="AY294" si="1765">CL294-CL293</f>
        <v>347</v>
      </c>
      <c r="AZ294">
        <f t="shared" si="1120"/>
        <v>35</v>
      </c>
      <c r="BA294">
        <f t="shared" ref="BA294" si="1766">CD294-CD293</f>
        <v>113</v>
      </c>
      <c r="BB294">
        <f t="shared" si="1122"/>
        <v>3</v>
      </c>
      <c r="BC294">
        <f t="shared" ref="BC294" si="1767">AX294/AW294</f>
        <v>0.14285714285714285</v>
      </c>
      <c r="BD294">
        <f t="shared" ref="BD294" si="1768">AZ294/AY294</f>
        <v>0.10086455331412104</v>
      </c>
      <c r="BE294">
        <f t="shared" si="682"/>
        <v>2.6548672566371681E-2</v>
      </c>
      <c r="BF294">
        <f t="shared" ref="BF294" si="1769">SUM(AU288:AU294)/SUM(AT288:AT294)</f>
        <v>8.8591762674840577E-2</v>
      </c>
      <c r="BG294">
        <f t="shared" ref="BG294" si="1770">SUM(AU281:AU294)/SUM(AT281:AT294)</f>
        <v>7.8107302090978117E-2</v>
      </c>
      <c r="BH294">
        <f t="shared" ref="BH294" si="1771">SUM(AX288:AX294)/SUM(AW288:AW294)</f>
        <v>8.6538461538461536E-2</v>
      </c>
      <c r="BI294">
        <f t="shared" ref="BI294" si="1772">SUM(AZ288:AZ294)/SUM(AY288:AY294)</f>
        <v>6.4764183185235816E-2</v>
      </c>
      <c r="BJ294">
        <f t="shared" ref="BJ294" si="1773">SUM(BB288:BB294)/SUM(BA288:BA294)</f>
        <v>6.751592356687898E-2</v>
      </c>
      <c r="BK294" s="20">
        <v>0.109</v>
      </c>
      <c r="BL294" s="20">
        <v>0.126</v>
      </c>
      <c r="BM294" s="20">
        <v>0.158</v>
      </c>
      <c r="BN294" s="20">
        <v>3115975</v>
      </c>
      <c r="BO294" s="20">
        <v>307756</v>
      </c>
      <c r="BP294" s="20"/>
      <c r="BQ294" s="20"/>
      <c r="BR294" s="20"/>
      <c r="BS294" s="20"/>
      <c r="BT294" s="20">
        <v>1365703</v>
      </c>
      <c r="BU294" s="20">
        <v>284860</v>
      </c>
      <c r="BV294" s="20">
        <v>23264</v>
      </c>
      <c r="BW294" s="20">
        <v>2387</v>
      </c>
      <c r="BX294" s="20"/>
      <c r="BY294" s="20"/>
      <c r="BZ294" s="20"/>
      <c r="CA294" s="20"/>
      <c r="CB294" s="20">
        <v>9539</v>
      </c>
      <c r="CC294" s="20">
        <v>2279</v>
      </c>
      <c r="CD294" s="20">
        <v>18035</v>
      </c>
      <c r="CE294" s="20">
        <v>1375</v>
      </c>
      <c r="CF294" s="20"/>
      <c r="CG294" s="20"/>
      <c r="CH294" s="20"/>
      <c r="CI294" s="20"/>
      <c r="CJ294" s="20">
        <v>5665</v>
      </c>
      <c r="CK294" s="20">
        <v>1300</v>
      </c>
      <c r="CL294" s="20">
        <v>137536</v>
      </c>
      <c r="CM294" s="20">
        <v>14076</v>
      </c>
      <c r="CN294" s="20"/>
      <c r="CO294" s="20"/>
      <c r="CP294" s="20"/>
      <c r="CQ294" s="20"/>
      <c r="CR294" s="20">
        <v>57691</v>
      </c>
      <c r="CS294" s="20">
        <v>12906</v>
      </c>
    </row>
    <row r="295" spans="1:97" x14ac:dyDescent="0.35">
      <c r="A295" s="14">
        <f t="shared" si="1160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74">-(J295-J294)+L295</f>
        <v>10</v>
      </c>
      <c r="N295" s="7">
        <f t="shared" ref="N295" si="1775">B295-C295</f>
        <v>1082966</v>
      </c>
      <c r="O295" s="4">
        <f t="shared" ref="O295" si="1776">C295/B295</f>
        <v>0.20930782693008324</v>
      </c>
      <c r="R295">
        <f t="shared" ref="R295" si="1777">C295-C294</f>
        <v>1819</v>
      </c>
      <c r="S295">
        <f t="shared" ref="S295" si="1778">N295-N294</f>
        <v>2120</v>
      </c>
      <c r="T295" s="8">
        <f t="shared" ref="T295" si="1779">R295/V295</f>
        <v>0.46179233307946177</v>
      </c>
      <c r="U295" s="8">
        <f t="shared" ref="U295" si="1780">SUM(R289:R295)/SUM(V289:V295)</f>
        <v>0.42432302795098764</v>
      </c>
      <c r="V295">
        <f t="shared" ref="V295" si="1781">B295-B294</f>
        <v>3939</v>
      </c>
      <c r="W295">
        <f t="shared" ref="W295" si="1782">C295-D295-E295</f>
        <v>34966</v>
      </c>
      <c r="X295" s="3">
        <f t="shared" ref="X295" si="1783">F295/W295</f>
        <v>1.6644740605159299E-2</v>
      </c>
      <c r="Y295">
        <f t="shared" ref="Y295" si="1784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85">Z295-AC295-AF295</f>
        <v>152</v>
      </c>
      <c r="AJ295">
        <f t="shared" ref="AJ295" si="1786">AA295-AD295-AG295</f>
        <v>164</v>
      </c>
      <c r="AK295">
        <f t="shared" ref="AK295" si="1787">AB295-AE295-AH295</f>
        <v>1190</v>
      </c>
      <c r="AT295">
        <f t="shared" ref="AT295" si="1788">BN295-BN294</f>
        <v>24726</v>
      </c>
      <c r="AU295">
        <f t="shared" si="1145"/>
        <v>1877</v>
      </c>
      <c r="AV295">
        <f t="shared" ref="AV295" si="1789">AU295/AT295</f>
        <v>7.5911995470355098E-2</v>
      </c>
      <c r="AW295">
        <f t="shared" ref="AW295" si="1790">BV295-BV294</f>
        <v>299</v>
      </c>
      <c r="AX295">
        <f t="shared" si="1118"/>
        <v>11</v>
      </c>
      <c r="AY295">
        <f t="shared" ref="AY295" si="1791">CL295-CL294</f>
        <v>1067</v>
      </c>
      <c r="AZ295">
        <f t="shared" si="1120"/>
        <v>51</v>
      </c>
      <c r="BA295">
        <f t="shared" ref="BA295" si="1792">CD295-CD294</f>
        <v>200</v>
      </c>
      <c r="BB295">
        <f t="shared" si="1122"/>
        <v>11</v>
      </c>
      <c r="BC295">
        <f t="shared" ref="BC295" si="1793">AX295/AW295</f>
        <v>3.678929765886288E-2</v>
      </c>
      <c r="BD295">
        <f t="shared" ref="BD295" si="1794">AZ295/AY295</f>
        <v>4.779756326148079E-2</v>
      </c>
      <c r="BE295">
        <f t="shared" si="682"/>
        <v>5.5E-2</v>
      </c>
      <c r="BF295">
        <f t="shared" ref="BF295" si="1795">SUM(AU289:AU295)/SUM(AT289:AT295)</f>
        <v>9.25055938383091E-2</v>
      </c>
      <c r="BG295">
        <f t="shared" ref="BG295" si="1796">SUM(AU282:AU295)/SUM(AT282:AT295)</f>
        <v>8.237587911705313E-2</v>
      </c>
      <c r="BH295">
        <f t="shared" ref="BH295" si="1797">SUM(AX289:AX295)/SUM(AW289:AW295)</f>
        <v>6.3647490820073441E-2</v>
      </c>
      <c r="BI295">
        <f t="shared" ref="BI295" si="1798">SUM(AZ289:AZ295)/SUM(AY289:AY295)</f>
        <v>7.2751833269008109E-2</v>
      </c>
      <c r="BJ295">
        <f t="shared" ref="BJ295" si="1799">SUM(BB289:BB295)/SUM(BA289:BA295)</f>
        <v>7.3943661971830985E-2</v>
      </c>
      <c r="BK295" s="20">
        <v>0.115</v>
      </c>
      <c r="BL295" s="20">
        <v>0.124</v>
      </c>
      <c r="BM295" s="20">
        <v>0.156</v>
      </c>
      <c r="BN295" s="20">
        <v>3140701</v>
      </c>
      <c r="BO295" s="20">
        <v>309633</v>
      </c>
      <c r="BP295" s="20"/>
      <c r="BQ295" s="20"/>
      <c r="BR295" s="20"/>
      <c r="BS295" s="20"/>
      <c r="BT295" s="20">
        <v>1369643</v>
      </c>
      <c r="BU295" s="20">
        <v>286677</v>
      </c>
      <c r="BV295" s="20">
        <v>23563</v>
      </c>
      <c r="BW295" s="20">
        <v>2398</v>
      </c>
      <c r="BX295" s="20"/>
      <c r="BY295" s="20"/>
      <c r="BZ295" s="20"/>
      <c r="CA295" s="20"/>
      <c r="CB295" s="20">
        <v>9561</v>
      </c>
      <c r="CC295" s="20">
        <v>2291</v>
      </c>
      <c r="CD295" s="20">
        <v>18235</v>
      </c>
      <c r="CE295" s="20">
        <v>1386</v>
      </c>
      <c r="CF295" s="20"/>
      <c r="CG295" s="20"/>
      <c r="CH295" s="20"/>
      <c r="CI295" s="20"/>
      <c r="CJ295" s="20">
        <v>5677</v>
      </c>
      <c r="CK295" s="20">
        <v>1310</v>
      </c>
      <c r="CL295" s="20">
        <v>138603</v>
      </c>
      <c r="CM295" s="20">
        <v>14127</v>
      </c>
      <c r="CN295" s="20"/>
      <c r="CO295" s="20"/>
      <c r="CP295" s="20"/>
      <c r="CQ295" s="20"/>
      <c r="CR295" s="20">
        <v>57787</v>
      </c>
      <c r="CS295" s="20">
        <v>12946</v>
      </c>
    </row>
    <row r="296" spans="1:97" x14ac:dyDescent="0.35">
      <c r="A296" s="14">
        <f t="shared" si="1160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00">-(J296-J295)+L296</f>
        <v>18</v>
      </c>
      <c r="N296" s="7">
        <f t="shared" ref="N296" si="1801">B296-C296</f>
        <v>1086219</v>
      </c>
      <c r="O296" s="4">
        <f t="shared" ref="O296" si="1802">C296/B296</f>
        <v>0.21041590189614628</v>
      </c>
      <c r="R296">
        <f t="shared" ref="R296" si="1803">C296-C295</f>
        <v>2789</v>
      </c>
      <c r="S296">
        <f t="shared" ref="S296" si="1804">N296-N295</f>
        <v>3253</v>
      </c>
      <c r="T296" s="8">
        <f t="shared" ref="T296" si="1805">R296/V296</f>
        <v>0.46160211850380667</v>
      </c>
      <c r="U296" s="8">
        <f t="shared" ref="U296" si="1806">SUM(R290:R296)/SUM(V290:V296)</f>
        <v>0.43826837034946997</v>
      </c>
      <c r="V296">
        <f t="shared" ref="V296" si="1807">B296-B295</f>
        <v>6042</v>
      </c>
      <c r="W296">
        <f t="shared" ref="W296" si="1808">C296-D296-E296</f>
        <v>35598</v>
      </c>
      <c r="X296" s="3">
        <f t="shared" ref="X296" si="1809">F296/W296</f>
        <v>1.6967245350862407E-2</v>
      </c>
      <c r="Y296">
        <f t="shared" ref="Y296" si="181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11">Z296-AC296-AF296</f>
        <v>155</v>
      </c>
      <c r="AJ296">
        <f t="shared" ref="AJ296" si="1812">AA296-AD296-AG296</f>
        <v>180</v>
      </c>
      <c r="AK296">
        <f t="shared" ref="AK296" si="1813">AB296-AE296-AH296</f>
        <v>1225</v>
      </c>
      <c r="AT296">
        <f t="shared" ref="AT296" si="1814">BN296-BN295</f>
        <v>25169</v>
      </c>
      <c r="AU296">
        <f t="shared" si="1145"/>
        <v>2940</v>
      </c>
      <c r="AV296">
        <f t="shared" ref="AV296" si="1815">AU296/AT296</f>
        <v>0.1168103619531964</v>
      </c>
      <c r="AW296">
        <f t="shared" ref="AW296" si="1816">BV296-BV295</f>
        <v>159</v>
      </c>
      <c r="AX296">
        <f t="shared" si="1118"/>
        <v>15</v>
      </c>
      <c r="AY296">
        <f t="shared" ref="AY296" si="1817">CL296-CL295</f>
        <v>1010</v>
      </c>
      <c r="AZ296">
        <f t="shared" si="1120"/>
        <v>172</v>
      </c>
      <c r="BA296">
        <f t="shared" ref="BA296" si="1818">CD296-CD295</f>
        <v>211</v>
      </c>
      <c r="BB296">
        <f t="shared" si="1122"/>
        <v>26</v>
      </c>
      <c r="BC296">
        <f t="shared" ref="BC296" si="1819">AX296/AW296</f>
        <v>9.4339622641509441E-2</v>
      </c>
      <c r="BD296">
        <f t="shared" ref="BD296" si="1820">AZ296/AY296</f>
        <v>0.17029702970297031</v>
      </c>
      <c r="BE296">
        <f t="shared" si="682"/>
        <v>0.12322274881516587</v>
      </c>
      <c r="BF296">
        <f t="shared" ref="BF296" si="1821">SUM(AU290:AU296)/SUM(AT290:AT296)</f>
        <v>9.9266847099934913E-2</v>
      </c>
      <c r="BG296">
        <f t="shared" ref="BG296" si="1822">SUM(AU283:AU296)/SUM(AT283:AT296)</f>
        <v>8.7331357544123508E-2</v>
      </c>
      <c r="BH296">
        <f t="shared" ref="BH296" si="1823">SUM(AX290:AX296)/SUM(AW290:AW296)</f>
        <v>6.985294117647059E-2</v>
      </c>
      <c r="BI296">
        <f t="shared" ref="BI296" si="1824">SUM(AZ290:AZ296)/SUM(AY290:AY296)</f>
        <v>8.8307286763321405E-2</v>
      </c>
      <c r="BJ296">
        <f t="shared" ref="BJ296" si="1825">SUM(BB290:BB296)/SUM(BA290:BA296)</f>
        <v>8.7051142546245922E-2</v>
      </c>
      <c r="BK296" s="20">
        <v>0.12</v>
      </c>
      <c r="BL296" s="20">
        <v>0.128</v>
      </c>
      <c r="BM296" s="20">
        <v>0.16</v>
      </c>
      <c r="BN296" s="20">
        <v>3165870</v>
      </c>
      <c r="BO296" s="20">
        <v>312573</v>
      </c>
      <c r="BP296" s="20"/>
      <c r="BQ296" s="20"/>
      <c r="BR296" s="20"/>
      <c r="BS296" s="20"/>
      <c r="BT296" s="20">
        <v>1375680</v>
      </c>
      <c r="BU296" s="20">
        <v>289463</v>
      </c>
      <c r="BV296" s="20">
        <v>23722</v>
      </c>
      <c r="BW296" s="20">
        <v>2413</v>
      </c>
      <c r="BX296" s="20"/>
      <c r="BY296" s="20"/>
      <c r="BZ296" s="20"/>
      <c r="CA296" s="20"/>
      <c r="CB296" s="20">
        <v>9599</v>
      </c>
      <c r="CC296" s="20">
        <v>2304</v>
      </c>
      <c r="CD296" s="20">
        <v>18446</v>
      </c>
      <c r="CE296" s="20">
        <v>1412</v>
      </c>
      <c r="CF296" s="20"/>
      <c r="CG296" s="20"/>
      <c r="CH296" s="20"/>
      <c r="CI296" s="20"/>
      <c r="CJ296" s="20">
        <v>5712</v>
      </c>
      <c r="CK296" s="20">
        <v>1337</v>
      </c>
      <c r="CL296" s="20">
        <v>139613</v>
      </c>
      <c r="CM296" s="20">
        <v>14299</v>
      </c>
      <c r="CN296" s="20"/>
      <c r="CO296" s="20"/>
      <c r="CP296" s="20"/>
      <c r="CQ296" s="20"/>
      <c r="CR296" s="20">
        <v>58011</v>
      </c>
      <c r="CS296" s="20">
        <v>13039</v>
      </c>
    </row>
    <row r="297" spans="1:97" x14ac:dyDescent="0.35">
      <c r="A297" s="14">
        <f t="shared" si="1160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26">-(J297-J296)+L297</f>
        <v>11</v>
      </c>
      <c r="N297" s="7">
        <f t="shared" ref="N297" si="1827">B297-C297</f>
        <v>1089172</v>
      </c>
      <c r="O297" s="4">
        <f t="shared" ref="O297" si="1828">C297/B297</f>
        <v>0.21105478862649596</v>
      </c>
      <c r="R297">
        <f t="shared" ref="R297" si="1829">C297-C296</f>
        <v>1904</v>
      </c>
      <c r="S297">
        <f t="shared" ref="S297" si="1830">N297-N296</f>
        <v>2953</v>
      </c>
      <c r="T297" s="8">
        <f t="shared" ref="T297" si="1831">R297/V297</f>
        <v>0.392011529750875</v>
      </c>
      <c r="U297" s="8">
        <f t="shared" ref="U297" si="1832">SUM(R291:R297)/SUM(V291:V297)</f>
        <v>0.43365188782704056</v>
      </c>
      <c r="V297">
        <f t="shared" ref="V297" si="1833">B297-B296</f>
        <v>4857</v>
      </c>
      <c r="W297">
        <f t="shared" ref="W297" si="1834">C297-D297-E297</f>
        <v>35653</v>
      </c>
      <c r="X297" s="3">
        <f t="shared" ref="X297" si="1835">F297/W297</f>
        <v>1.7193504052954871E-2</v>
      </c>
      <c r="Y297">
        <f t="shared" ref="Y297" si="1836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37">Z297-AC297-AF297</f>
        <v>149</v>
      </c>
      <c r="AJ297">
        <f t="shared" ref="AJ297" si="1838">AA297-AD297-AG297</f>
        <v>191</v>
      </c>
      <c r="AK297">
        <f t="shared" ref="AK297" si="1839">AB297-AE297-AH297</f>
        <v>1208</v>
      </c>
      <c r="AT297">
        <f t="shared" ref="AT297" si="1840">BN297-BN296</f>
        <v>19238</v>
      </c>
      <c r="AU297">
        <f t="shared" si="1145"/>
        <v>2057</v>
      </c>
      <c r="AV297">
        <f t="shared" ref="AV297" si="1841">AU297/AT297</f>
        <v>0.10692379665245867</v>
      </c>
      <c r="AW297">
        <f t="shared" ref="AW297" si="1842">BV297-BV296</f>
        <v>150</v>
      </c>
      <c r="AX297">
        <f t="shared" si="1118"/>
        <v>7</v>
      </c>
      <c r="AY297">
        <f t="shared" ref="AY297" si="1843">CL297-CL296</f>
        <v>687</v>
      </c>
      <c r="AZ297">
        <f t="shared" si="1120"/>
        <v>-19</v>
      </c>
      <c r="BA297">
        <f t="shared" ref="BA297" si="1844">CD297-CD296</f>
        <v>137</v>
      </c>
      <c r="BB297">
        <f t="shared" si="1122"/>
        <v>20</v>
      </c>
      <c r="BC297">
        <f t="shared" ref="BC297" si="1845">AX297/AW297</f>
        <v>4.6666666666666669E-2</v>
      </c>
      <c r="BD297">
        <f t="shared" ref="BD297" si="1846">AZ297/AY297</f>
        <v>-2.7656477438136828E-2</v>
      </c>
      <c r="BE297">
        <f t="shared" si="682"/>
        <v>0.145985401459854</v>
      </c>
      <c r="BF297">
        <f t="shared" ref="BF297" si="1847">SUM(AU291:AU297)/SUM(AT291:AT297)</f>
        <v>9.734938959660297E-2</v>
      </c>
      <c r="BG297">
        <f t="shared" ref="BG297" si="1848">SUM(AU284:AU297)/SUM(AT284:AT297)</f>
        <v>9.0697122807645664E-2</v>
      </c>
      <c r="BH297">
        <f t="shared" ref="BH297" si="1849">SUM(AX291:AX297)/SUM(AW291:AW297)</f>
        <v>5.7273768613974797E-2</v>
      </c>
      <c r="BI297">
        <f t="shared" ref="BI297" si="1850">SUM(AZ291:AZ297)/SUM(AY291:AY297)</f>
        <v>7.1225610911157422E-2</v>
      </c>
      <c r="BJ297">
        <f t="shared" ref="BJ297" si="1851">SUM(BB291:BB297)/SUM(BA291:BA297)</f>
        <v>9.2198581560283682E-2</v>
      </c>
      <c r="BK297" s="20">
        <v>0.11700000000000001</v>
      </c>
      <c r="BL297" s="20">
        <v>0.125</v>
      </c>
      <c r="BM297" s="20">
        <v>0.16600000000000001</v>
      </c>
      <c r="BN297" s="20">
        <v>3185108</v>
      </c>
      <c r="BO297" s="20">
        <v>314630</v>
      </c>
      <c r="BP297" s="20"/>
      <c r="BQ297" s="20"/>
      <c r="BR297" s="20"/>
      <c r="BS297" s="20"/>
      <c r="BT297" s="20">
        <v>1380524</v>
      </c>
      <c r="BU297" s="20">
        <v>291370</v>
      </c>
      <c r="BV297" s="20">
        <v>23872</v>
      </c>
      <c r="BW297" s="20">
        <v>2420</v>
      </c>
      <c r="BX297" s="20"/>
      <c r="BY297" s="20"/>
      <c r="BZ297" s="20"/>
      <c r="CA297" s="20"/>
      <c r="CB297" s="20">
        <v>9630</v>
      </c>
      <c r="CC297" s="20">
        <v>2314</v>
      </c>
      <c r="CD297" s="20">
        <v>18583</v>
      </c>
      <c r="CE297" s="20">
        <v>1432</v>
      </c>
      <c r="CF297" s="20"/>
      <c r="CG297" s="20"/>
      <c r="CH297" s="20"/>
      <c r="CI297" s="20"/>
      <c r="CJ297" s="20">
        <v>5732</v>
      </c>
      <c r="CK297" s="20">
        <v>1355</v>
      </c>
      <c r="CL297" s="20">
        <v>140300</v>
      </c>
      <c r="CM297" s="20">
        <v>14280</v>
      </c>
      <c r="CN297" s="20"/>
      <c r="CO297" s="20"/>
      <c r="CP297" s="20"/>
      <c r="CQ297" s="20"/>
      <c r="CR297" s="20">
        <v>58187</v>
      </c>
      <c r="CS297" s="20">
        <v>13084</v>
      </c>
    </row>
    <row r="298" spans="1:97" x14ac:dyDescent="0.35">
      <c r="A298" s="14">
        <f t="shared" si="1160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52">-(J298-J297)+L298</f>
        <v>32</v>
      </c>
      <c r="N298" s="7">
        <f t="shared" ref="N298" si="1853">B298-C298</f>
        <v>1092721</v>
      </c>
      <c r="O298" s="4">
        <f t="shared" ref="O298" si="1854">C298/B298</f>
        <v>0.21169713072504145</v>
      </c>
      <c r="R298">
        <f t="shared" ref="R298" si="1855">C298-C297</f>
        <v>2078</v>
      </c>
      <c r="S298">
        <f t="shared" ref="S298" si="1856">N298-N297</f>
        <v>3549</v>
      </c>
      <c r="T298" s="8">
        <f t="shared" ref="T298" si="1857">R298/V298</f>
        <v>0.36929091878443221</v>
      </c>
      <c r="U298" s="8">
        <f t="shared" ref="U298" si="1858">SUM(R292:R298)/SUM(V292:V298)</f>
        <v>0.41535269709543571</v>
      </c>
      <c r="V298">
        <f t="shared" ref="V298" si="1859">B298-B297</f>
        <v>5627</v>
      </c>
      <c r="W298">
        <f t="shared" ref="W298" si="1860">C298-D298-E298</f>
        <v>35894</v>
      </c>
      <c r="X298" s="3">
        <f t="shared" ref="X298" si="1861">F298/W298</f>
        <v>1.613082966512509E-2</v>
      </c>
      <c r="Y298">
        <f t="shared" ref="Y298" si="1862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63">Z298-AC298-AF298</f>
        <v>157</v>
      </c>
      <c r="AJ298">
        <f t="shared" ref="AJ298" si="1864">AA298-AD298-AG298</f>
        <v>208</v>
      </c>
      <c r="AK298">
        <f t="shared" ref="AK298" si="1865">AB298-AE298-AH298</f>
        <v>1231</v>
      </c>
      <c r="AT298">
        <f t="shared" ref="AT298" si="1866">BN298-BN297</f>
        <v>28305</v>
      </c>
      <c r="AU298">
        <f t="shared" si="1145"/>
        <v>2261</v>
      </c>
      <c r="AV298">
        <f t="shared" ref="AV298" si="1867">AU298/AT298</f>
        <v>7.9879879879879878E-2</v>
      </c>
      <c r="AW298">
        <f t="shared" ref="AW298" si="1868">BV298-BV297</f>
        <v>339</v>
      </c>
      <c r="AX298">
        <f t="shared" ref="AX298:AX329" si="1869">BW298-BW297</f>
        <v>20</v>
      </c>
      <c r="AY298">
        <f t="shared" ref="AY298" si="1870">CL298-CL297</f>
        <v>1781</v>
      </c>
      <c r="AZ298">
        <f t="shared" ref="AZ298:AZ329" si="1871">CM298-CM297</f>
        <v>93</v>
      </c>
      <c r="BA298">
        <f t="shared" ref="BA298" si="1872">CD298-CD297</f>
        <v>332</v>
      </c>
      <c r="BB298">
        <f t="shared" ref="BB298:BB329" si="1873">CE298-CE297</f>
        <v>20</v>
      </c>
      <c r="BC298">
        <f t="shared" ref="BC298" si="1874">AX298/AW298</f>
        <v>5.8997050147492625E-2</v>
      </c>
      <c r="BD298">
        <f t="shared" ref="BD298" si="1875">AZ298/AY298</f>
        <v>5.221785513756317E-2</v>
      </c>
      <c r="BE298">
        <f t="shared" si="682"/>
        <v>6.0240963855421686E-2</v>
      </c>
      <c r="BF298">
        <f t="shared" ref="BF298" si="1876">SUM(AU292:AU298)/SUM(AT292:AT298)</f>
        <v>9.8216677829872742E-2</v>
      </c>
      <c r="BG298">
        <f t="shared" ref="BG298" si="1877">SUM(AU285:AU298)/SUM(AT285:AT298)</f>
        <v>9.1418711186244714E-2</v>
      </c>
      <c r="BH298">
        <f t="shared" ref="BH298" si="1878">SUM(AX292:AX298)/SUM(AW292:AW298)</f>
        <v>5.8933582787652011E-2</v>
      </c>
      <c r="BI298">
        <f t="shared" ref="BI298" si="1879">SUM(AZ292:AZ298)/SUM(AY292:AY298)</f>
        <v>7.0796460176991149E-2</v>
      </c>
      <c r="BJ298">
        <f t="shared" ref="BJ298" si="1880">SUM(BB292:BB298)/SUM(BA292:BA298)</f>
        <v>8.8888888888888892E-2</v>
      </c>
      <c r="BK298" s="20">
        <v>0.113</v>
      </c>
      <c r="BL298" s="20">
        <v>0.123</v>
      </c>
      <c r="BM298" s="20">
        <v>0.17299999999999999</v>
      </c>
      <c r="BN298" s="20">
        <v>3213413</v>
      </c>
      <c r="BO298" s="20">
        <v>316891</v>
      </c>
      <c r="BP298" s="20"/>
      <c r="BQ298" s="20"/>
      <c r="BR298" s="20"/>
      <c r="BS298" s="20"/>
      <c r="BT298" s="20">
        <v>1389169</v>
      </c>
      <c r="BU298" s="20">
        <v>293448</v>
      </c>
      <c r="BV298" s="20">
        <v>24211</v>
      </c>
      <c r="BW298" s="20">
        <v>2440</v>
      </c>
      <c r="BX298" s="20"/>
      <c r="BY298" s="20"/>
      <c r="BZ298" s="20"/>
      <c r="CA298" s="20"/>
      <c r="CB298" s="20">
        <v>9684</v>
      </c>
      <c r="CC298" s="20">
        <v>2330</v>
      </c>
      <c r="CD298" s="20">
        <v>18915</v>
      </c>
      <c r="CE298" s="20">
        <v>1452</v>
      </c>
      <c r="CF298" s="20"/>
      <c r="CG298" s="20"/>
      <c r="CH298" s="20"/>
      <c r="CI298" s="20"/>
      <c r="CJ298" s="20">
        <v>5779</v>
      </c>
      <c r="CK298" s="20">
        <v>1377</v>
      </c>
      <c r="CL298" s="20">
        <v>142081</v>
      </c>
      <c r="CM298" s="20">
        <v>14373</v>
      </c>
      <c r="CN298" s="20"/>
      <c r="CO298" s="20"/>
      <c r="CP298" s="20"/>
      <c r="CQ298" s="20"/>
      <c r="CR298" s="20">
        <v>58408</v>
      </c>
      <c r="CS298" s="20">
        <v>13172</v>
      </c>
    </row>
    <row r="299" spans="1:97" x14ac:dyDescent="0.35">
      <c r="A299" s="14">
        <f t="shared" si="1160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881">-(J299-J298)+L299</f>
        <v>19</v>
      </c>
      <c r="N299" s="7">
        <f t="shared" ref="N299" si="1882">B299-C299</f>
        <v>1095739</v>
      </c>
      <c r="O299" s="4">
        <f t="shared" ref="O299" si="1883">C299/B299</f>
        <v>0.21218145424531151</v>
      </c>
      <c r="R299">
        <f t="shared" ref="R299" si="1884">C299-C298</f>
        <v>1665</v>
      </c>
      <c r="S299">
        <f t="shared" ref="S299" si="1885">N299-N298</f>
        <v>3018</v>
      </c>
      <c r="T299" s="8">
        <f t="shared" ref="T299" si="1886">R299/V299</f>
        <v>0.35554131966688018</v>
      </c>
      <c r="U299" s="8">
        <f t="shared" ref="U299" si="1887">SUM(R293:R299)/SUM(V293:V299)</f>
        <v>0.41071306018804477</v>
      </c>
      <c r="V299">
        <f t="shared" ref="V299" si="1888">B299-B298</f>
        <v>4683</v>
      </c>
      <c r="W299">
        <f t="shared" ref="W299" si="1889">C299-D299-E299</f>
        <v>35885</v>
      </c>
      <c r="X299" s="3">
        <f t="shared" ref="X299" si="1890">F299/W299</f>
        <v>1.5298871394733175E-2</v>
      </c>
      <c r="Y299">
        <f t="shared" ref="Y299" si="189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92">Z299-AC299-AF299</f>
        <v>168</v>
      </c>
      <c r="AJ299">
        <f t="shared" ref="AJ299" si="1893">AA299-AD299-AG299</f>
        <v>222</v>
      </c>
      <c r="AK299">
        <f t="shared" ref="AK299" si="1894">AB299-AE299-AH299</f>
        <v>1241</v>
      </c>
      <c r="AT299">
        <f t="shared" ref="AT299" si="1895">BN299-BN298</f>
        <v>23011</v>
      </c>
      <c r="AU299">
        <f t="shared" si="1145"/>
        <v>1777</v>
      </c>
      <c r="AV299">
        <f t="shared" ref="AV299" si="1896">AU299/AT299</f>
        <v>7.722393637825388E-2</v>
      </c>
      <c r="AW299">
        <f t="shared" ref="AW299" si="1897">BV299-BV298</f>
        <v>328</v>
      </c>
      <c r="AX299">
        <f t="shared" si="1869"/>
        <v>16</v>
      </c>
      <c r="AY299">
        <f t="shared" ref="AY299" si="1898">CL299-CL298</f>
        <v>1490</v>
      </c>
      <c r="AZ299">
        <f t="shared" si="1871"/>
        <v>86</v>
      </c>
      <c r="BA299">
        <f t="shared" ref="BA299" si="1899">CD299-CD298</f>
        <v>190</v>
      </c>
      <c r="BB299">
        <f t="shared" si="1873"/>
        <v>16</v>
      </c>
      <c r="BC299">
        <f t="shared" ref="BC299" si="1900">AX299/AW299</f>
        <v>4.878048780487805E-2</v>
      </c>
      <c r="BD299">
        <f t="shared" ref="BD299" si="1901">AZ299/AY299</f>
        <v>5.771812080536913E-2</v>
      </c>
      <c r="BE299">
        <f t="shared" si="682"/>
        <v>8.4210526315789472E-2</v>
      </c>
      <c r="BF299">
        <f t="shared" ref="BF299" si="1902">SUM(AU293:AU299)/SUM(AT293:AT299)</f>
        <v>9.5239160422025876E-2</v>
      </c>
      <c r="BG299">
        <f t="shared" ref="BG299" si="1903">SUM(AU286:AU299)/SUM(AT286:AT299)</f>
        <v>9.0434167002331339E-2</v>
      </c>
      <c r="BH299">
        <f t="shared" ref="BH299" si="1904">SUM(AX293:AX299)/SUM(AW293:AW299)</f>
        <v>5.7437407952871868E-2</v>
      </c>
      <c r="BI299">
        <f t="shared" ref="BI299" si="1905">SUM(AZ293:AZ299)/SUM(AY293:AY299)</f>
        <v>6.9517930629041741E-2</v>
      </c>
      <c r="BJ299">
        <f t="shared" ref="BJ299" si="1906">SUM(BB293:BB299)/SUM(BA293:BA299)</f>
        <v>8.3265966046887629E-2</v>
      </c>
      <c r="BK299" s="20">
        <v>0.11600000000000001</v>
      </c>
      <c r="BL299" s="20">
        <v>0.123</v>
      </c>
      <c r="BM299" s="20">
        <v>0.184</v>
      </c>
      <c r="BN299" s="20">
        <v>3236424</v>
      </c>
      <c r="BO299" s="20">
        <v>318668</v>
      </c>
      <c r="BP299" s="20"/>
      <c r="BQ299" s="20"/>
      <c r="BR299" s="20"/>
      <c r="BS299" s="20"/>
      <c r="BT299" s="20">
        <v>1390852</v>
      </c>
      <c r="BU299" s="20">
        <v>295113</v>
      </c>
      <c r="BV299" s="20">
        <v>24539</v>
      </c>
      <c r="BW299" s="20">
        <v>2456</v>
      </c>
      <c r="BX299" s="20"/>
      <c r="BY299" s="20"/>
      <c r="BZ299" s="20"/>
      <c r="CA299" s="20"/>
      <c r="CB299" s="20">
        <v>9743</v>
      </c>
      <c r="CC299" s="20">
        <v>2345</v>
      </c>
      <c r="CD299" s="20">
        <v>19105</v>
      </c>
      <c r="CE299" s="20">
        <v>1468</v>
      </c>
      <c r="CF299" s="20"/>
      <c r="CG299" s="20"/>
      <c r="CH299" s="20"/>
      <c r="CI299" s="20"/>
      <c r="CJ299" s="20">
        <v>5802</v>
      </c>
      <c r="CK299" s="20">
        <v>1394</v>
      </c>
      <c r="CL299" s="20">
        <v>143571</v>
      </c>
      <c r="CM299" s="20">
        <v>14459</v>
      </c>
      <c r="CN299" s="20"/>
      <c r="CO299" s="20"/>
      <c r="CP299" s="20"/>
      <c r="CQ299" s="20"/>
      <c r="CR299" s="20">
        <v>58619</v>
      </c>
      <c r="CS299" s="20">
        <v>13244</v>
      </c>
    </row>
    <row r="300" spans="1:97" x14ac:dyDescent="0.35">
      <c r="A300" s="14">
        <f t="shared" si="1160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07">-(J300-J299)+L300</f>
        <v>22</v>
      </c>
      <c r="N300" s="7">
        <f t="shared" ref="N300" si="1908">B300-C300</f>
        <v>1098359</v>
      </c>
      <c r="O300" s="4">
        <f t="shared" ref="O300" si="1909">C300/B300</f>
        <v>0.21253410878389908</v>
      </c>
      <c r="R300">
        <f t="shared" ref="R300" si="1910">C300-C299</f>
        <v>1330</v>
      </c>
      <c r="S300">
        <f t="shared" ref="S300" si="1911">N300-N299</f>
        <v>2620</v>
      </c>
      <c r="T300" s="8">
        <f t="shared" ref="T300" si="1912">R300/V300</f>
        <v>0.33670886075949369</v>
      </c>
      <c r="U300" s="8">
        <f t="shared" ref="U300" si="1913">SUM(R294:R300)/SUM(V294:V300)</f>
        <v>0.39989492004071847</v>
      </c>
      <c r="V300">
        <f t="shared" ref="V300" si="1914">B300-B299</f>
        <v>3950</v>
      </c>
      <c r="W300">
        <f t="shared" ref="W300" si="1915">C300-D300-E300</f>
        <v>36719</v>
      </c>
      <c r="X300" s="3">
        <f t="shared" ref="X300" si="1916">F300/W300</f>
        <v>1.473351670797135E-2</v>
      </c>
      <c r="Y300">
        <f t="shared" ref="Y300" si="191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18">Z300-AC300-AF300</f>
        <v>180</v>
      </c>
      <c r="AJ300">
        <f t="shared" ref="AJ300" si="1919">AA300-AD300-AG300</f>
        <v>228</v>
      </c>
      <c r="AK300">
        <f t="shared" ref="AK300" si="1920">AB300-AE300-AH300</f>
        <v>1275</v>
      </c>
      <c r="AT300">
        <f t="shared" ref="AT300" si="1921">BN300-BN299</f>
        <v>11857</v>
      </c>
      <c r="AU300">
        <f t="shared" ref="AU300:AU331" si="1922">BO300-BO299</f>
        <v>1440</v>
      </c>
      <c r="AV300">
        <f t="shared" ref="AV300" si="1923">AU300/AT300</f>
        <v>0.12144724635236569</v>
      </c>
      <c r="AW300">
        <f t="shared" ref="AW300" si="1924">BV300-BV299</f>
        <v>74</v>
      </c>
      <c r="AX300">
        <f t="shared" si="1869"/>
        <v>10</v>
      </c>
      <c r="AY300">
        <f t="shared" ref="AY300" si="1925">CL300-CL299</f>
        <v>476</v>
      </c>
      <c r="AZ300">
        <f t="shared" si="1871"/>
        <v>43</v>
      </c>
      <c r="BA300">
        <f t="shared" ref="BA300" si="1926">CD300-CD299</f>
        <v>77</v>
      </c>
      <c r="BB300">
        <f t="shared" si="1873"/>
        <v>8</v>
      </c>
      <c r="BC300">
        <f t="shared" ref="BC300" si="1927">AX300/AW300</f>
        <v>0.13513513513513514</v>
      </c>
      <c r="BD300">
        <f t="shared" ref="BD300" si="1928">AZ300/AY300</f>
        <v>9.0336134453781511E-2</v>
      </c>
      <c r="BE300">
        <f t="shared" ref="BE300:BE363" si="1929">BB300/BA300</f>
        <v>0.1038961038961039</v>
      </c>
      <c r="BF300">
        <f t="shared" ref="BF300" si="1930">SUM(AU294:AU300)/SUM(AT294:AT300)</f>
        <v>9.4591447617384222E-2</v>
      </c>
      <c r="BG300">
        <f t="shared" ref="BG300" si="1931">SUM(AU287:AU300)/SUM(AT287:AT300)</f>
        <v>9.1485474800300892E-2</v>
      </c>
      <c r="BH300">
        <f t="shared" ref="BH300" si="1932">SUM(AX294:AX300)/SUM(AW294:AW300)</f>
        <v>6.0693641618497107E-2</v>
      </c>
      <c r="BI300">
        <f t="shared" ref="BI300" si="1933">SUM(AZ294:AZ300)/SUM(AY294:AY300)</f>
        <v>6.7220764071157776E-2</v>
      </c>
      <c r="BJ300">
        <f t="shared" ref="BJ300" si="1934">SUM(BB294:BB300)/SUM(BA294:BA300)</f>
        <v>8.2539682539682538E-2</v>
      </c>
      <c r="BK300" s="20">
        <v>0.11899999999999999</v>
      </c>
      <c r="BL300" s="20">
        <v>0.124</v>
      </c>
      <c r="BM300" s="20">
        <v>0.187</v>
      </c>
      <c r="BN300" s="20">
        <v>3248281</v>
      </c>
      <c r="BO300" s="20">
        <v>320108</v>
      </c>
      <c r="BP300" s="20"/>
      <c r="BQ300" s="20"/>
      <c r="BR300" s="20"/>
      <c r="BS300" s="20"/>
      <c r="BT300" s="20">
        <v>1394802</v>
      </c>
      <c r="BU300" s="20">
        <v>296443</v>
      </c>
      <c r="BV300" s="20">
        <v>24613</v>
      </c>
      <c r="BW300" s="20">
        <v>2466</v>
      </c>
      <c r="BX300" s="20"/>
      <c r="BY300" s="20"/>
      <c r="BZ300" s="20"/>
      <c r="CA300" s="20"/>
      <c r="CB300" s="20">
        <v>9770</v>
      </c>
      <c r="CC300" s="20">
        <v>2357</v>
      </c>
      <c r="CD300" s="20">
        <v>19182</v>
      </c>
      <c r="CE300" s="20">
        <v>1476</v>
      </c>
      <c r="CF300" s="20"/>
      <c r="CG300" s="20"/>
      <c r="CH300" s="20"/>
      <c r="CI300" s="20"/>
      <c r="CJ300" s="20">
        <v>5818</v>
      </c>
      <c r="CK300" s="20">
        <v>1402</v>
      </c>
      <c r="CL300" s="20">
        <v>144047</v>
      </c>
      <c r="CM300" s="20">
        <v>14502</v>
      </c>
      <c r="CN300" s="20"/>
      <c r="CO300" s="20"/>
      <c r="CP300" s="20"/>
      <c r="CQ300" s="20"/>
      <c r="CR300" s="20">
        <v>58785</v>
      </c>
      <c r="CS300" s="20">
        <v>13288</v>
      </c>
    </row>
    <row r="301" spans="1:97" x14ac:dyDescent="0.35">
      <c r="A301" s="14">
        <f t="shared" si="1160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35">-(J301-J300)+L301</f>
        <v>11</v>
      </c>
      <c r="N301" s="7">
        <f t="shared" ref="N301" si="1936">B301-C301</f>
        <v>1099574</v>
      </c>
      <c r="O301" s="4">
        <f t="shared" ref="O301" si="1937">C301/B301</f>
        <v>0.21258377594915046</v>
      </c>
      <c r="R301">
        <f t="shared" ref="R301" si="1938">C301-C300</f>
        <v>416</v>
      </c>
      <c r="S301">
        <f t="shared" ref="S301" si="1939">N301-N300</f>
        <v>1215</v>
      </c>
      <c r="T301" s="8">
        <f t="shared" ref="T301" si="1940">R301/V301</f>
        <v>0.25505824647455549</v>
      </c>
      <c r="U301" s="8">
        <f t="shared" ref="U301" si="1941">SUM(R295:R301)/SUM(V295:V301)</f>
        <v>0.39054313514920758</v>
      </c>
      <c r="V301">
        <f t="shared" ref="V301" si="1942">B301-B300</f>
        <v>1631</v>
      </c>
      <c r="W301">
        <f t="shared" ref="W301" si="1943">C301-D301-E301</f>
        <v>36571</v>
      </c>
      <c r="X301" s="3">
        <f t="shared" ref="X301" si="1944">F301/W301</f>
        <v>1.5175959093270625E-2</v>
      </c>
      <c r="Y301">
        <f t="shared" ref="Y301" si="194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46">Z301-AC301-AF301</f>
        <v>177</v>
      </c>
      <c r="AJ301">
        <f t="shared" ref="AJ301" si="1947">AA301-AD301-AG301</f>
        <v>231</v>
      </c>
      <c r="AK301">
        <f t="shared" ref="AK301" si="1948">AB301-AE301-AH301</f>
        <v>1269</v>
      </c>
      <c r="AT301">
        <f t="shared" ref="AT301" si="1949">BN301-BN300</f>
        <v>5694</v>
      </c>
      <c r="AU301">
        <f t="shared" si="1922"/>
        <v>443</v>
      </c>
      <c r="AV301">
        <f t="shared" ref="AV301" si="1950">AU301/AT301</f>
        <v>7.7801194239550397E-2</v>
      </c>
      <c r="AW301">
        <f t="shared" ref="AW301" si="1951">BV301-BV300</f>
        <v>39</v>
      </c>
      <c r="AX301">
        <f t="shared" si="1869"/>
        <v>6</v>
      </c>
      <c r="AY301">
        <f t="shared" ref="AY301" si="1952">CL301-CL300</f>
        <v>263</v>
      </c>
      <c r="AZ301">
        <f t="shared" si="1871"/>
        <v>17</v>
      </c>
      <c r="BA301">
        <f t="shared" ref="BA301" si="1953">CD301-CD300</f>
        <v>40</v>
      </c>
      <c r="BB301">
        <f t="shared" si="1873"/>
        <v>3</v>
      </c>
      <c r="BC301">
        <f t="shared" ref="BC301" si="1954">AX301/AW301</f>
        <v>0.15384615384615385</v>
      </c>
      <c r="BD301">
        <f t="shared" ref="BD301" si="1955">AZ301/AY301</f>
        <v>6.4638783269961975E-2</v>
      </c>
      <c r="BE301">
        <f t="shared" si="1929"/>
        <v>7.4999999999999997E-2</v>
      </c>
      <c r="BF301">
        <f t="shared" ref="BF301" si="1956">SUM(AU295:AU301)/SUM(AT295:AT301)</f>
        <v>9.2717391304347821E-2</v>
      </c>
      <c r="BG301">
        <f t="shared" ref="BG301" si="1957">SUM(AU288:AU301)/SUM(AT288:AT301)</f>
        <v>9.0855239094826901E-2</v>
      </c>
      <c r="BH301">
        <f t="shared" ref="BH301" si="1958">SUM(AX295:AX301)/SUM(AW295:AW301)</f>
        <v>6.1239193083573486E-2</v>
      </c>
      <c r="BI301">
        <f t="shared" ref="BI301" si="1959">SUM(AZ295:AZ301)/SUM(AY295:AY301)</f>
        <v>6.5397106583997638E-2</v>
      </c>
      <c r="BJ301">
        <f t="shared" ref="BJ301" si="1960">SUM(BB295:BB301)/SUM(BA295:BA301)</f>
        <v>8.7615838247683236E-2</v>
      </c>
      <c r="BK301" s="20">
        <v>0.11799999999999999</v>
      </c>
      <c r="BL301" s="20">
        <v>0.121</v>
      </c>
      <c r="BM301" s="20">
        <v>0.193</v>
      </c>
      <c r="BN301" s="20">
        <v>3253975</v>
      </c>
      <c r="BO301" s="20">
        <v>320551</v>
      </c>
      <c r="BP301" s="20"/>
      <c r="BQ301" s="20"/>
      <c r="BR301" s="20"/>
      <c r="BS301" s="20"/>
      <c r="BT301" s="20">
        <v>1396433</v>
      </c>
      <c r="BU301" s="20">
        <v>296859</v>
      </c>
      <c r="BV301" s="20">
        <v>24652</v>
      </c>
      <c r="BW301" s="20">
        <v>2472</v>
      </c>
      <c r="BX301" s="20"/>
      <c r="BY301" s="20"/>
      <c r="BZ301" s="20"/>
      <c r="CA301" s="20"/>
      <c r="CB301" s="20">
        <v>9783</v>
      </c>
      <c r="CC301" s="20">
        <v>2361</v>
      </c>
      <c r="CD301" s="20">
        <v>19222</v>
      </c>
      <c r="CE301" s="20">
        <v>1479</v>
      </c>
      <c r="CF301" s="20"/>
      <c r="CG301" s="20"/>
      <c r="CH301" s="20"/>
      <c r="CI301" s="20"/>
      <c r="CJ301" s="20">
        <v>5820</v>
      </c>
      <c r="CK301" s="20">
        <v>1406</v>
      </c>
      <c r="CL301" s="20">
        <v>144310</v>
      </c>
      <c r="CM301" s="20">
        <v>14519</v>
      </c>
      <c r="CN301" s="20"/>
      <c r="CO301" s="20"/>
      <c r="CP301" s="20"/>
      <c r="CQ301" s="20"/>
      <c r="CR301" s="20">
        <v>58840</v>
      </c>
      <c r="CS301" s="20">
        <v>13297</v>
      </c>
    </row>
    <row r="302" spans="1:97" x14ac:dyDescent="0.35">
      <c r="A302" s="14">
        <f t="shared" si="1160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61">-(J302-J301)+L302</f>
        <v>9</v>
      </c>
      <c r="N302" s="7">
        <f t="shared" ref="N302" si="1962">B302-C302</f>
        <v>1101837</v>
      </c>
      <c r="O302" s="4">
        <f t="shared" ref="O302" si="1963">C302/B302</f>
        <v>0.21290441945970967</v>
      </c>
      <c r="R302">
        <f t="shared" ref="R302" si="1964">C302-C301</f>
        <v>1181</v>
      </c>
      <c r="S302">
        <f t="shared" ref="S302" si="1965">N302-N301</f>
        <v>2263</v>
      </c>
      <c r="T302" s="8">
        <f t="shared" ref="T302" si="1966">R302/V302</f>
        <v>0.34291521486643439</v>
      </c>
      <c r="U302" s="8">
        <f t="shared" ref="U302" si="1967">SUM(R296:R302)/SUM(V296:V302)</f>
        <v>0.37583515247734339</v>
      </c>
      <c r="V302">
        <f t="shared" ref="V302" si="1968">B302-B301</f>
        <v>3444</v>
      </c>
      <c r="W302">
        <f t="shared" ref="W302" si="1969">C302-D302-E302</f>
        <v>35158</v>
      </c>
      <c r="X302" s="3">
        <f t="shared" ref="X302" si="1970">F302/W302</f>
        <v>1.5700551794755106E-2</v>
      </c>
      <c r="Y302">
        <f t="shared" ref="Y302" si="1971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972">Z302-AC302-AF302</f>
        <v>165</v>
      </c>
      <c r="AJ302">
        <f t="shared" ref="AJ302" si="1973">AA302-AD302-AG302</f>
        <v>228</v>
      </c>
      <c r="AK302">
        <f t="shared" ref="AK302" si="1974">AB302-AE302-AH302</f>
        <v>1223</v>
      </c>
      <c r="AT302">
        <f t="shared" ref="AT302" si="1975">BN302-BN301</f>
        <v>22088</v>
      </c>
      <c r="AU302">
        <f t="shared" si="1922"/>
        <v>1262</v>
      </c>
      <c r="AV302">
        <f t="shared" ref="AV302" si="1976">AU302/AT302</f>
        <v>5.7135095979717491E-2</v>
      </c>
      <c r="AW302">
        <f t="shared" ref="AW302" si="1977">BV302-BV301</f>
        <v>114</v>
      </c>
      <c r="AX302">
        <f t="shared" si="1869"/>
        <v>1</v>
      </c>
      <c r="AY302">
        <f t="shared" ref="AY302" si="1978">CL302-CL301</f>
        <v>781</v>
      </c>
      <c r="AZ302">
        <f t="shared" si="1871"/>
        <v>33</v>
      </c>
      <c r="BA302">
        <f t="shared" ref="BA302" si="1979">CD302-CD301</f>
        <v>195</v>
      </c>
      <c r="BB302">
        <f t="shared" si="1873"/>
        <v>8</v>
      </c>
      <c r="BC302">
        <f t="shared" ref="BC302" si="1980">AX302/AW302</f>
        <v>8.771929824561403E-3</v>
      </c>
      <c r="BD302">
        <f t="shared" ref="BD302" si="1981">AZ302/AY302</f>
        <v>4.2253521126760563E-2</v>
      </c>
      <c r="BE302">
        <f t="shared" si="1929"/>
        <v>4.1025641025641026E-2</v>
      </c>
      <c r="BF302">
        <f t="shared" ref="BF302" si="1982">SUM(AU296:AU302)/SUM(AT296:AT302)</f>
        <v>8.9980939997931469E-2</v>
      </c>
      <c r="BG302">
        <f t="shared" ref="BG302" si="1983">SUM(AU289:AU302)/SUM(AT289:AT302)</f>
        <v>9.1125034842994432E-2</v>
      </c>
      <c r="BH302">
        <f t="shared" ref="BH302" si="1984">SUM(AX296:AX302)/SUM(AW296:AW302)</f>
        <v>6.2344139650872821E-2</v>
      </c>
      <c r="BI302">
        <f t="shared" ref="BI302" si="1985">SUM(AZ296:AZ302)/SUM(AY296:AY302)</f>
        <v>6.5505548705302091E-2</v>
      </c>
      <c r="BJ302">
        <f t="shared" ref="BJ302" si="1986">SUM(BB296:BB302)/SUM(BA296:BA302)</f>
        <v>8.5448392554991537E-2</v>
      </c>
      <c r="BK302" s="20">
        <v>0.106</v>
      </c>
      <c r="BL302" s="20">
        <v>0.11700000000000001</v>
      </c>
      <c r="BM302" s="20">
        <v>0.187</v>
      </c>
      <c r="BN302" s="20">
        <v>3276063</v>
      </c>
      <c r="BO302" s="20">
        <v>321813</v>
      </c>
      <c r="BP302" s="20"/>
      <c r="BQ302" s="20"/>
      <c r="BR302" s="20"/>
      <c r="BS302" s="20"/>
      <c r="BT302" s="20">
        <v>1399877</v>
      </c>
      <c r="BU302" s="20">
        <v>298040</v>
      </c>
      <c r="BV302" s="20">
        <v>24766</v>
      </c>
      <c r="BW302" s="20">
        <v>2473</v>
      </c>
      <c r="BX302" s="20"/>
      <c r="BY302" s="20"/>
      <c r="BZ302" s="20"/>
      <c r="CA302" s="20"/>
      <c r="CB302" s="20">
        <v>9804</v>
      </c>
      <c r="CC302" s="20">
        <v>2360</v>
      </c>
      <c r="CD302" s="20">
        <v>19417</v>
      </c>
      <c r="CE302" s="20">
        <v>1487</v>
      </c>
      <c r="CF302" s="20"/>
      <c r="CG302" s="20"/>
      <c r="CH302" s="20"/>
      <c r="CI302" s="20"/>
      <c r="CJ302" s="20">
        <v>5840</v>
      </c>
      <c r="CK302" s="20">
        <v>1414</v>
      </c>
      <c r="CL302" s="20">
        <v>145091</v>
      </c>
      <c r="CM302" s="20">
        <v>14552</v>
      </c>
      <c r="CN302" s="20"/>
      <c r="CO302" s="20"/>
      <c r="CP302" s="20"/>
      <c r="CQ302" s="20"/>
      <c r="CR302" s="20">
        <v>58955</v>
      </c>
      <c r="CS302" s="20">
        <v>13328</v>
      </c>
    </row>
    <row r="303" spans="1:97" x14ac:dyDescent="0.35">
      <c r="A303" s="14">
        <f t="shared" si="1160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987">-(J303-J302)+L303</f>
        <v>14</v>
      </c>
      <c r="N303" s="7">
        <f t="shared" ref="N303" si="1988">B303-C303</f>
        <v>1105230</v>
      </c>
      <c r="O303" s="4">
        <f t="shared" ref="O303" si="1989">C303/B303</f>
        <v>0.21342325249054525</v>
      </c>
      <c r="R303">
        <f t="shared" ref="R303" si="1990">C303-C302</f>
        <v>1844</v>
      </c>
      <c r="S303">
        <f t="shared" ref="S303" si="1991">N303-N302</f>
        <v>3393</v>
      </c>
      <c r="T303" s="8">
        <f t="shared" ref="T303" si="1992">R303/V303</f>
        <v>0.35210998663356885</v>
      </c>
      <c r="U303" s="8">
        <f t="shared" ref="U303" si="1993">SUM(R297:R303)/SUM(V297:V303)</f>
        <v>0.35400455333174757</v>
      </c>
      <c r="V303">
        <f t="shared" ref="V303" si="1994">B303-B302</f>
        <v>5237</v>
      </c>
      <c r="W303">
        <f t="shared" ref="W303" si="1995">C303-D303-E303</f>
        <v>35171</v>
      </c>
      <c r="X303" s="3">
        <f t="shared" ref="X303" si="1996">F303/W303</f>
        <v>1.4671177959114042E-2</v>
      </c>
      <c r="Y303">
        <f t="shared" ref="Y303" si="1997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998">Z303-AC303-AF303</f>
        <v>166</v>
      </c>
      <c r="AJ303">
        <f t="shared" ref="AJ303" si="1999">AA303-AD303-AG303</f>
        <v>242</v>
      </c>
      <c r="AK303">
        <f t="shared" ref="AK303" si="2000">AB303-AE303-AH303</f>
        <v>1266</v>
      </c>
      <c r="AT303">
        <f t="shared" ref="AT303" si="2001">BN303-BN302</f>
        <v>23944</v>
      </c>
      <c r="AU303">
        <f t="shared" si="1922"/>
        <v>2001</v>
      </c>
      <c r="AV303">
        <f t="shared" ref="AV303" si="2002">AU303/AT303</f>
        <v>8.3569996658870702E-2</v>
      </c>
      <c r="AW303">
        <f t="shared" ref="AW303" si="2003">BV303-BV302</f>
        <v>182</v>
      </c>
      <c r="AX303">
        <f t="shared" si="1869"/>
        <v>9</v>
      </c>
      <c r="AY303">
        <f t="shared" ref="AY303" si="2004">CL303-CL302</f>
        <v>1047</v>
      </c>
      <c r="AZ303">
        <f t="shared" si="1871"/>
        <v>97</v>
      </c>
      <c r="BA303">
        <f t="shared" ref="BA303" si="2005">CD303-CD302</f>
        <v>193</v>
      </c>
      <c r="BB303">
        <f t="shared" si="1873"/>
        <v>19</v>
      </c>
      <c r="BC303">
        <f t="shared" ref="BC303" si="2006">AX303/AW303</f>
        <v>4.9450549450549448E-2</v>
      </c>
      <c r="BD303">
        <f t="shared" ref="BD303" si="2007">AZ303/AY303</f>
        <v>9.2645654250238782E-2</v>
      </c>
      <c r="BE303">
        <f t="shared" si="1929"/>
        <v>9.8445595854922283E-2</v>
      </c>
      <c r="BF303">
        <f t="shared" ref="BF303" si="2008">SUM(AU297:AU303)/SUM(AT297:AT303)</f>
        <v>8.3802381147632637E-2</v>
      </c>
      <c r="BG303">
        <f t="shared" ref="BG303" si="2009">SUM(AU290:AU303)/SUM(AT290:AT303)</f>
        <v>9.0998951744369116E-2</v>
      </c>
      <c r="BH303">
        <f t="shared" ref="BH303" si="2010">SUM(AX297:AX303)/SUM(AW297:AW303)</f>
        <v>5.6280587275693308E-2</v>
      </c>
      <c r="BI303">
        <f t="shared" ref="BI303" si="2011">SUM(AZ297:AZ303)/SUM(AY297:AY303)</f>
        <v>5.3639846743295021E-2</v>
      </c>
      <c r="BJ303">
        <f t="shared" ref="BJ303" si="2012">SUM(BB297:BB303)/SUM(BA297:BA303)</f>
        <v>8.0756013745704472E-2</v>
      </c>
      <c r="BK303" s="20">
        <v>0.104</v>
      </c>
      <c r="BL303" s="20">
        <v>0.11899999999999999</v>
      </c>
      <c r="BM303" s="20">
        <v>0.192</v>
      </c>
      <c r="BN303" s="20">
        <v>3300007</v>
      </c>
      <c r="BO303" s="20">
        <v>323814</v>
      </c>
      <c r="BP303" s="20"/>
      <c r="BQ303" s="20"/>
      <c r="BR303" s="20"/>
      <c r="BS303" s="20"/>
      <c r="BT303" s="20">
        <v>1405114</v>
      </c>
      <c r="BU303" s="20">
        <v>299884</v>
      </c>
      <c r="BV303" s="20">
        <v>24948</v>
      </c>
      <c r="BW303" s="20">
        <v>2482</v>
      </c>
      <c r="BX303" s="20"/>
      <c r="BY303" s="20"/>
      <c r="BZ303" s="20"/>
      <c r="CA303" s="20"/>
      <c r="CB303" s="20">
        <v>9835</v>
      </c>
      <c r="CC303" s="20">
        <v>2369</v>
      </c>
      <c r="CD303" s="20">
        <v>19610</v>
      </c>
      <c r="CE303" s="20">
        <v>1506</v>
      </c>
      <c r="CF303" s="20"/>
      <c r="CG303" s="20"/>
      <c r="CH303" s="20"/>
      <c r="CI303" s="20"/>
      <c r="CJ303" s="20">
        <v>5870</v>
      </c>
      <c r="CK303" s="20">
        <v>1431</v>
      </c>
      <c r="CL303" s="20">
        <v>146138</v>
      </c>
      <c r="CM303" s="20">
        <v>14649</v>
      </c>
      <c r="CN303" s="20"/>
      <c r="CO303" s="20"/>
      <c r="CP303" s="20"/>
      <c r="CQ303" s="20"/>
      <c r="CR303" s="20">
        <v>59173</v>
      </c>
      <c r="CS303" s="20">
        <v>13427</v>
      </c>
    </row>
    <row r="304" spans="1:97" x14ac:dyDescent="0.35">
      <c r="A304" s="14">
        <f t="shared" si="1160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13">-(J304-J303)+L304</f>
        <v>12</v>
      </c>
      <c r="N304" s="7">
        <f t="shared" ref="N304" si="2014">B304-C304</f>
        <v>1108876</v>
      </c>
      <c r="O304" s="4">
        <f t="shared" ref="O304" si="2015">C304/B304</f>
        <v>0.21374044718992455</v>
      </c>
      <c r="R304">
        <f t="shared" ref="R304" si="2016">C304-C303</f>
        <v>1558</v>
      </c>
      <c r="S304">
        <f t="shared" ref="S304" si="2017">N304-N303</f>
        <v>3646</v>
      </c>
      <c r="T304" s="8">
        <f t="shared" ref="T304" si="2018">R304/V304</f>
        <v>0.29938508839354344</v>
      </c>
      <c r="U304" s="8">
        <f t="shared" ref="U304" si="2019">SUM(R298:R304)/SUM(V298:V304)</f>
        <v>0.33825900053734553</v>
      </c>
      <c r="V304">
        <f t="shared" ref="V304" si="2020">B304-B303</f>
        <v>5204</v>
      </c>
      <c r="W304">
        <f t="shared" ref="W304" si="2021">C304-D304-E304</f>
        <v>34984</v>
      </c>
      <c r="X304" s="3">
        <f t="shared" ref="X304" si="2022">F304/W304</f>
        <v>1.5206951749371141E-2</v>
      </c>
      <c r="Y304">
        <f t="shared" ref="Y304" si="2023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24">Z304-AC304-AF304</f>
        <v>172</v>
      </c>
      <c r="AJ304">
        <f t="shared" ref="AJ304" si="2025">AA304-AD304-AG304</f>
        <v>251</v>
      </c>
      <c r="AK304">
        <f t="shared" ref="AK304" si="2026">AB304-AE304-AH304</f>
        <v>1242</v>
      </c>
      <c r="AT304">
        <f t="shared" ref="AT304" si="2027">BN304-BN303</f>
        <v>20399</v>
      </c>
      <c r="AU304">
        <f t="shared" si="1922"/>
        <v>1664</v>
      </c>
      <c r="AV304">
        <f t="shared" ref="AV304" si="2028">AU304/AT304</f>
        <v>8.1572626109122998E-2</v>
      </c>
      <c r="AW304">
        <f t="shared" ref="AW304" si="2029">BV304-BV303</f>
        <v>155</v>
      </c>
      <c r="AX304">
        <f t="shared" si="1869"/>
        <v>17</v>
      </c>
      <c r="AY304">
        <f t="shared" ref="AY304" si="2030">CL304-CL303</f>
        <v>523</v>
      </c>
      <c r="AZ304">
        <f t="shared" si="1871"/>
        <v>64</v>
      </c>
      <c r="BA304">
        <f t="shared" ref="BA304" si="2031">CD304-CD303</f>
        <v>86</v>
      </c>
      <c r="BB304">
        <f t="shared" si="1873"/>
        <v>9</v>
      </c>
      <c r="BC304">
        <f t="shared" ref="BC304" si="2032">AX304/AW304</f>
        <v>0.10967741935483871</v>
      </c>
      <c r="BD304">
        <f t="shared" ref="BD304" si="2033">AZ304/AY304</f>
        <v>0.12237093690248566</v>
      </c>
      <c r="BE304">
        <f t="shared" si="1929"/>
        <v>0.10465116279069768</v>
      </c>
      <c r="BF304">
        <f t="shared" ref="BF304" si="2034">SUM(AU298:AU304)/SUM(AT298:AT304)</f>
        <v>8.0178568788895621E-2</v>
      </c>
      <c r="BG304">
        <f t="shared" ref="BG304" si="2035">SUM(AU291:AU304)/SUM(AT291:AT304)</f>
        <v>8.8270007894510574E-2</v>
      </c>
      <c r="BH304">
        <f t="shared" ref="BH304" si="2036">SUM(AX298:AX304)/SUM(AW298:AW304)</f>
        <v>6.4175467099918768E-2</v>
      </c>
      <c r="BI304">
        <f t="shared" ref="BI304" si="2037">SUM(AZ298:AZ304)/SUM(AY298:AY304)</f>
        <v>6.8071058009746901E-2</v>
      </c>
      <c r="BJ304">
        <f t="shared" ref="BJ304" si="2038">SUM(BB298:BB304)/SUM(BA298:BA304)</f>
        <v>7.4573225516621738E-2</v>
      </c>
      <c r="BK304" s="20">
        <v>0.11</v>
      </c>
      <c r="BL304" s="20">
        <v>0.12</v>
      </c>
      <c r="BM304" s="20">
        <v>0.19</v>
      </c>
      <c r="BN304" s="20">
        <v>3320406</v>
      </c>
      <c r="BO304" s="20">
        <v>325478</v>
      </c>
      <c r="BP304" s="20"/>
      <c r="BQ304" s="20"/>
      <c r="BR304" s="20"/>
      <c r="BS304" s="20"/>
      <c r="BT304" s="20">
        <v>1410318</v>
      </c>
      <c r="BU304" s="20">
        <v>301442</v>
      </c>
      <c r="BV304" s="20">
        <v>25103</v>
      </c>
      <c r="BW304" s="20">
        <v>2499</v>
      </c>
      <c r="BX304" s="20"/>
      <c r="BY304" s="20"/>
      <c r="BZ304" s="20"/>
      <c r="CA304" s="20"/>
      <c r="CB304" s="20">
        <v>9865</v>
      </c>
      <c r="CC304" s="20">
        <v>2385</v>
      </c>
      <c r="CD304" s="20">
        <v>19696</v>
      </c>
      <c r="CE304" s="20">
        <v>1515</v>
      </c>
      <c r="CF304" s="20"/>
      <c r="CG304" s="20"/>
      <c r="CH304" s="20"/>
      <c r="CI304" s="20"/>
      <c r="CJ304" s="20">
        <v>5885</v>
      </c>
      <c r="CK304" s="20">
        <v>1442</v>
      </c>
      <c r="CL304" s="20">
        <v>146661</v>
      </c>
      <c r="CM304" s="20">
        <v>14713</v>
      </c>
      <c r="CN304" s="20"/>
      <c r="CO304" s="20"/>
      <c r="CP304" s="20"/>
      <c r="CQ304" s="20"/>
      <c r="CR304" s="20">
        <v>59329</v>
      </c>
      <c r="CS304" s="20">
        <v>13490</v>
      </c>
    </row>
    <row r="305" spans="1:97" x14ac:dyDescent="0.35">
      <c r="A305" s="14">
        <f t="shared" si="1160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39">-(J305-J304)+L305</f>
        <v>25</v>
      </c>
      <c r="N305" s="7">
        <f t="shared" ref="N305" si="2040">B305-C305</f>
        <v>1112018</v>
      </c>
      <c r="O305" s="4">
        <f t="shared" ref="O305" si="2041">C305/B305</f>
        <v>0.2140104608425219</v>
      </c>
      <c r="R305">
        <f t="shared" ref="R305" si="2042">C305-C304</f>
        <v>1340</v>
      </c>
      <c r="S305">
        <f t="shared" ref="S305" si="2043">N305-N304</f>
        <v>3142</v>
      </c>
      <c r="T305" s="8">
        <f t="shared" ref="T305" si="2044">R305/V305</f>
        <v>0.29897367246764839</v>
      </c>
      <c r="U305" s="8">
        <f t="shared" ref="U305" si="2045">SUM(R299:R305)/SUM(V299:V305)</f>
        <v>0.32601026858998988</v>
      </c>
      <c r="V305">
        <f t="shared" ref="V305" si="2046">B305-B304</f>
        <v>4482</v>
      </c>
      <c r="W305">
        <f t="shared" ref="W305" si="2047">C305-D305-E305</f>
        <v>34702</v>
      </c>
      <c r="X305" s="3">
        <f t="shared" ref="X305" si="2048">F305/W305</f>
        <v>1.4783009624805487E-2</v>
      </c>
      <c r="Y305">
        <f t="shared" ref="Y305" si="204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50">Z305-AC305-AF305</f>
        <v>173</v>
      </c>
      <c r="AJ305">
        <f t="shared" ref="AJ305" si="2051">AA305-AD305-AG305</f>
        <v>254</v>
      </c>
      <c r="AK305">
        <f t="shared" ref="AK305" si="2052">AB305-AE305-AH305</f>
        <v>1221</v>
      </c>
      <c r="AT305">
        <f t="shared" ref="AT305" si="2053">BN305-BN304</f>
        <v>23096</v>
      </c>
      <c r="AU305">
        <f t="shared" si="1922"/>
        <v>1460</v>
      </c>
      <c r="AV305">
        <f t="shared" ref="AV305" si="2054">AU305/AT305</f>
        <v>6.3214409421544854E-2</v>
      </c>
      <c r="AW305">
        <f t="shared" ref="AW305" si="2055">BV305-BV304</f>
        <v>292</v>
      </c>
      <c r="AX305">
        <f t="shared" si="1869"/>
        <v>19</v>
      </c>
      <c r="AY305">
        <f t="shared" ref="AY305" si="2056">CL305-CL304</f>
        <v>1366</v>
      </c>
      <c r="AZ305">
        <f t="shared" si="1871"/>
        <v>66</v>
      </c>
      <c r="BA305">
        <f t="shared" ref="BA305" si="2057">CD305-CD304</f>
        <v>179</v>
      </c>
      <c r="BB305">
        <f t="shared" si="1873"/>
        <v>12</v>
      </c>
      <c r="BC305">
        <f t="shared" ref="BC305" si="2058">AX305/AW305</f>
        <v>6.5068493150684928E-2</v>
      </c>
      <c r="BD305">
        <f t="shared" ref="BD305" si="2059">AZ305/AY305</f>
        <v>4.8316251830161056E-2</v>
      </c>
      <c r="BE305">
        <f t="shared" si="1929"/>
        <v>6.7039106145251395E-2</v>
      </c>
      <c r="BF305">
        <f t="shared" ref="BF305" si="2060">SUM(AU299:AU305)/SUM(AT299:AT305)</f>
        <v>7.7231741346309071E-2</v>
      </c>
      <c r="BG305">
        <f t="shared" ref="BG305" si="2061">SUM(AU292:AU305)/SUM(AT292:AT305)</f>
        <v>8.727642879184383E-2</v>
      </c>
      <c r="BH305">
        <f t="shared" ref="BH305" si="2062">SUM(AX299:AX305)/SUM(AW299:AW305)</f>
        <v>6.5878378378378372E-2</v>
      </c>
      <c r="BI305">
        <f t="shared" ref="BI305" si="2063">SUM(AZ299:AZ305)/SUM(AY299:AY305)</f>
        <v>6.8281197443659597E-2</v>
      </c>
      <c r="BJ305">
        <f t="shared" ref="BJ305" si="2064">SUM(BB299:BB305)/SUM(BA299:BA305)</f>
        <v>7.8125E-2</v>
      </c>
      <c r="BK305" s="20">
        <v>0.11</v>
      </c>
      <c r="BL305" s="20">
        <v>0.11</v>
      </c>
      <c r="BM305" s="20">
        <v>0.19</v>
      </c>
      <c r="BN305" s="20">
        <v>3343502</v>
      </c>
      <c r="BO305" s="20">
        <v>326938</v>
      </c>
      <c r="BP305" s="20"/>
      <c r="BQ305" s="20"/>
      <c r="BR305" s="20"/>
      <c r="BS305" s="20"/>
      <c r="BT305" s="20">
        <v>1414800</v>
      </c>
      <c r="BU305" s="20">
        <v>302782</v>
      </c>
      <c r="BV305" s="20">
        <v>25395</v>
      </c>
      <c r="BW305" s="20">
        <v>2518</v>
      </c>
      <c r="BX305" s="20"/>
      <c r="BY305" s="20"/>
      <c r="BZ305" s="20"/>
      <c r="CA305" s="20"/>
      <c r="CB305" s="20">
        <v>9917</v>
      </c>
      <c r="CC305" s="20">
        <v>2402</v>
      </c>
      <c r="CD305" s="20">
        <v>19875</v>
      </c>
      <c r="CE305" s="20">
        <v>1527</v>
      </c>
      <c r="CF305" s="20"/>
      <c r="CG305" s="20"/>
      <c r="CH305" s="20"/>
      <c r="CI305" s="20"/>
      <c r="CJ305" s="20">
        <v>5909</v>
      </c>
      <c r="CK305" s="20">
        <v>1454</v>
      </c>
      <c r="CL305" s="20">
        <v>148027</v>
      </c>
      <c r="CM305" s="20">
        <v>14779</v>
      </c>
      <c r="CN305" s="20"/>
      <c r="CO305" s="20"/>
      <c r="CP305" s="20"/>
      <c r="CQ305" s="20"/>
      <c r="CR305" s="20">
        <v>59522</v>
      </c>
      <c r="CS305" s="20">
        <v>13556</v>
      </c>
    </row>
    <row r="306" spans="1:97" x14ac:dyDescent="0.35">
      <c r="A306" s="14">
        <f t="shared" si="1160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065">-(J306-J305)+L306</f>
        <v>13</v>
      </c>
      <c r="N306" s="7">
        <f t="shared" ref="N306" si="2066">B306-C306</f>
        <v>1114818</v>
      </c>
      <c r="O306" s="4">
        <f t="shared" ref="O306" si="2067">C306/B306</f>
        <v>0.21433207676418292</v>
      </c>
      <c r="R306">
        <f t="shared" ref="R306" si="2068">C306-C305</f>
        <v>1343</v>
      </c>
      <c r="S306">
        <f t="shared" ref="S306" si="2069">N306-N305</f>
        <v>2800</v>
      </c>
      <c r="T306" s="8">
        <f t="shared" ref="T306" si="2070">R306/V306</f>
        <v>0.3241612358194545</v>
      </c>
      <c r="U306" s="8">
        <f t="shared" ref="U306" si="2071">SUM(R300:R306)/SUM(V300:V306)</f>
        <v>0.32081449574596849</v>
      </c>
      <c r="V306">
        <f t="shared" ref="V306" si="2072">B306-B305</f>
        <v>4143</v>
      </c>
      <c r="W306">
        <f t="shared" ref="W306" si="2073">C306-D306-E306</f>
        <v>34547</v>
      </c>
      <c r="X306" s="3">
        <f t="shared" ref="X306" si="2074">F306/W306</f>
        <v>1.46177670998929E-2</v>
      </c>
      <c r="Y306">
        <f t="shared" ref="Y306" si="2075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076">Z306-AC306-AF306</f>
        <v>180</v>
      </c>
      <c r="AJ306">
        <f t="shared" si="2076"/>
        <v>255</v>
      </c>
      <c r="AK306">
        <f t="shared" ref="AK306" si="2077">AB306-AE306-AH306</f>
        <v>1207</v>
      </c>
      <c r="AT306">
        <f t="shared" ref="AT306" si="2078">BN306-BN305</f>
        <v>21459</v>
      </c>
      <c r="AU306">
        <f t="shared" si="1922"/>
        <v>1479</v>
      </c>
      <c r="AV306">
        <f t="shared" ref="AV306" si="2079">AU306/AT306</f>
        <v>6.8922130574584087E-2</v>
      </c>
      <c r="AW306">
        <f t="shared" ref="AW306" si="2080">BV306-BV305</f>
        <v>177</v>
      </c>
      <c r="AX306">
        <f t="shared" si="1869"/>
        <v>16</v>
      </c>
      <c r="AY306">
        <f t="shared" ref="AY306" si="2081">CL306-CL305</f>
        <v>1608</v>
      </c>
      <c r="AZ306">
        <f t="shared" si="1871"/>
        <v>69</v>
      </c>
      <c r="BA306">
        <f t="shared" ref="BA306" si="2082">CD306-CD305</f>
        <v>199</v>
      </c>
      <c r="BB306">
        <f t="shared" si="1873"/>
        <v>8</v>
      </c>
      <c r="BC306">
        <f t="shared" ref="BC306" si="2083">AX306/AW306</f>
        <v>9.03954802259887E-2</v>
      </c>
      <c r="BD306">
        <f t="shared" ref="BD306" si="2084">AZ306/AY306</f>
        <v>4.2910447761194029E-2</v>
      </c>
      <c r="BE306">
        <f t="shared" si="1929"/>
        <v>4.0201005025125629E-2</v>
      </c>
      <c r="BF306">
        <f t="shared" ref="BF306" si="2085">SUM(AU300:AU306)/SUM(AT300:AT306)</f>
        <v>7.5845865392844089E-2</v>
      </c>
      <c r="BG306">
        <f t="shared" ref="BG306" si="2086">SUM(AU293:AU306)/SUM(AT293:AT306)</f>
        <v>8.5748442806451122E-2</v>
      </c>
      <c r="BH306">
        <f t="shared" ref="BH306" si="2087">SUM(AX300:AX306)/SUM(AW300:AW306)</f>
        <v>7.5508228460793803E-2</v>
      </c>
      <c r="BI306">
        <f t="shared" ref="BI306" si="2088">SUM(AZ300:AZ306)/SUM(AY300:AY306)</f>
        <v>6.4149076517150391E-2</v>
      </c>
      <c r="BJ306">
        <f t="shared" ref="BJ306" si="2089">SUM(BB300:BB306)/SUM(BA300:BA306)</f>
        <v>6.9143446852425183E-2</v>
      </c>
      <c r="BK306" s="20">
        <v>0.11</v>
      </c>
      <c r="BL306" s="20">
        <v>0.11</v>
      </c>
      <c r="BM306" s="20">
        <v>0.19</v>
      </c>
      <c r="BN306" s="20">
        <v>3364961</v>
      </c>
      <c r="BO306" s="20">
        <v>328417</v>
      </c>
      <c r="BP306" s="20"/>
      <c r="BQ306" s="20"/>
      <c r="BR306" s="20"/>
      <c r="BS306" s="20"/>
      <c r="BT306" s="20">
        <v>1418943</v>
      </c>
      <c r="BU306" s="20">
        <v>304125</v>
      </c>
      <c r="BV306" s="20">
        <v>25572</v>
      </c>
      <c r="BW306" s="20">
        <v>2534</v>
      </c>
      <c r="BX306" s="20"/>
      <c r="BY306" s="20"/>
      <c r="BZ306" s="20"/>
      <c r="CA306" s="20"/>
      <c r="CB306" s="20">
        <v>9965</v>
      </c>
      <c r="CC306" s="20">
        <v>2417</v>
      </c>
      <c r="CD306" s="20">
        <v>20074</v>
      </c>
      <c r="CE306" s="20">
        <v>1535</v>
      </c>
      <c r="CF306" s="20"/>
      <c r="CG306" s="20"/>
      <c r="CH306" s="20"/>
      <c r="CI306" s="20"/>
      <c r="CJ306" s="20">
        <v>5936</v>
      </c>
      <c r="CK306" s="20">
        <v>1461</v>
      </c>
      <c r="CL306" s="20">
        <v>149635</v>
      </c>
      <c r="CM306" s="20">
        <v>14848</v>
      </c>
      <c r="CN306" s="20"/>
      <c r="CO306" s="20"/>
      <c r="CP306" s="20"/>
      <c r="CQ306" s="20"/>
      <c r="CR306" s="20">
        <v>59759</v>
      </c>
      <c r="CS306" s="20">
        <v>13616</v>
      </c>
    </row>
    <row r="307" spans="1:97" x14ac:dyDescent="0.35">
      <c r="A307" s="14">
        <f t="shared" si="1160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090">-(J307-J306)+L307</f>
        <v>16</v>
      </c>
      <c r="N307" s="7">
        <f t="shared" ref="N307" si="2091">B307-C307</f>
        <v>1116639</v>
      </c>
      <c r="O307" s="4">
        <f t="shared" ref="O307" si="2092">C307/B307</f>
        <v>0.21445877213346559</v>
      </c>
      <c r="R307">
        <f t="shared" ref="R307" si="2093">C307-C306</f>
        <v>726</v>
      </c>
      <c r="S307">
        <f t="shared" ref="S307" si="2094">N307-N306</f>
        <v>1821</v>
      </c>
      <c r="T307" s="8">
        <f t="shared" ref="T307" si="2095">R307/V307</f>
        <v>0.28504122497055362</v>
      </c>
      <c r="U307" s="8">
        <f t="shared" ref="U307" si="2096">SUM(R301:R307)/SUM(V301:V307)</f>
        <v>0.31504796163069543</v>
      </c>
      <c r="V307">
        <f t="shared" ref="V307" si="2097">B307-B306</f>
        <v>2547</v>
      </c>
      <c r="W307">
        <f t="shared" ref="W307" si="2098">C307-D307-E307</f>
        <v>34605</v>
      </c>
      <c r="X307" s="3">
        <f t="shared" ref="X307" si="2099">F307/W307</f>
        <v>1.3697442566103165E-2</v>
      </c>
      <c r="Y307">
        <f t="shared" ref="Y307" si="2100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076"/>
        <v>181</v>
      </c>
      <c r="AJ307">
        <f t="shared" si="2076"/>
        <v>257</v>
      </c>
      <c r="AK307">
        <f t="shared" ref="AK307" si="2101">AB307-AE307-AH307</f>
        <v>1218</v>
      </c>
      <c r="AL307">
        <v>4</v>
      </c>
      <c r="AM307">
        <v>4</v>
      </c>
      <c r="AN307">
        <v>12</v>
      </c>
      <c r="AT307">
        <f t="shared" ref="AT307" si="2102">BN307-BN306</f>
        <v>7942</v>
      </c>
      <c r="AU307">
        <f t="shared" si="1922"/>
        <v>793</v>
      </c>
      <c r="AV307">
        <f t="shared" ref="AV307" si="2103">AU307/AT307</f>
        <v>9.9848904558045834E-2</v>
      </c>
      <c r="AW307">
        <f t="shared" ref="AW307" si="2104">BV307-BV306</f>
        <v>40</v>
      </c>
      <c r="AX307">
        <f t="shared" si="1869"/>
        <v>2</v>
      </c>
      <c r="AY307">
        <f t="shared" ref="AY307" si="2105">CL307-CL306</f>
        <v>323</v>
      </c>
      <c r="AZ307">
        <f t="shared" si="1871"/>
        <v>41</v>
      </c>
      <c r="BA307">
        <f t="shared" ref="BA307" si="2106">CD307-CD306</f>
        <v>41</v>
      </c>
      <c r="BB307">
        <f t="shared" si="1873"/>
        <v>7</v>
      </c>
      <c r="BC307">
        <f t="shared" ref="BC307" si="2107">AX307/AW307</f>
        <v>0.05</v>
      </c>
      <c r="BD307">
        <f t="shared" ref="BD307" si="2108">AZ307/AY307</f>
        <v>0.12693498452012383</v>
      </c>
      <c r="BE307">
        <f t="shared" si="1929"/>
        <v>0.17073170731707318</v>
      </c>
      <c r="BF307">
        <f t="shared" ref="BF307" si="2109">SUM(AU301:AU307)/SUM(AT301:AT307)</f>
        <v>7.3036863475148844E-2</v>
      </c>
      <c r="BG307">
        <f t="shared" ref="BG307" si="2110">SUM(AU294:AU307)/SUM(AT294:AT307)</f>
        <v>8.4340200126701112E-2</v>
      </c>
      <c r="BH307">
        <f t="shared" ref="BH307" si="2111">SUM(AX301:AX307)/SUM(AW301:AW307)</f>
        <v>7.0070070070070073E-2</v>
      </c>
      <c r="BI307">
        <f t="shared" ref="BI307" si="2112">SUM(AZ301:AZ307)/SUM(AY301:AY307)</f>
        <v>6.5471155472847237E-2</v>
      </c>
      <c r="BJ307">
        <f t="shared" ref="BJ307" si="2113">SUM(BB301:BB307)/SUM(BA301:BA307)</f>
        <v>7.0739549839228297E-2</v>
      </c>
      <c r="BK307" s="20">
        <v>0.1</v>
      </c>
      <c r="BL307" s="20">
        <v>0.11</v>
      </c>
      <c r="BM307" s="20">
        <v>0.18</v>
      </c>
      <c r="BN307" s="20">
        <v>3372903</v>
      </c>
      <c r="BO307" s="20">
        <v>329210</v>
      </c>
      <c r="BP307" s="20"/>
      <c r="BQ307" s="20"/>
      <c r="BR307" s="20"/>
      <c r="BS307" s="20"/>
      <c r="BT307" s="20">
        <v>1421490</v>
      </c>
      <c r="BU307" s="20">
        <v>304851</v>
      </c>
      <c r="BV307" s="20">
        <v>25612</v>
      </c>
      <c r="BW307" s="20">
        <v>2536</v>
      </c>
      <c r="BX307" s="20"/>
      <c r="BY307" s="20"/>
      <c r="BZ307" s="20"/>
      <c r="CA307" s="20"/>
      <c r="CB307" s="20">
        <v>9973</v>
      </c>
      <c r="CC307" s="20">
        <v>2420</v>
      </c>
      <c r="CD307" s="20">
        <v>20115</v>
      </c>
      <c r="CE307" s="20">
        <v>1542</v>
      </c>
      <c r="CF307" s="20"/>
      <c r="CG307" s="20"/>
      <c r="CH307" s="20"/>
      <c r="CI307" s="20"/>
      <c r="CJ307" s="20">
        <v>5952</v>
      </c>
      <c r="CK307" s="20">
        <v>1466</v>
      </c>
      <c r="CL307" s="20">
        <v>149958</v>
      </c>
      <c r="CM307" s="20">
        <v>14889</v>
      </c>
      <c r="CN307" s="20"/>
      <c r="CO307" s="20"/>
      <c r="CP307" s="20"/>
      <c r="CQ307" s="20"/>
      <c r="CR307" s="20">
        <v>59864</v>
      </c>
      <c r="CS307" s="20">
        <v>13648</v>
      </c>
    </row>
    <row r="308" spans="1:97" x14ac:dyDescent="0.35">
      <c r="A308" s="14">
        <f t="shared" si="1160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14">-(J308-J307)+L308</f>
        <v>10</v>
      </c>
      <c r="N308" s="7">
        <f t="shared" ref="N308" si="2115">B308-C308</f>
        <v>1117661</v>
      </c>
      <c r="O308" s="4">
        <f t="shared" ref="O308" si="2116">C308/B308</f>
        <v>0.21453991670754452</v>
      </c>
      <c r="R308">
        <f t="shared" ref="R308" si="2117">C308-C307</f>
        <v>426</v>
      </c>
      <c r="S308">
        <f t="shared" ref="S308" si="2118">N308-N307</f>
        <v>1022</v>
      </c>
      <c r="T308" s="8">
        <f t="shared" ref="T308" si="2119">R308/V308</f>
        <v>0.29419889502762431</v>
      </c>
      <c r="U308" s="8">
        <f t="shared" ref="U308" si="2120">SUM(R302:R308)/SUM(V302:V308)</f>
        <v>0.31760045274476512</v>
      </c>
      <c r="V308">
        <f t="shared" ref="V308" si="2121">B308-B307</f>
        <v>1448</v>
      </c>
      <c r="W308">
        <f t="shared" ref="W308" si="2122">C308-D308-E308</f>
        <v>34499</v>
      </c>
      <c r="X308" s="3">
        <f t="shared" ref="X308" si="2123">F308/W308</f>
        <v>1.4000405808864025E-2</v>
      </c>
      <c r="Y308">
        <f t="shared" ref="Y308" si="2124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076"/>
        <v>179</v>
      </c>
      <c r="AJ308">
        <f t="shared" si="2076"/>
        <v>255</v>
      </c>
      <c r="AK308">
        <f t="shared" ref="AK308" si="2125">AB308-AE308-AH308</f>
        <v>1206</v>
      </c>
      <c r="AL308">
        <v>5</v>
      </c>
      <c r="AM308">
        <v>5</v>
      </c>
      <c r="AN308">
        <v>12</v>
      </c>
      <c r="AT308">
        <f t="shared" ref="AT308" si="2126">BN308-BN307</f>
        <v>5058</v>
      </c>
      <c r="AU308">
        <f t="shared" si="1922"/>
        <v>440</v>
      </c>
      <c r="AV308">
        <f t="shared" ref="AV308" si="2127">AU308/AT308</f>
        <v>8.6990905496243581E-2</v>
      </c>
      <c r="AW308">
        <f t="shared" ref="AW308" si="2128">BV308-BV307</f>
        <v>26</v>
      </c>
      <c r="AX308">
        <f t="shared" si="1869"/>
        <v>3</v>
      </c>
      <c r="AY308">
        <f t="shared" ref="AY308" si="2129">CL308-CL307</f>
        <v>225</v>
      </c>
      <c r="AZ308">
        <f t="shared" si="1871"/>
        <v>2</v>
      </c>
      <c r="BA308">
        <f t="shared" ref="BA308" si="2130">CD308-CD307</f>
        <v>17</v>
      </c>
      <c r="BB308">
        <f t="shared" si="1873"/>
        <v>0</v>
      </c>
      <c r="BC308">
        <f t="shared" ref="BC308" si="2131">AX308/AW308</f>
        <v>0.11538461538461539</v>
      </c>
      <c r="BD308">
        <f t="shared" ref="BD308" si="2132">AZ308/AY308</f>
        <v>8.8888888888888889E-3</v>
      </c>
      <c r="BE308">
        <f t="shared" si="1929"/>
        <v>0</v>
      </c>
      <c r="BF308">
        <f t="shared" ref="BF308" si="2133">SUM(AU302:AU308)/SUM(AT302:AT308)</f>
        <v>7.3387317922991302E-2</v>
      </c>
      <c r="BG308">
        <f t="shared" ref="BG308" si="2134">SUM(AU295:AU308)/SUM(AT295:AT308)</f>
        <v>8.3569351034024714E-2</v>
      </c>
      <c r="BH308">
        <f t="shared" ref="BH308" si="2135">SUM(AX302:AX308)/SUM(AW302:AW308)</f>
        <v>6.7951318458417856E-2</v>
      </c>
      <c r="BI308">
        <f t="shared" ref="BI308" si="2136">SUM(AZ302:AZ308)/SUM(AY302:AY308)</f>
        <v>6.3340711731653329E-2</v>
      </c>
      <c r="BJ308">
        <f t="shared" ref="BJ308" si="2137">SUM(BB302:BB308)/SUM(BA302:BA308)</f>
        <v>6.9230769230769235E-2</v>
      </c>
      <c r="BK308" s="20">
        <v>0.1</v>
      </c>
      <c r="BL308" s="20">
        <v>0.11</v>
      </c>
      <c r="BM308" s="20">
        <v>0.18</v>
      </c>
      <c r="BN308" s="20">
        <v>3377961</v>
      </c>
      <c r="BO308" s="20">
        <v>329650</v>
      </c>
      <c r="BP308" s="20"/>
      <c r="BQ308" s="20"/>
      <c r="BR308" s="20"/>
      <c r="BS308" s="20"/>
      <c r="BT308" s="20">
        <v>1422938</v>
      </c>
      <c r="BU308" s="20">
        <v>305277</v>
      </c>
      <c r="BV308" s="20">
        <v>25638</v>
      </c>
      <c r="BW308" s="20">
        <v>2539</v>
      </c>
      <c r="BX308" s="20"/>
      <c r="BY308" s="20"/>
      <c r="BZ308" s="20"/>
      <c r="CA308" s="20"/>
      <c r="CB308" s="20">
        <v>9984</v>
      </c>
      <c r="CC308" s="20">
        <v>2422</v>
      </c>
      <c r="CD308" s="20">
        <v>20132</v>
      </c>
      <c r="CE308" s="20">
        <v>1542</v>
      </c>
      <c r="CF308" s="20"/>
      <c r="CG308" s="20"/>
      <c r="CH308" s="20"/>
      <c r="CI308" s="20"/>
      <c r="CJ308" s="20">
        <v>5958</v>
      </c>
      <c r="CK308" s="20">
        <v>1468</v>
      </c>
      <c r="CL308" s="20">
        <v>150183</v>
      </c>
      <c r="CM308" s="20">
        <v>14891</v>
      </c>
      <c r="CN308" s="20"/>
      <c r="CO308" s="20"/>
      <c r="CP308" s="20"/>
      <c r="CQ308" s="20"/>
      <c r="CR308" s="20">
        <v>59921</v>
      </c>
      <c r="CS308" s="20">
        <v>13660</v>
      </c>
    </row>
    <row r="309" spans="1:97" x14ac:dyDescent="0.35">
      <c r="A309" s="14">
        <f t="shared" si="1160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38">-(J309-J308)+L309</f>
        <v>17</v>
      </c>
      <c r="N309" s="7">
        <f t="shared" ref="N309" si="2139">B309-C309</f>
        <v>1119975</v>
      </c>
      <c r="O309" s="4">
        <f t="shared" ref="O309" si="2140">C309/B309</f>
        <v>0.21472163363983246</v>
      </c>
      <c r="R309">
        <f t="shared" ref="R309" si="2141">C309-C308</f>
        <v>962</v>
      </c>
      <c r="S309">
        <f t="shared" ref="S309" si="2142">N309-N308</f>
        <v>2314</v>
      </c>
      <c r="T309" s="8">
        <f t="shared" ref="T309" si="2143">R309/V309</f>
        <v>0.29365079365079366</v>
      </c>
      <c r="U309" s="8">
        <f t="shared" ref="U309" si="2144">SUM(R303:R309)/SUM(V303:V309)</f>
        <v>0.31131108326688689</v>
      </c>
      <c r="V309">
        <f t="shared" ref="V309" si="2145">B309-B308</f>
        <v>3276</v>
      </c>
      <c r="W309">
        <f t="shared" ref="W309" si="2146">C309-D309-E309</f>
        <v>31918</v>
      </c>
      <c r="X309" s="3">
        <f t="shared" ref="X309" si="2147">F309/W309</f>
        <v>1.5351839087662134E-2</v>
      </c>
      <c r="Y309">
        <f t="shared" ref="Y309" si="2148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49">Z309-AC309-AF309</f>
        <v>177</v>
      </c>
      <c r="AJ309">
        <f t="shared" ref="AJ309" si="2150">AA309-AD309-AG309</f>
        <v>247</v>
      </c>
      <c r="AK309">
        <f t="shared" ref="AK309" si="2151">AB309-AE309-AH309</f>
        <v>1158</v>
      </c>
      <c r="AL309">
        <v>11</v>
      </c>
      <c r="AM309">
        <v>11</v>
      </c>
      <c r="AN309">
        <v>15</v>
      </c>
      <c r="AT309">
        <f t="shared" ref="AT309" si="2152">BN309-BN308</f>
        <v>21929</v>
      </c>
      <c r="AU309">
        <f t="shared" si="1922"/>
        <v>1032</v>
      </c>
      <c r="AV309">
        <f t="shared" ref="AV309" si="2153">AU309/AT309</f>
        <v>4.7060969492452913E-2</v>
      </c>
      <c r="AW309">
        <f t="shared" ref="AW309" si="2154">BV309-BV308</f>
        <v>202</v>
      </c>
      <c r="AX309">
        <f t="shared" si="1869"/>
        <v>6</v>
      </c>
      <c r="AY309">
        <f t="shared" ref="AY309" si="2155">CL309-CL308</f>
        <v>1062</v>
      </c>
      <c r="AZ309">
        <f t="shared" si="1871"/>
        <v>46</v>
      </c>
      <c r="BA309">
        <f t="shared" ref="BA309" si="2156">CD309-CD308</f>
        <v>208</v>
      </c>
      <c r="BB309">
        <f t="shared" si="1873"/>
        <v>4</v>
      </c>
      <c r="BC309">
        <f t="shared" ref="BC309" si="2157">AX309/AW309</f>
        <v>2.9702970297029702E-2</v>
      </c>
      <c r="BD309">
        <f t="shared" ref="BD309" si="2158">AZ309/AY309</f>
        <v>4.3314500941619587E-2</v>
      </c>
      <c r="BE309">
        <f t="shared" si="1929"/>
        <v>1.9230769230769232E-2</v>
      </c>
      <c r="BF309">
        <f t="shared" ref="BF309" si="2159">SUM(AU303:AU309)/SUM(AT303:AT309)</f>
        <v>7.1624120749109649E-2</v>
      </c>
      <c r="BG309">
        <f t="shared" ref="BG309" si="2160">SUM(AU296:AU309)/SUM(AT296:AT309)</f>
        <v>8.1211008183217651E-2</v>
      </c>
      <c r="BH309">
        <f t="shared" ref="BH309" si="2161">SUM(AX303:AX309)/SUM(AW303:AW309)</f>
        <v>6.7039106145251395E-2</v>
      </c>
      <c r="BI309">
        <f t="shared" ref="BI309" si="2162">SUM(AZ303:AZ309)/SUM(AY303:AY309)</f>
        <v>6.256093597660059E-2</v>
      </c>
      <c r="BJ309">
        <f t="shared" ref="BJ309" si="2163">SUM(BB303:BB309)/SUM(BA303:BA309)</f>
        <v>6.3921993499458291E-2</v>
      </c>
      <c r="BK309" s="20">
        <v>0.1</v>
      </c>
      <c r="BL309" s="20">
        <v>0.1</v>
      </c>
      <c r="BM309" s="20">
        <v>0.17</v>
      </c>
      <c r="BN309" s="20">
        <v>3399890</v>
      </c>
      <c r="BO309" s="20">
        <v>330682</v>
      </c>
      <c r="BP309" s="20"/>
      <c r="BQ309" s="20"/>
      <c r="BR309" s="20"/>
      <c r="BS309" s="20"/>
      <c r="BT309" s="20">
        <v>1426214</v>
      </c>
      <c r="BU309" s="20">
        <v>306238</v>
      </c>
      <c r="BV309" s="20">
        <v>25840</v>
      </c>
      <c r="BW309" s="20">
        <v>2545</v>
      </c>
      <c r="BX309" s="20"/>
      <c r="BY309" s="20"/>
      <c r="BZ309" s="20"/>
      <c r="CA309" s="20"/>
      <c r="CB309" s="20">
        <v>10013</v>
      </c>
      <c r="CC309" s="20">
        <v>2429</v>
      </c>
      <c r="CD309" s="20">
        <v>20340</v>
      </c>
      <c r="CE309" s="20">
        <v>1546</v>
      </c>
      <c r="CF309" s="20"/>
      <c r="CG309" s="20"/>
      <c r="CH309" s="20"/>
      <c r="CI309" s="20"/>
      <c r="CJ309" s="20">
        <v>5972</v>
      </c>
      <c r="CK309" s="20">
        <v>1473</v>
      </c>
      <c r="CL309" s="20">
        <v>151245</v>
      </c>
      <c r="CM309" s="20">
        <v>14937</v>
      </c>
      <c r="CN309" s="20"/>
      <c r="CO309" s="20"/>
      <c r="CP309" s="20"/>
      <c r="CQ309" s="20"/>
      <c r="CR309" s="20">
        <v>60074</v>
      </c>
      <c r="CS309" s="20">
        <v>13702</v>
      </c>
    </row>
    <row r="310" spans="1:97" x14ac:dyDescent="0.35">
      <c r="A310" s="14">
        <f t="shared" si="1160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164">-(J310-J309)+L310</f>
        <v>22</v>
      </c>
      <c r="N310" s="7">
        <f t="shared" ref="N310" si="2165">B310-C310</f>
        <v>1122801</v>
      </c>
      <c r="O310" s="4">
        <f t="shared" ref="O310" si="2166">C310/B310</f>
        <v>0.21502812906581578</v>
      </c>
      <c r="R310">
        <f t="shared" ref="R310" si="2167">C310-C309</f>
        <v>1331</v>
      </c>
      <c r="S310">
        <f t="shared" ref="S310" si="2168">N310-N309</f>
        <v>2826</v>
      </c>
      <c r="T310" s="8">
        <f t="shared" ref="T310" si="2169">R310/V310</f>
        <v>0.3201828241520327</v>
      </c>
      <c r="U310" s="8">
        <f t="shared" ref="U310" si="2170">SUM(R304:R310)/SUM(V304:V310)</f>
        <v>0.30431167597101794</v>
      </c>
      <c r="V310">
        <f t="shared" ref="V310" si="2171">B310-B309</f>
        <v>4157</v>
      </c>
      <c r="W310">
        <f t="shared" ref="W310" si="2172">C310-D310-E310</f>
        <v>32682</v>
      </c>
      <c r="X310" s="3">
        <f t="shared" ref="X310" si="2173">F310/W310</f>
        <v>1.4503396364971544E-2</v>
      </c>
      <c r="Y310">
        <f t="shared" ref="Y310" si="2174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175">Z310-AC310-AF310</f>
        <v>177</v>
      </c>
      <c r="AJ310">
        <f t="shared" ref="AJ310" si="2176">AA310-AD310-AG310</f>
        <v>239</v>
      </c>
      <c r="AK310">
        <f t="shared" ref="AK310" si="2177">AB310-AE310-AH310</f>
        <v>1157</v>
      </c>
      <c r="AL310">
        <v>12</v>
      </c>
      <c r="AM310">
        <v>12</v>
      </c>
      <c r="AN310">
        <v>51</v>
      </c>
      <c r="AT310">
        <f t="shared" ref="AT310" si="2178">BN310-BN309</f>
        <v>21127</v>
      </c>
      <c r="AU310">
        <f t="shared" si="1922"/>
        <v>1396</v>
      </c>
      <c r="AV310">
        <f t="shared" ref="AV310" si="2179">AU310/AT310</f>
        <v>6.6076584465376065E-2</v>
      </c>
      <c r="AW310">
        <f t="shared" ref="AW310" si="2180">BV310-BV309</f>
        <v>165</v>
      </c>
      <c r="AX310">
        <f t="shared" si="1869"/>
        <v>19</v>
      </c>
      <c r="AY310">
        <f t="shared" ref="AY310" si="2181">CL310-CL309</f>
        <v>626</v>
      </c>
      <c r="AZ310">
        <f t="shared" si="1871"/>
        <v>91</v>
      </c>
      <c r="BA310">
        <f t="shared" ref="BA310" si="2182">CD310-CD309</f>
        <v>133</v>
      </c>
      <c r="BB310">
        <f t="shared" si="1873"/>
        <v>12</v>
      </c>
      <c r="BC310">
        <f t="shared" ref="BC310" si="2183">AX310/AW310</f>
        <v>0.11515151515151516</v>
      </c>
      <c r="BD310">
        <f t="shared" ref="BD310" si="2184">AZ310/AY310</f>
        <v>0.14536741214057508</v>
      </c>
      <c r="BE310">
        <f t="shared" si="1929"/>
        <v>9.0225563909774431E-2</v>
      </c>
      <c r="BF310">
        <f t="shared" ref="BF310" si="2185">SUM(AU304:AU310)/SUM(AT304:AT310)</f>
        <v>6.8291876704404592E-2</v>
      </c>
      <c r="BG310">
        <f t="shared" ref="BG310" si="2186">SUM(AU297:AU310)/SUM(AT297:AT310)</f>
        <v>7.6446127134553801E-2</v>
      </c>
      <c r="BH310">
        <f t="shared" ref="BH310" si="2187">SUM(AX304:AX310)/SUM(AW304:AW310)</f>
        <v>7.7578051087984864E-2</v>
      </c>
      <c r="BI310">
        <f t="shared" ref="BI310" si="2188">SUM(AZ304:AZ310)/SUM(AY304:AY310)</f>
        <v>6.6108494679923246E-2</v>
      </c>
      <c r="BJ310">
        <f t="shared" ref="BJ310" si="2189">SUM(BB304:BB310)/SUM(BA304:BA310)</f>
        <v>6.0254924681344149E-2</v>
      </c>
      <c r="BK310" s="20">
        <v>0.1</v>
      </c>
      <c r="BL310" s="20">
        <v>0.1</v>
      </c>
      <c r="BM310" s="20">
        <v>0.15</v>
      </c>
      <c r="BN310" s="20">
        <v>3421017</v>
      </c>
      <c r="BO310" s="20">
        <v>332078</v>
      </c>
      <c r="BP310" s="20"/>
      <c r="BQ310" s="20"/>
      <c r="BR310" s="20"/>
      <c r="BS310" s="20"/>
      <c r="BT310" s="20">
        <v>1430371</v>
      </c>
      <c r="BU310" s="20">
        <v>307570</v>
      </c>
      <c r="BV310" s="20">
        <v>26005</v>
      </c>
      <c r="BW310" s="20">
        <v>2564</v>
      </c>
      <c r="BX310" s="20"/>
      <c r="BY310" s="20"/>
      <c r="BZ310" s="20"/>
      <c r="CA310" s="20"/>
      <c r="CB310" s="20">
        <v>10056</v>
      </c>
      <c r="CC310" s="20">
        <v>2449</v>
      </c>
      <c r="CD310" s="20">
        <v>20473</v>
      </c>
      <c r="CE310" s="20">
        <v>1558</v>
      </c>
      <c r="CF310" s="20"/>
      <c r="CG310" s="20"/>
      <c r="CH310" s="20"/>
      <c r="CI310" s="20"/>
      <c r="CJ310" s="20">
        <v>5992</v>
      </c>
      <c r="CK310" s="20">
        <v>1483</v>
      </c>
      <c r="CL310" s="20">
        <v>151871</v>
      </c>
      <c r="CM310" s="20">
        <v>15028</v>
      </c>
      <c r="CN310" s="20"/>
      <c r="CO310" s="20"/>
      <c r="CP310" s="20"/>
      <c r="CQ310" s="20"/>
      <c r="CR310" s="20">
        <v>60234</v>
      </c>
      <c r="CS310" s="20">
        <v>13785</v>
      </c>
    </row>
    <row r="311" spans="1:97" x14ac:dyDescent="0.35">
      <c r="A311" s="14">
        <f t="shared" ref="A311:A332" si="219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191">-(J311-J310)+L311</f>
        <v>21</v>
      </c>
      <c r="N311" s="7">
        <f t="shared" ref="N311" si="2192">B311-C311</f>
        <v>1126368</v>
      </c>
      <c r="O311" s="4">
        <f t="shared" ref="O311" si="2193">C311/B311</f>
        <v>0.21542557267062401</v>
      </c>
      <c r="R311">
        <f t="shared" ref="R311" si="2194">C311-C310</f>
        <v>1704</v>
      </c>
      <c r="S311">
        <f t="shared" ref="S311" si="2195">N311-N310</f>
        <v>3567</v>
      </c>
      <c r="T311" s="8">
        <f t="shared" ref="T311" si="2196">R311/V311</f>
        <v>0.3232783153101878</v>
      </c>
      <c r="U311" s="8">
        <f t="shared" ref="U311" si="2197">SUM(R305:R311)/SUM(V305:V311)</f>
        <v>0.30927183699257621</v>
      </c>
      <c r="V311">
        <f t="shared" ref="V311" si="2198">B311-B310</f>
        <v>5271</v>
      </c>
      <c r="W311">
        <f t="shared" ref="W311" si="2199">C311-D311-E311</f>
        <v>32931</v>
      </c>
      <c r="X311" s="3">
        <f t="shared" ref="X311" si="2200">F311/W311</f>
        <v>1.4181166681849929E-2</v>
      </c>
      <c r="Y311">
        <f t="shared" ref="Y311" si="220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02">Z311-AC311-AF311</f>
        <v>184</v>
      </c>
      <c r="AJ311">
        <f t="shared" ref="AJ311" si="2203">AA311-AD311-AG311</f>
        <v>233</v>
      </c>
      <c r="AK311">
        <f t="shared" ref="AK311" si="2204">AB311-AE311-AH311</f>
        <v>1170</v>
      </c>
      <c r="AL311">
        <v>13</v>
      </c>
      <c r="AM311">
        <v>13</v>
      </c>
      <c r="AN311">
        <v>52</v>
      </c>
      <c r="AT311">
        <f t="shared" ref="AT311" si="2205">BN311-BN310</f>
        <v>22177</v>
      </c>
      <c r="AU311">
        <f t="shared" si="1922"/>
        <v>1890</v>
      </c>
      <c r="AV311">
        <f t="shared" ref="AV311" si="2206">AU311/AT311</f>
        <v>8.5223429679397569E-2</v>
      </c>
      <c r="AW311">
        <f t="shared" ref="AW311" si="2207">BV311-BV310</f>
        <v>322</v>
      </c>
      <c r="AX311">
        <f t="shared" si="1869"/>
        <v>22</v>
      </c>
      <c r="AY311">
        <f t="shared" ref="AY311" si="2208">CL311-CL310</f>
        <v>-8997</v>
      </c>
      <c r="AZ311">
        <f t="shared" si="1871"/>
        <v>104</v>
      </c>
      <c r="BA311">
        <f t="shared" ref="BA311" si="2209">CD311-CD310</f>
        <v>173</v>
      </c>
      <c r="BB311">
        <f t="shared" si="1873"/>
        <v>10</v>
      </c>
      <c r="BC311">
        <f t="shared" ref="BC311" si="2210">AX311/AW311</f>
        <v>6.8322981366459631E-2</v>
      </c>
      <c r="BD311">
        <f t="shared" ref="BD311" si="2211">AZ311/AY311</f>
        <v>-1.1559408691786151E-2</v>
      </c>
      <c r="BE311">
        <f t="shared" si="1929"/>
        <v>5.7803468208092484E-2</v>
      </c>
      <c r="BF311">
        <f t="shared" ref="BF311" si="2212">SUM(AU305:AU311)/SUM(AT305:AT311)</f>
        <v>6.9143564517705314E-2</v>
      </c>
      <c r="BG311">
        <f t="shared" ref="BG311" si="2213">SUM(AU298:AU311)/SUM(AT298:AT311)</f>
        <v>7.4928512201359238E-2</v>
      </c>
      <c r="BH311">
        <f t="shared" ref="BH311" si="2214">SUM(AX305:AX311)/SUM(AW305:AW311)</f>
        <v>7.1078431372549017E-2</v>
      </c>
      <c r="BI311">
        <f t="shared" ref="BI311" si="2215">SUM(AZ305:AZ311)/SUM(AY305:AY311)</f>
        <v>-0.11064166886717719</v>
      </c>
      <c r="BJ311">
        <f t="shared" ref="BJ311" si="2216">SUM(BB305:BB311)/SUM(BA305:BA311)</f>
        <v>5.5789473684210528E-2</v>
      </c>
      <c r="BK311" s="20">
        <v>0.09</v>
      </c>
      <c r="BL311" s="20">
        <v>0.1</v>
      </c>
      <c r="BM311" s="20">
        <v>0.13</v>
      </c>
      <c r="BN311" s="20">
        <v>3443194</v>
      </c>
      <c r="BO311" s="20">
        <v>333968</v>
      </c>
      <c r="BP311" s="20"/>
      <c r="BQ311" s="20"/>
      <c r="BR311" s="20"/>
      <c r="BS311" s="20"/>
      <c r="BT311" s="20">
        <v>1435642</v>
      </c>
      <c r="BU311" s="20">
        <v>309274</v>
      </c>
      <c r="BV311" s="20">
        <v>26327</v>
      </c>
      <c r="BW311" s="20">
        <v>2586</v>
      </c>
      <c r="BX311" s="20"/>
      <c r="BY311" s="20"/>
      <c r="BZ311" s="20"/>
      <c r="CA311" s="20"/>
      <c r="CB311" s="20">
        <v>10181</v>
      </c>
      <c r="CC311" s="20">
        <v>2470</v>
      </c>
      <c r="CD311" s="20">
        <v>20646</v>
      </c>
      <c r="CE311" s="20">
        <v>1568</v>
      </c>
      <c r="CF311" s="20"/>
      <c r="CG311" s="20"/>
      <c r="CH311" s="20"/>
      <c r="CI311" s="20"/>
      <c r="CJ311" s="20">
        <v>6015</v>
      </c>
      <c r="CK311" s="20">
        <v>1493</v>
      </c>
      <c r="CL311" s="20">
        <v>142874</v>
      </c>
      <c r="CM311" s="20">
        <v>15132</v>
      </c>
      <c r="CN311" s="20"/>
      <c r="CO311" s="20"/>
      <c r="CP311" s="20"/>
      <c r="CQ311" s="20"/>
      <c r="CR311" s="20">
        <v>60452</v>
      </c>
      <c r="CS311" s="20">
        <v>13890</v>
      </c>
    </row>
    <row r="312" spans="1:97" x14ac:dyDescent="0.35">
      <c r="A312" s="14">
        <f t="shared" si="219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17">-(J312-J311)+L312</f>
        <v>15</v>
      </c>
      <c r="N312" s="7">
        <f t="shared" ref="N312" si="2218">B312-C312</f>
        <v>1129158</v>
      </c>
      <c r="O312" s="4">
        <f t="shared" ref="O312" si="2219">C312/B312</f>
        <v>0.21571871509776794</v>
      </c>
      <c r="R312">
        <f t="shared" ref="R312" si="2220">C312-C311</f>
        <v>1304</v>
      </c>
      <c r="S312">
        <f t="shared" ref="S312" si="2221">N312-N311</f>
        <v>2790</v>
      </c>
      <c r="T312" s="8">
        <f t="shared" ref="T312" si="2222">R312/V312</f>
        <v>0.31851489985344406</v>
      </c>
      <c r="U312" s="8">
        <f t="shared" ref="U312" si="2223">SUM(R306:R312)/SUM(V306:V312)</f>
        <v>0.31264035931985884</v>
      </c>
      <c r="V312">
        <f t="shared" ref="V312" si="2224">B312-B311</f>
        <v>4094</v>
      </c>
      <c r="W312">
        <f t="shared" ref="W312" si="2225">C312-D312-E312</f>
        <v>33122</v>
      </c>
      <c r="X312" s="3">
        <f t="shared" ref="X312" si="2226">F312/W312</f>
        <v>1.3586136102892337E-2</v>
      </c>
      <c r="Y312">
        <f t="shared" ref="Y312" si="2227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28">Z312-AC312-AF312</f>
        <v>185</v>
      </c>
      <c r="AJ312">
        <f t="shared" ref="AJ312" si="2229">AA312-AD312-AG312</f>
        <v>229</v>
      </c>
      <c r="AK312">
        <f t="shared" ref="AK312" si="2230">AB312-AE312-AH312</f>
        <v>1179</v>
      </c>
      <c r="AL312">
        <v>16</v>
      </c>
      <c r="AM312">
        <v>16</v>
      </c>
      <c r="AN312">
        <v>57</v>
      </c>
      <c r="AT312">
        <f t="shared" ref="AT312" si="2231">BN312-BN311</f>
        <v>23271</v>
      </c>
      <c r="AU312">
        <f t="shared" si="1922"/>
        <v>1403</v>
      </c>
      <c r="AV312">
        <f t="shared" ref="AV312" si="2232">AU312/AT312</f>
        <v>6.0289630871041208E-2</v>
      </c>
      <c r="AW312">
        <f t="shared" ref="AW312" si="2233">BV312-BV311</f>
        <v>290</v>
      </c>
      <c r="AX312">
        <f t="shared" si="1869"/>
        <v>11</v>
      </c>
      <c r="AY312">
        <f t="shared" ref="AY312" si="2234">CL312-CL311</f>
        <v>11302</v>
      </c>
      <c r="AZ312">
        <f t="shared" si="1871"/>
        <v>78</v>
      </c>
      <c r="BA312">
        <f t="shared" ref="BA312" si="2235">CD312-CD311</f>
        <v>143</v>
      </c>
      <c r="BB312">
        <f t="shared" si="1873"/>
        <v>5</v>
      </c>
      <c r="BC312">
        <f t="shared" ref="BC312" si="2236">AX312/AW312</f>
        <v>3.793103448275862E-2</v>
      </c>
      <c r="BD312">
        <f t="shared" ref="BD312" si="2237">AZ312/AY312</f>
        <v>6.9014333746239605E-3</v>
      </c>
      <c r="BE312">
        <f t="shared" si="1929"/>
        <v>3.4965034965034968E-2</v>
      </c>
      <c r="BF312">
        <f t="shared" ref="BF312" si="2238">SUM(AU306:AU312)/SUM(AT306:AT312)</f>
        <v>6.8581605848913901E-2</v>
      </c>
      <c r="BG312">
        <f t="shared" ref="BG312" si="2239">SUM(AU299:AU312)/SUM(AT299:AT312)</f>
        <v>7.3028468457076015E-2</v>
      </c>
      <c r="BH312">
        <f t="shared" ref="BH312" si="2240">SUM(AX306:AX312)/SUM(AW306:AW312)</f>
        <v>6.4648117839607208E-2</v>
      </c>
      <c r="BI312">
        <f t="shared" ref="BI312" si="2241">SUM(AZ306:AZ312)/SUM(AY306:AY312)</f>
        <v>7.0092697999674741E-2</v>
      </c>
      <c r="BJ312">
        <f t="shared" ref="BJ312" si="2242">SUM(BB306:BB312)/SUM(BA306:BA312)</f>
        <v>5.0328227571115977E-2</v>
      </c>
      <c r="BK312" s="20">
        <v>0.08</v>
      </c>
      <c r="BL312" s="20">
        <v>0.1</v>
      </c>
      <c r="BM312" s="20">
        <v>0.12</v>
      </c>
      <c r="BN312" s="20">
        <v>3466465</v>
      </c>
      <c r="BO312" s="20">
        <v>335371</v>
      </c>
      <c r="BP312" s="20"/>
      <c r="BQ312" s="20"/>
      <c r="BR312" s="20"/>
      <c r="BS312" s="20"/>
      <c r="BT312" s="20">
        <v>1439736</v>
      </c>
      <c r="BU312" s="20">
        <v>310578</v>
      </c>
      <c r="BV312" s="20">
        <v>26617</v>
      </c>
      <c r="BW312" s="20">
        <v>2597</v>
      </c>
      <c r="BX312" s="20"/>
      <c r="BY312" s="20"/>
      <c r="BZ312" s="20"/>
      <c r="CA312" s="20"/>
      <c r="CB312" s="20">
        <v>10289</v>
      </c>
      <c r="CC312" s="20">
        <v>2481</v>
      </c>
      <c r="CD312" s="20">
        <v>20789</v>
      </c>
      <c r="CE312" s="20">
        <v>1573</v>
      </c>
      <c r="CF312" s="20"/>
      <c r="CG312" s="20"/>
      <c r="CH312" s="20"/>
      <c r="CI312" s="20"/>
      <c r="CJ312" s="20">
        <v>6034</v>
      </c>
      <c r="CK312" s="20">
        <v>1498</v>
      </c>
      <c r="CL312" s="20">
        <v>154176</v>
      </c>
      <c r="CM312" s="20">
        <v>15210</v>
      </c>
      <c r="CN312" s="20"/>
      <c r="CO312" s="20"/>
      <c r="CP312" s="20"/>
      <c r="CQ312" s="20"/>
      <c r="CR312" s="20">
        <v>60641</v>
      </c>
      <c r="CS312" s="20">
        <v>13962</v>
      </c>
    </row>
    <row r="313" spans="1:97" x14ac:dyDescent="0.35">
      <c r="A313" s="14">
        <f t="shared" si="219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43">-(J313-J312)+L313</f>
        <v>24</v>
      </c>
      <c r="N313" s="7">
        <f t="shared" ref="N313" si="2244">B313-C313</f>
        <v>1132493</v>
      </c>
      <c r="O313" s="4">
        <f t="shared" ref="O313" si="2245">C313/B313</f>
        <v>0.21597319961757255</v>
      </c>
      <c r="R313">
        <f t="shared" ref="R313" si="2246">C313-C312</f>
        <v>1386</v>
      </c>
      <c r="S313">
        <f t="shared" ref="S313" si="2247">N313-N312</f>
        <v>3335</v>
      </c>
      <c r="T313" s="8">
        <f t="shared" ref="T313" si="2248">R313/V313</f>
        <v>0.2935818682482525</v>
      </c>
      <c r="U313" s="8">
        <f t="shared" ref="U313" si="2249">SUM(R307:R313)/SUM(V307:V313)</f>
        <v>0.30724308222936425</v>
      </c>
      <c r="V313">
        <f t="shared" ref="V313" si="2250">B313-B312</f>
        <v>4721</v>
      </c>
      <c r="W313">
        <f t="shared" ref="W313" si="2251">C313-D313-E313</f>
        <v>34298</v>
      </c>
      <c r="X313" s="3">
        <f t="shared" ref="X313" si="2252">F313/W313</f>
        <v>1.2216455770015745E-2</v>
      </c>
      <c r="Y313">
        <f t="shared" ref="Y313" si="2253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54">Z313-AC313-AF313</f>
        <v>194</v>
      </c>
      <c r="AJ313">
        <f t="shared" ref="AJ313" si="2255">AA313-AD313-AG313</f>
        <v>239</v>
      </c>
      <c r="AK313">
        <f t="shared" ref="AK313" si="2256">AB313-AE313-AH313</f>
        <v>1236</v>
      </c>
      <c r="AL313">
        <v>16</v>
      </c>
      <c r="AM313">
        <v>16</v>
      </c>
      <c r="AN313">
        <v>52</v>
      </c>
      <c r="AT313">
        <f t="shared" ref="AT313" si="2257">BN313-BN312</f>
        <v>22782</v>
      </c>
      <c r="AU313">
        <f t="shared" si="1922"/>
        <v>1500</v>
      </c>
      <c r="AV313">
        <f t="shared" ref="AV313" si="2258">AU313/AT313</f>
        <v>6.5841453779299453E-2</v>
      </c>
      <c r="AW313">
        <f t="shared" ref="AW313" si="2259">BV313-BV312</f>
        <v>259</v>
      </c>
      <c r="AX313">
        <f t="shared" si="1869"/>
        <v>12</v>
      </c>
      <c r="AY313">
        <f t="shared" ref="AY313" si="2260">CL313-CL312</f>
        <v>1035</v>
      </c>
      <c r="AZ313">
        <f t="shared" si="1871"/>
        <v>87</v>
      </c>
      <c r="BA313">
        <f t="shared" ref="BA313" si="2261">CD313-CD312</f>
        <v>189</v>
      </c>
      <c r="BB313">
        <f t="shared" si="1873"/>
        <v>13</v>
      </c>
      <c r="BC313">
        <f t="shared" ref="BC313" si="2262">AX313/AW313</f>
        <v>4.633204633204633E-2</v>
      </c>
      <c r="BD313">
        <f t="shared" ref="BD313" si="2263">AZ313/AY313</f>
        <v>8.4057971014492749E-2</v>
      </c>
      <c r="BE313">
        <f t="shared" si="1929"/>
        <v>6.8783068783068779E-2</v>
      </c>
      <c r="BF313">
        <f t="shared" ref="BF313" si="2264">SUM(AU307:AU313)/SUM(AT307:AT313)</f>
        <v>6.8020533286130377E-2</v>
      </c>
      <c r="BG313">
        <f t="shared" ref="BG313" si="2265">SUM(AU300:AU313)/SUM(AT300:AT313)</f>
        <v>7.1998987433896447E-2</v>
      </c>
      <c r="BH313">
        <f t="shared" ref="BH313" si="2266">SUM(AX307:AX313)/SUM(AW307:AW313)</f>
        <v>5.7515337423312884E-2</v>
      </c>
      <c r="BI313">
        <f t="shared" ref="BI313" si="2267">SUM(AZ307:AZ313)/SUM(AY307:AY313)</f>
        <v>8.0523672883787659E-2</v>
      </c>
      <c r="BJ313">
        <f t="shared" ref="BJ313" si="2268">SUM(BB307:BB313)/SUM(BA307:BA313)</f>
        <v>5.641592920353982E-2</v>
      </c>
      <c r="BK313" s="20">
        <v>0.08</v>
      </c>
      <c r="BL313" s="20">
        <v>0.1</v>
      </c>
      <c r="BM313" s="20">
        <v>0.12</v>
      </c>
      <c r="BN313" s="20">
        <v>3489247</v>
      </c>
      <c r="BO313" s="20">
        <v>336871</v>
      </c>
      <c r="BP313" s="20"/>
      <c r="BQ313" s="20"/>
      <c r="BR313" s="20"/>
      <c r="BS313" s="20"/>
      <c r="BT313" s="20">
        <v>1444457</v>
      </c>
      <c r="BU313" s="20">
        <v>311964</v>
      </c>
      <c r="BV313" s="20">
        <v>26876</v>
      </c>
      <c r="BW313" s="20">
        <v>2609</v>
      </c>
      <c r="BX313" s="20"/>
      <c r="BY313" s="20"/>
      <c r="BZ313" s="20"/>
      <c r="CA313" s="20"/>
      <c r="CB313" s="20">
        <v>10363</v>
      </c>
      <c r="CC313" s="20">
        <v>2495</v>
      </c>
      <c r="CD313" s="20">
        <v>20978</v>
      </c>
      <c r="CE313" s="20">
        <v>1586</v>
      </c>
      <c r="CF313" s="20"/>
      <c r="CG313" s="20"/>
      <c r="CH313" s="20"/>
      <c r="CI313" s="20"/>
      <c r="CJ313" s="20">
        <v>6058</v>
      </c>
      <c r="CK313" s="20">
        <v>1509</v>
      </c>
      <c r="CL313" s="20">
        <v>155211</v>
      </c>
      <c r="CM313" s="20">
        <v>15297</v>
      </c>
      <c r="CN313" s="20"/>
      <c r="CO313" s="20"/>
      <c r="CP313" s="20"/>
      <c r="CQ313" s="20"/>
      <c r="CR313" s="20">
        <v>60869</v>
      </c>
      <c r="CS313" s="20">
        <v>14042</v>
      </c>
    </row>
    <row r="314" spans="1:97" x14ac:dyDescent="0.35">
      <c r="A314" s="14">
        <f t="shared" si="219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269">-(J314-J313)+L314</f>
        <v>19</v>
      </c>
      <c r="N314" s="7">
        <f t="shared" ref="N314" si="2270">B314-C314</f>
        <v>1134399</v>
      </c>
      <c r="O314" s="4">
        <f t="shared" ref="O314" si="2271">C314/B314</f>
        <v>0.21614545545001887</v>
      </c>
      <c r="R314">
        <f t="shared" ref="R314" si="2272">C314-C313</f>
        <v>843</v>
      </c>
      <c r="S314">
        <f t="shared" ref="S314" si="2273">N314-N313</f>
        <v>1906</v>
      </c>
      <c r="T314" s="8">
        <f t="shared" ref="T314" si="2274">R314/V314</f>
        <v>0.30665696616951621</v>
      </c>
      <c r="U314" s="8">
        <f t="shared" ref="U314" si="2275">SUM(R308:R314)/SUM(V308:V314)</f>
        <v>0.30937937470835275</v>
      </c>
      <c r="V314">
        <f t="shared" ref="V314" si="2276">B314-B313</f>
        <v>2749</v>
      </c>
      <c r="W314">
        <f t="shared" ref="W314" si="2277">C314-D314-E314</f>
        <v>34221</v>
      </c>
      <c r="X314" s="3">
        <f t="shared" ref="X314" si="2278">F314/W314</f>
        <v>1.1162736331492359E-2</v>
      </c>
      <c r="Y314">
        <f t="shared" ref="Y314" si="2279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280">Z314-AC314-AF314</f>
        <v>193</v>
      </c>
      <c r="AJ314">
        <f t="shared" ref="AJ314" si="2281">AA314-AD314-AG314</f>
        <v>241</v>
      </c>
      <c r="AK314">
        <f t="shared" ref="AK314" si="2282">AB314-AE314-AH314</f>
        <v>1251</v>
      </c>
      <c r="AL314">
        <v>16</v>
      </c>
      <c r="AM314">
        <v>16</v>
      </c>
      <c r="AN314">
        <v>52</v>
      </c>
      <c r="AT314">
        <f t="shared" ref="AT314" si="2283">BN314-BN313</f>
        <v>9168</v>
      </c>
      <c r="AU314">
        <f t="shared" si="1922"/>
        <v>914</v>
      </c>
      <c r="AV314">
        <f t="shared" ref="AV314" si="2284">AU314/AT314</f>
        <v>9.9694589877835957E-2</v>
      </c>
      <c r="AW314">
        <f t="shared" ref="AW314" si="2285">BV314-BV313</f>
        <v>46</v>
      </c>
      <c r="AX314">
        <f t="shared" si="1869"/>
        <v>5</v>
      </c>
      <c r="AY314">
        <f t="shared" ref="AY314" si="2286">CL314-CL313</f>
        <v>372</v>
      </c>
      <c r="AZ314">
        <f t="shared" si="1871"/>
        <v>38</v>
      </c>
      <c r="BA314">
        <f t="shared" ref="BA314" si="2287">CD314-CD313</f>
        <v>49</v>
      </c>
      <c r="BB314">
        <f t="shared" si="1873"/>
        <v>4</v>
      </c>
      <c r="BC314">
        <f t="shared" ref="BC314" si="2288">AX314/AW314</f>
        <v>0.10869565217391304</v>
      </c>
      <c r="BD314">
        <f t="shared" ref="BD314" si="2289">AZ314/AY314</f>
        <v>0.10215053763440861</v>
      </c>
      <c r="BE314">
        <f t="shared" si="1929"/>
        <v>8.1632653061224483E-2</v>
      </c>
      <c r="BF314">
        <f t="shared" ref="BF314" si="2290">SUM(AU308:AU314)/SUM(AT308:AT314)</f>
        <v>6.8320160622091911E-2</v>
      </c>
      <c r="BG314">
        <f t="shared" ref="BG314" si="2291">SUM(AU301:AU314)/SUM(AT301:AT314)</f>
        <v>7.0670120815243029E-2</v>
      </c>
      <c r="BH314">
        <f t="shared" ref="BH314" si="2292">SUM(AX308:AX314)/SUM(AW308:AW314)</f>
        <v>5.9541984732824425E-2</v>
      </c>
      <c r="BI314">
        <f t="shared" ref="BI314" si="2293">SUM(AZ308:AZ314)/SUM(AY308:AY314)</f>
        <v>7.9288888888888895E-2</v>
      </c>
      <c r="BJ314">
        <f t="shared" ref="BJ314" si="2294">SUM(BB308:BB314)/SUM(BA308:BA314)</f>
        <v>5.2631578947368418E-2</v>
      </c>
      <c r="BK314" s="20">
        <v>0.08</v>
      </c>
      <c r="BL314" s="20">
        <v>0.11</v>
      </c>
      <c r="BM314" s="20">
        <v>0.12</v>
      </c>
      <c r="BN314" s="20">
        <v>3498415</v>
      </c>
      <c r="BO314" s="20">
        <v>337785</v>
      </c>
      <c r="BP314" s="20"/>
      <c r="BQ314" s="20"/>
      <c r="BR314" s="20"/>
      <c r="BS314" s="20"/>
      <c r="BT314" s="20">
        <v>1447206</v>
      </c>
      <c r="BU314" s="20">
        <v>312807</v>
      </c>
      <c r="BV314" s="20">
        <v>26922</v>
      </c>
      <c r="BW314" s="20">
        <v>2614</v>
      </c>
      <c r="BX314" s="20"/>
      <c r="BY314" s="20"/>
      <c r="BZ314" s="20"/>
      <c r="CA314" s="20"/>
      <c r="CB314" s="20">
        <v>10373</v>
      </c>
      <c r="CC314" s="20">
        <v>2498</v>
      </c>
      <c r="CD314" s="20">
        <v>21027</v>
      </c>
      <c r="CE314" s="20">
        <v>1590</v>
      </c>
      <c r="CF314" s="20"/>
      <c r="CG314" s="20"/>
      <c r="CH314" s="20"/>
      <c r="CI314" s="20"/>
      <c r="CJ314" s="20">
        <v>6071</v>
      </c>
      <c r="CK314" s="20">
        <v>1513</v>
      </c>
      <c r="CL314" s="20">
        <v>155583</v>
      </c>
      <c r="CM314" s="20">
        <v>15335</v>
      </c>
      <c r="CN314" s="20"/>
      <c r="CO314" s="20"/>
      <c r="CP314" s="20"/>
      <c r="CQ314" s="20"/>
      <c r="CR314" s="20">
        <v>60983</v>
      </c>
      <c r="CS314" s="20">
        <v>14078</v>
      </c>
    </row>
    <row r="315" spans="1:97" x14ac:dyDescent="0.35">
      <c r="A315" s="14">
        <f t="shared" si="219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295">-(J315-J314)+L315</f>
        <v>11</v>
      </c>
      <c r="N315" s="7">
        <f t="shared" ref="N315" si="2296">B315-C315</f>
        <v>1135690</v>
      </c>
      <c r="O315" s="4">
        <f t="shared" ref="O315" si="2297">C315/B315</f>
        <v>0.21618603546898121</v>
      </c>
      <c r="R315">
        <f t="shared" ref="R315" si="2298">C315-C314</f>
        <v>431</v>
      </c>
      <c r="S315">
        <f t="shared" ref="S315" si="2299">N315-N314</f>
        <v>1291</v>
      </c>
      <c r="T315" s="8">
        <f t="shared" ref="T315" si="2300">R315/V315</f>
        <v>0.25029036004645761</v>
      </c>
      <c r="U315" s="8">
        <f t="shared" ref="U315" si="2301">SUM(R309:R315)/SUM(V309:V315)</f>
        <v>0.30631011927664487</v>
      </c>
      <c r="V315">
        <f t="shared" ref="V315" si="2302">B315-B314</f>
        <v>1722</v>
      </c>
      <c r="W315">
        <f t="shared" ref="W315" si="2303">C315-D315-E315</f>
        <v>34020</v>
      </c>
      <c r="X315" s="3">
        <f t="shared" ref="X315" si="2304">F315/W315</f>
        <v>1.1258083480305702E-2</v>
      </c>
      <c r="Y315">
        <f t="shared" ref="Y315" si="230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06">Z315-AC315-AF315</f>
        <v>190</v>
      </c>
      <c r="AJ315">
        <f t="shared" ref="AJ315" si="2307">AA315-AD315-AG315</f>
        <v>245</v>
      </c>
      <c r="AK315">
        <f t="shared" ref="AK315" si="2308">AB315-AE315-AH315</f>
        <v>1235</v>
      </c>
      <c r="AL315">
        <v>16</v>
      </c>
      <c r="AM315">
        <v>16</v>
      </c>
      <c r="AN315">
        <v>24</v>
      </c>
      <c r="AT315">
        <f t="shared" ref="AT315" si="2309">BN315-BN314</f>
        <v>5978</v>
      </c>
      <c r="AU315">
        <f t="shared" si="1922"/>
        <v>470</v>
      </c>
      <c r="AV315">
        <f t="shared" ref="AV315" si="2310">AU315/AT315</f>
        <v>7.8621612579458017E-2</v>
      </c>
      <c r="AW315">
        <f t="shared" ref="AW315" si="2311">BV315-BV314</f>
        <v>35</v>
      </c>
      <c r="AX315">
        <f t="shared" si="1869"/>
        <v>1</v>
      </c>
      <c r="AY315">
        <f t="shared" ref="AY315" si="2312">CL315-CL314</f>
        <v>254</v>
      </c>
      <c r="AZ315">
        <f t="shared" si="1871"/>
        <v>13</v>
      </c>
      <c r="BA315">
        <f t="shared" ref="BA315" si="2313">CD315-CD314</f>
        <v>56</v>
      </c>
      <c r="BB315">
        <f t="shared" si="1873"/>
        <v>5</v>
      </c>
      <c r="BC315">
        <f t="shared" ref="BC315" si="2314">AX315/AW315</f>
        <v>2.8571428571428571E-2</v>
      </c>
      <c r="BD315">
        <f t="shared" ref="BD315" si="2315">AZ315/AY315</f>
        <v>5.1181102362204724E-2</v>
      </c>
      <c r="BE315">
        <f t="shared" si="1929"/>
        <v>8.9285714285714288E-2</v>
      </c>
      <c r="BF315">
        <f t="shared" ref="BF315" si="2316">SUM(AU309:AU315)/SUM(AT309:AT315)</f>
        <v>6.8060301189572264E-2</v>
      </c>
      <c r="BG315">
        <f t="shared" ref="BG315" si="2317">SUM(AU302:AU315)/SUM(AT302:AT315)</f>
        <v>7.0697793289619754E-2</v>
      </c>
      <c r="BH315">
        <f t="shared" ref="BH315" si="2318">SUM(AX309:AX315)/SUM(AW309:AW315)</f>
        <v>5.7619408642911298E-2</v>
      </c>
      <c r="BI315">
        <f t="shared" ref="BI315" si="2319">SUM(AZ309:AZ315)/SUM(AY309:AY315)</f>
        <v>8.0827732578705347E-2</v>
      </c>
      <c r="BJ315">
        <f t="shared" ref="BJ315" si="2320">SUM(BB309:BB315)/SUM(BA309:BA315)</f>
        <v>5.573080967402734E-2</v>
      </c>
      <c r="BK315" s="20">
        <v>0.08</v>
      </c>
      <c r="BL315" s="20">
        <v>0.11</v>
      </c>
      <c r="BM315" s="20">
        <v>0.12</v>
      </c>
      <c r="BN315" s="20">
        <v>3504393</v>
      </c>
      <c r="BO315" s="20">
        <v>338255</v>
      </c>
      <c r="BP315" s="20"/>
      <c r="BQ315" s="20"/>
      <c r="BR315" s="20"/>
      <c r="BS315" s="20"/>
      <c r="BT315" s="20">
        <v>1448928</v>
      </c>
      <c r="BU315" s="20">
        <v>313238</v>
      </c>
      <c r="BV315" s="20">
        <v>26957</v>
      </c>
      <c r="BW315" s="20">
        <v>2615</v>
      </c>
      <c r="BX315" s="20"/>
      <c r="BY315" s="20"/>
      <c r="BZ315" s="20"/>
      <c r="CA315" s="20"/>
      <c r="CB315" s="20">
        <v>10385</v>
      </c>
      <c r="CC315" s="20">
        <v>2501</v>
      </c>
      <c r="CD315" s="20">
        <v>21083</v>
      </c>
      <c r="CE315" s="20">
        <v>1595</v>
      </c>
      <c r="CF315" s="20"/>
      <c r="CG315" s="20"/>
      <c r="CH315" s="20"/>
      <c r="CI315" s="20"/>
      <c r="CJ315" s="20">
        <v>6078</v>
      </c>
      <c r="CK315" s="20">
        <v>1518</v>
      </c>
      <c r="CL315" s="20">
        <v>155837</v>
      </c>
      <c r="CM315" s="20">
        <v>15348</v>
      </c>
      <c r="CN315" s="20"/>
      <c r="CO315" s="20"/>
      <c r="CP315" s="20"/>
      <c r="CQ315" s="20"/>
      <c r="CR315" s="20">
        <v>61043</v>
      </c>
      <c r="CS315" s="20">
        <v>14094</v>
      </c>
    </row>
    <row r="316" spans="1:97" x14ac:dyDescent="0.35">
      <c r="A316" s="14">
        <f t="shared" si="219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21">-(J316-J315)+L316</f>
        <v>3</v>
      </c>
      <c r="N316" s="7">
        <f t="shared" ref="N316" si="2322">B316-C316</f>
        <v>1137915</v>
      </c>
      <c r="O316" s="4">
        <f t="shared" ref="O316" si="2323">C316/B316</f>
        <v>0.21629741048903803</v>
      </c>
      <c r="R316">
        <f t="shared" ref="R316" si="2324">C316-C315</f>
        <v>820</v>
      </c>
      <c r="S316">
        <f t="shared" ref="S316" si="2325">N316-N315</f>
        <v>2225</v>
      </c>
      <c r="T316" s="8">
        <f t="shared" ref="T316" si="2326">R316/V316</f>
        <v>0.26929392446633826</v>
      </c>
      <c r="U316" s="8">
        <f t="shared" ref="U316" si="2327">SUM(R310:R316)/SUM(V310:V316)</f>
        <v>0.30354439225125202</v>
      </c>
      <c r="V316">
        <f t="shared" ref="V316" si="2328">B316-B315</f>
        <v>3045</v>
      </c>
      <c r="W316">
        <f t="shared" ref="W316" si="2329">C316-D316-E316</f>
        <v>33123</v>
      </c>
      <c r="X316" s="3">
        <f t="shared" ref="X316" si="2330">F316/W316</f>
        <v>1.2529058358240497E-2</v>
      </c>
      <c r="Y316">
        <f t="shared" ref="Y316" si="2331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32">Z316-AC316-AF316</f>
        <v>207</v>
      </c>
      <c r="AJ316">
        <f t="shared" ref="AJ316" si="2333">AA316-AD316-AG316</f>
        <v>246</v>
      </c>
      <c r="AK316">
        <f t="shared" ref="AK316" si="2334">AB316-AE316-AH316</f>
        <v>1226</v>
      </c>
      <c r="AL316">
        <v>16</v>
      </c>
      <c r="AM316">
        <v>16</v>
      </c>
      <c r="AN316">
        <v>32</v>
      </c>
      <c r="AT316">
        <f t="shared" ref="AT316" si="2335">BN316-BN315</f>
        <v>20876</v>
      </c>
      <c r="AU316">
        <f t="shared" si="1922"/>
        <v>902</v>
      </c>
      <c r="AV316">
        <f t="shared" ref="AV316" si="2336">AU316/AT316</f>
        <v>4.3207511017436293E-2</v>
      </c>
      <c r="AW316">
        <f t="shared" ref="AW316" si="2337">BV316-BV315</f>
        <v>114</v>
      </c>
      <c r="AX316">
        <f t="shared" si="1869"/>
        <v>4</v>
      </c>
      <c r="AY316">
        <f t="shared" ref="AY316" si="2338">CL316-CL315</f>
        <v>1136</v>
      </c>
      <c r="AZ316">
        <f t="shared" si="1871"/>
        <v>48</v>
      </c>
      <c r="BA316">
        <f t="shared" ref="BA316" si="2339">CD316-CD315</f>
        <v>136</v>
      </c>
      <c r="BB316">
        <f t="shared" si="1873"/>
        <v>6</v>
      </c>
      <c r="BC316">
        <f t="shared" ref="BC316" si="2340">AX316/AW316</f>
        <v>3.5087719298245612E-2</v>
      </c>
      <c r="BD316">
        <f t="shared" ref="BD316" si="2341">AZ316/AY316</f>
        <v>4.2253521126760563E-2</v>
      </c>
      <c r="BE316">
        <f t="shared" si="1929"/>
        <v>4.4117647058823532E-2</v>
      </c>
      <c r="BF316">
        <f t="shared" ref="BF316" si="2342">SUM(AU310:AU316)/SUM(AT310:AT316)</f>
        <v>6.7595051802933501E-2</v>
      </c>
      <c r="BG316">
        <f t="shared" ref="BG316" si="2343">SUM(AU303:AU316)/SUM(AT303:AT316)</f>
        <v>6.9597040199674165E-2</v>
      </c>
      <c r="BH316">
        <f t="shared" ref="BH316" si="2344">SUM(AX310:AX316)/SUM(AW310:AW316)</f>
        <v>6.0113728675873272E-2</v>
      </c>
      <c r="BI316">
        <f t="shared" ref="BI316" si="2345">SUM(AZ310:AZ316)/SUM(AY310:AY316)</f>
        <v>8.0132681564245814E-2</v>
      </c>
      <c r="BJ316">
        <f t="shared" ref="BJ316" si="2346">SUM(BB310:BB316)/SUM(BA310:BA316)</f>
        <v>6.2571103526734922E-2</v>
      </c>
      <c r="BK316" s="20">
        <v>7.0000000000000007E-2</v>
      </c>
      <c r="BL316" s="20">
        <v>0.1</v>
      </c>
      <c r="BM316" s="20">
        <v>0.1</v>
      </c>
      <c r="BN316" s="20">
        <v>3525269</v>
      </c>
      <c r="BO316" s="20">
        <v>339157</v>
      </c>
      <c r="BP316" s="20"/>
      <c r="BQ316" s="20"/>
      <c r="BR316" s="20"/>
      <c r="BS316" s="20"/>
      <c r="BT316" s="20">
        <v>1451973</v>
      </c>
      <c r="BU316" s="20">
        <v>314058</v>
      </c>
      <c r="BV316" s="20">
        <v>27071</v>
      </c>
      <c r="BW316" s="20">
        <v>2619</v>
      </c>
      <c r="BX316" s="20"/>
      <c r="BY316" s="20"/>
      <c r="BZ316" s="20"/>
      <c r="CA316" s="20"/>
      <c r="CB316" s="20">
        <v>10412</v>
      </c>
      <c r="CC316" s="20">
        <v>2504</v>
      </c>
      <c r="CD316" s="20">
        <v>21219</v>
      </c>
      <c r="CE316" s="20">
        <v>1601</v>
      </c>
      <c r="CF316" s="20"/>
      <c r="CG316" s="20"/>
      <c r="CH316" s="20"/>
      <c r="CI316" s="20"/>
      <c r="CJ316" s="20">
        <v>6098</v>
      </c>
      <c r="CK316" s="20">
        <v>1523</v>
      </c>
      <c r="CL316" s="20">
        <v>156973</v>
      </c>
      <c r="CM316" s="20">
        <v>15396</v>
      </c>
      <c r="CN316" s="20"/>
      <c r="CO316" s="20"/>
      <c r="CP316" s="20"/>
      <c r="CQ316" s="20"/>
      <c r="CR316" s="20">
        <v>61199</v>
      </c>
      <c r="CS316" s="20">
        <v>14128</v>
      </c>
    </row>
    <row r="317" spans="1:97" x14ac:dyDescent="0.35">
      <c r="A317" s="14">
        <f t="shared" si="219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47">-(J317-J316)+L317</f>
        <v>22</v>
      </c>
      <c r="N317" s="7">
        <f t="shared" ref="N317" si="2348">B317-C317</f>
        <v>1140583</v>
      </c>
      <c r="O317" s="4">
        <f t="shared" ref="O317" si="2349">C317/B317</f>
        <v>0.21648995181128433</v>
      </c>
      <c r="R317">
        <f t="shared" ref="R317" si="2350">C317-C316</f>
        <v>1094</v>
      </c>
      <c r="S317">
        <f t="shared" ref="S317" si="2351">N317-N316</f>
        <v>2668</v>
      </c>
      <c r="T317" s="8">
        <f t="shared" ref="T317" si="2352">R317/V317</f>
        <v>0.29080276448697501</v>
      </c>
      <c r="U317" s="8">
        <f t="shared" ref="U317" si="2353">SUM(R311:R317)/SUM(V311:V317)</f>
        <v>0.29892761394101874</v>
      </c>
      <c r="V317">
        <f t="shared" ref="V317" si="2354">B317-B316</f>
        <v>3762</v>
      </c>
      <c r="W317">
        <f t="shared" ref="W317" si="2355">C317-D317-E317</f>
        <v>32829</v>
      </c>
      <c r="X317" s="3">
        <f t="shared" ref="X317" si="2356">F317/W317</f>
        <v>1.2428036187517134E-2</v>
      </c>
      <c r="Y317">
        <f t="shared" ref="Y317" si="2357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358">Z317-AC317-AF317</f>
        <v>206</v>
      </c>
      <c r="AJ317">
        <f t="shared" ref="AJ317" si="2359">AA317-AD317-AG317</f>
        <v>242</v>
      </c>
      <c r="AK317">
        <f t="shared" ref="AK317" si="2360">AB317-AE317-AH317</f>
        <v>1223</v>
      </c>
      <c r="AL317">
        <v>15</v>
      </c>
      <c r="AM317">
        <v>15</v>
      </c>
      <c r="AN317">
        <v>34</v>
      </c>
      <c r="AT317">
        <f t="shared" ref="AT317" si="2361">BN317-BN316</f>
        <v>19151</v>
      </c>
      <c r="AU317">
        <f t="shared" si="1922"/>
        <v>1187</v>
      </c>
      <c r="AV317">
        <f t="shared" ref="AV317" si="2362">AU317/AT317</f>
        <v>6.1981097592814997E-2</v>
      </c>
      <c r="AW317">
        <f t="shared" ref="AW317" si="2363">BV317-BV316</f>
        <v>153</v>
      </c>
      <c r="AX317">
        <f t="shared" si="1869"/>
        <v>7</v>
      </c>
      <c r="AY317">
        <f t="shared" ref="AY317" si="2364">CL317-CL316</f>
        <v>1163</v>
      </c>
      <c r="AZ317">
        <f t="shared" si="1871"/>
        <v>55</v>
      </c>
      <c r="BA317">
        <f t="shared" ref="BA317" si="2365">CD317-CD316</f>
        <v>154</v>
      </c>
      <c r="BB317">
        <f t="shared" si="1873"/>
        <v>1</v>
      </c>
      <c r="BC317">
        <f t="shared" ref="BC317" si="2366">AX317/AW317</f>
        <v>4.5751633986928102E-2</v>
      </c>
      <c r="BD317">
        <f t="shared" ref="BD317" si="2367">AZ317/AY317</f>
        <v>4.7291487532244193E-2</v>
      </c>
      <c r="BE317">
        <f t="shared" si="1929"/>
        <v>6.4935064935064939E-3</v>
      </c>
      <c r="BF317">
        <f t="shared" ref="BF317" si="2368">SUM(AU311:AU317)/SUM(AT311:AT317)</f>
        <v>6.6983784835052629E-2</v>
      </c>
      <c r="BG317">
        <f t="shared" ref="BG317" si="2369">SUM(AU304:AU317)/SUM(AT304:AT317)</f>
        <v>6.7631427133581279E-2</v>
      </c>
      <c r="BH317">
        <f t="shared" ref="BH317" si="2370">SUM(AX311:AX317)/SUM(AW311:AW317)</f>
        <v>5.0861361771944218E-2</v>
      </c>
      <c r="BI317">
        <f t="shared" ref="BI317" si="2371">SUM(AZ311:AZ317)/SUM(AY311:AY317)</f>
        <v>6.7517956903431764E-2</v>
      </c>
      <c r="BJ317">
        <f t="shared" ref="BJ317" si="2372">SUM(BB311:BB317)/SUM(BA311:BA317)</f>
        <v>4.8888888888888891E-2</v>
      </c>
      <c r="BK317" s="20">
        <v>7.0000000000000007E-2</v>
      </c>
      <c r="BL317" s="20">
        <v>0.1</v>
      </c>
      <c r="BM317" s="20">
        <v>0.1</v>
      </c>
      <c r="BN317" s="20">
        <v>3544420</v>
      </c>
      <c r="BO317" s="20">
        <v>340344</v>
      </c>
      <c r="BP317" s="20"/>
      <c r="BQ317" s="20"/>
      <c r="BR317" s="20"/>
      <c r="BS317" s="20"/>
      <c r="BT317" s="20">
        <v>1455735</v>
      </c>
      <c r="BU317" s="20">
        <v>315152</v>
      </c>
      <c r="BV317" s="20">
        <v>27224</v>
      </c>
      <c r="BW317" s="20">
        <v>2626</v>
      </c>
      <c r="BX317" s="20"/>
      <c r="BY317" s="20"/>
      <c r="BZ317" s="20"/>
      <c r="CA317" s="20"/>
      <c r="CB317" s="20">
        <v>10437</v>
      </c>
      <c r="CC317" s="20">
        <v>2510</v>
      </c>
      <c r="CD317" s="20">
        <v>21373</v>
      </c>
      <c r="CE317" s="20">
        <v>1602</v>
      </c>
      <c r="CF317" s="20"/>
      <c r="CG317" s="20"/>
      <c r="CH317" s="20"/>
      <c r="CI317" s="20"/>
      <c r="CJ317" s="20">
        <v>6112</v>
      </c>
      <c r="CK317" s="20">
        <v>1526</v>
      </c>
      <c r="CL317" s="20">
        <v>158136</v>
      </c>
      <c r="CM317" s="20">
        <v>15451</v>
      </c>
      <c r="CN317" s="20"/>
      <c r="CO317" s="20"/>
      <c r="CP317" s="20"/>
      <c r="CQ317" s="20"/>
      <c r="CR317" s="20">
        <v>61369</v>
      </c>
      <c r="CS317" s="20">
        <v>14187</v>
      </c>
    </row>
    <row r="318" spans="1:97" x14ac:dyDescent="0.35">
      <c r="A318" s="14">
        <f t="shared" si="219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373">-(J318-J317)+L318</f>
        <v>14</v>
      </c>
      <c r="N318" s="7">
        <f t="shared" ref="N318" si="2374">B318-C318</f>
        <v>1143489</v>
      </c>
      <c r="O318" s="4">
        <f t="shared" ref="O318" si="2375">C318/B318</f>
        <v>0.21674865712371724</v>
      </c>
      <c r="R318">
        <f t="shared" ref="R318" si="2376">C318-C317</f>
        <v>1285</v>
      </c>
      <c r="S318">
        <f t="shared" ref="S318" si="2377">N318-N317</f>
        <v>2906</v>
      </c>
      <c r="T318" s="8">
        <f t="shared" ref="T318" si="2378">R318/V318</f>
        <v>0.30660940109759005</v>
      </c>
      <c r="U318" s="8">
        <f t="shared" ref="U318" si="2379">SUM(R312:R318)/SUM(V312:V318)</f>
        <v>0.29496788008565311</v>
      </c>
      <c r="V318">
        <f t="shared" ref="V318" si="2380">B318-B317</f>
        <v>4191</v>
      </c>
      <c r="W318">
        <f t="shared" ref="W318" si="2381">C318-D318-E318</f>
        <v>32250</v>
      </c>
      <c r="X318" s="3">
        <f t="shared" ref="X318" si="2382">F318/W318</f>
        <v>1.2124031007751938E-2</v>
      </c>
      <c r="Y318">
        <f t="shared" ref="Y318" si="2383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384">Z318-AC318-AF318</f>
        <v>202</v>
      </c>
      <c r="AJ318">
        <f t="shared" ref="AJ318" si="2385">AA318-AD318-AG318</f>
        <v>229</v>
      </c>
      <c r="AK318">
        <f t="shared" ref="AK318" si="2386">AB318-AE318-AH318</f>
        <v>1236</v>
      </c>
      <c r="AL318">
        <v>12</v>
      </c>
      <c r="AM318">
        <v>12</v>
      </c>
      <c r="AN318">
        <v>29</v>
      </c>
      <c r="AT318">
        <f t="shared" ref="AT318" si="2387">BN318-BN317</f>
        <v>20431</v>
      </c>
      <c r="AU318">
        <f t="shared" si="1922"/>
        <v>1363</v>
      </c>
      <c r="AV318">
        <f t="shared" ref="AV318" si="2388">AU318/AT318</f>
        <v>6.6712348881601491E-2</v>
      </c>
      <c r="AW318">
        <f t="shared" ref="AW318" si="2389">BV318-BV317</f>
        <v>243</v>
      </c>
      <c r="AX318">
        <f t="shared" si="1869"/>
        <v>6</v>
      </c>
      <c r="AY318">
        <f t="shared" ref="AY318" si="2390">CL318-CL317</f>
        <v>783</v>
      </c>
      <c r="AZ318">
        <f t="shared" si="1871"/>
        <v>67</v>
      </c>
      <c r="BA318">
        <f t="shared" ref="BA318" si="2391">CD318-CD317</f>
        <v>122</v>
      </c>
      <c r="BB318">
        <f t="shared" si="1873"/>
        <v>2</v>
      </c>
      <c r="BC318">
        <f t="shared" ref="BC318" si="2392">AX318/AW318</f>
        <v>2.4691358024691357E-2</v>
      </c>
      <c r="BD318">
        <f t="shared" ref="BD318" si="2393">AZ318/AY318</f>
        <v>8.5568326947637288E-2</v>
      </c>
      <c r="BE318">
        <f t="shared" si="1929"/>
        <v>1.6393442622950821E-2</v>
      </c>
      <c r="BF318">
        <f t="shared" ref="BF318" si="2394">SUM(AU312:AU318)/SUM(AT312:AT318)</f>
        <v>6.3613273383364699E-2</v>
      </c>
      <c r="BG318">
        <f t="shared" ref="BG318" si="2395">SUM(AU305:AU318)/SUM(AT305:AT318)</f>
        <v>6.6391212747243758E-2</v>
      </c>
      <c r="BH318">
        <f t="shared" ref="BH318" si="2396">SUM(AX312:AX318)/SUM(AW312:AW318)</f>
        <v>4.0350877192982457E-2</v>
      </c>
      <c r="BI318">
        <f t="shared" ref="BI318" si="2397">SUM(AZ312:AZ318)/SUM(AY312:AY318)</f>
        <v>2.4057338734808351E-2</v>
      </c>
      <c r="BJ318">
        <f t="shared" ref="BJ318" si="2398">SUM(BB312:BB318)/SUM(BA312:BA318)</f>
        <v>4.2402826855123678E-2</v>
      </c>
      <c r="BK318" s="20">
        <v>0.06</v>
      </c>
      <c r="BL318" s="20">
        <v>0.1</v>
      </c>
      <c r="BM318" s="20">
        <v>0.09</v>
      </c>
      <c r="BN318" s="20">
        <v>3564851</v>
      </c>
      <c r="BO318" s="20">
        <v>341707</v>
      </c>
      <c r="BP318" s="20"/>
      <c r="BQ318" s="20"/>
      <c r="BR318" s="20"/>
      <c r="BS318" s="20"/>
      <c r="BT318" s="20">
        <v>1459926</v>
      </c>
      <c r="BU318" s="20">
        <v>316437</v>
      </c>
      <c r="BV318" s="20">
        <v>27467</v>
      </c>
      <c r="BW318" s="20">
        <v>2632</v>
      </c>
      <c r="BX318" s="20"/>
      <c r="BY318" s="20"/>
      <c r="BZ318" s="20"/>
      <c r="CA318" s="20"/>
      <c r="CB318" s="20">
        <v>10470</v>
      </c>
      <c r="CC318" s="20">
        <v>2515</v>
      </c>
      <c r="CD318" s="20">
        <v>21495</v>
      </c>
      <c r="CE318" s="20">
        <v>1604</v>
      </c>
      <c r="CF318" s="20"/>
      <c r="CG318" s="20"/>
      <c r="CH318" s="20"/>
      <c r="CI318" s="20"/>
      <c r="CJ318" s="20">
        <v>6127</v>
      </c>
      <c r="CK318" s="20">
        <v>1528</v>
      </c>
      <c r="CL318" s="20">
        <v>158919</v>
      </c>
      <c r="CM318" s="20">
        <v>15518</v>
      </c>
      <c r="CN318" s="20"/>
      <c r="CO318" s="20"/>
      <c r="CP318" s="20"/>
      <c r="CQ318" s="20"/>
      <c r="CR318" s="20">
        <v>61565</v>
      </c>
      <c r="CS318" s="20">
        <v>14251</v>
      </c>
    </row>
    <row r="319" spans="1:97" x14ac:dyDescent="0.35">
      <c r="A319" s="14">
        <f t="shared" si="219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399">-(J319-J318)+L319</f>
        <v>2</v>
      </c>
      <c r="N319" s="7">
        <f t="shared" ref="N319" si="2400">B319-C319</f>
        <v>1145698</v>
      </c>
      <c r="O319" s="4">
        <f t="shared" ref="O319" si="2401">C319/B319</f>
        <v>0.21678919239661421</v>
      </c>
      <c r="R319">
        <f t="shared" ref="R319" si="2402">C319-C318</f>
        <v>687</v>
      </c>
      <c r="S319">
        <f t="shared" ref="S319" si="2403">N319-N318</f>
        <v>2209</v>
      </c>
      <c r="T319" s="8">
        <f t="shared" ref="T319" si="2404">R319/V319</f>
        <v>0.23722375690607736</v>
      </c>
      <c r="U319" s="8">
        <f t="shared" ref="U319" si="2405">SUM(R313:R319)/SUM(V313:V319)</f>
        <v>0.28354847093476565</v>
      </c>
      <c r="V319">
        <f t="shared" ref="V319" si="2406">B319-B318</f>
        <v>2896</v>
      </c>
      <c r="W319">
        <f t="shared" ref="W319" si="2407">C319-D319-E319</f>
        <v>31387</v>
      </c>
      <c r="X319" s="3">
        <f t="shared" ref="X319" si="2408">F319/W319</f>
        <v>1.2202504221492974E-2</v>
      </c>
      <c r="Y319">
        <f t="shared" ref="Y319" si="2409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10">Z319-AC319-AF319</f>
        <v>200</v>
      </c>
      <c r="AJ319">
        <f t="shared" ref="AJ319" si="2411">AA319-AD319-AG319</f>
        <v>216</v>
      </c>
      <c r="AK319">
        <f t="shared" ref="AK319" si="2412">AB319-AE319-AH319</f>
        <v>1200</v>
      </c>
      <c r="AT319">
        <f t="shared" ref="AT319" si="2413">BN319-BN318</f>
        <v>14707</v>
      </c>
      <c r="AU319">
        <f t="shared" si="1922"/>
        <v>792</v>
      </c>
      <c r="AV319">
        <f t="shared" ref="AV319" si="2414">AU319/AT319</f>
        <v>5.3851907255048619E-2</v>
      </c>
      <c r="AW319">
        <f t="shared" ref="AW319" si="2415">BV319-BV318</f>
        <v>156</v>
      </c>
      <c r="AX319">
        <f t="shared" si="1869"/>
        <v>0</v>
      </c>
      <c r="AY319">
        <f t="shared" ref="AY319" si="2416">CL319-CL318</f>
        <v>834</v>
      </c>
      <c r="AZ319">
        <f t="shared" si="1871"/>
        <v>39</v>
      </c>
      <c r="BA319">
        <f t="shared" ref="BA319" si="2417">CD319-CD318</f>
        <v>72</v>
      </c>
      <c r="BB319">
        <f t="shared" si="1873"/>
        <v>0</v>
      </c>
      <c r="BC319">
        <f t="shared" ref="BC319" si="2418">AX319/AW319</f>
        <v>0</v>
      </c>
      <c r="BD319">
        <f t="shared" ref="BD319" si="2419">AZ319/AY319</f>
        <v>4.6762589928057555E-2</v>
      </c>
      <c r="BE319">
        <f t="shared" si="1929"/>
        <v>0</v>
      </c>
      <c r="BF319">
        <f t="shared" ref="BF319" si="2420">SUM(AU313:AU319)/SUM(AT313:AT319)</f>
        <v>6.3027773602256545E-2</v>
      </c>
      <c r="BG319">
        <f t="shared" ref="BG319" si="2421">SUM(AU306:AU319)/SUM(AT306:AT319)</f>
        <v>6.5920798454603996E-2</v>
      </c>
      <c r="BH319">
        <f t="shared" ref="BH319" si="2422">SUM(AX313:AX319)/SUM(AW313:AW319)</f>
        <v>3.4791252485089463E-2</v>
      </c>
      <c r="BI319">
        <f t="shared" ref="BI319" si="2423">SUM(AZ313:AZ319)/SUM(AY313:AY319)</f>
        <v>6.2219831450600678E-2</v>
      </c>
      <c r="BJ319">
        <f t="shared" ref="BJ319" si="2424">SUM(BB313:BB319)/SUM(BA313:BA319)</f>
        <v>3.9845758354755782E-2</v>
      </c>
      <c r="BK319" s="20">
        <v>0.06</v>
      </c>
      <c r="BL319" s="20">
        <v>0.1</v>
      </c>
      <c r="BM319" s="20">
        <v>0.08</v>
      </c>
      <c r="BN319" s="20">
        <v>3579558</v>
      </c>
      <c r="BO319" s="20">
        <v>342499</v>
      </c>
      <c r="BP319" s="20"/>
      <c r="BQ319" s="20"/>
      <c r="BR319" s="20"/>
      <c r="BS319" s="20"/>
      <c r="BT319" s="20">
        <v>1462822</v>
      </c>
      <c r="BU319" s="20">
        <v>317124</v>
      </c>
      <c r="BV319" s="20">
        <v>27623</v>
      </c>
      <c r="BW319" s="20">
        <v>2632</v>
      </c>
      <c r="BX319" s="20"/>
      <c r="BY319" s="20"/>
      <c r="BZ319" s="20"/>
      <c r="CA319" s="20"/>
      <c r="CB319" s="20">
        <v>10498</v>
      </c>
      <c r="CC319" s="20">
        <v>2520</v>
      </c>
      <c r="CD319" s="20">
        <v>21567</v>
      </c>
      <c r="CE319" s="20">
        <v>1604</v>
      </c>
      <c r="CF319" s="20"/>
      <c r="CG319" s="20"/>
      <c r="CH319" s="20"/>
      <c r="CI319" s="20"/>
      <c r="CJ319" s="20">
        <v>6136</v>
      </c>
      <c r="CK319" s="20">
        <v>1528</v>
      </c>
      <c r="CL319" s="20">
        <v>159753</v>
      </c>
      <c r="CM319" s="20">
        <v>15557</v>
      </c>
      <c r="CN319" s="20"/>
      <c r="CO319" s="20"/>
      <c r="CP319" s="20"/>
      <c r="CQ319" s="20"/>
      <c r="CR319" s="20">
        <v>61704</v>
      </c>
      <c r="CS319" s="20">
        <v>14276</v>
      </c>
    </row>
    <row r="320" spans="1:97" x14ac:dyDescent="0.35">
      <c r="A320" s="14">
        <f t="shared" si="219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25">-(J320-J319)+L320</f>
        <v>19</v>
      </c>
      <c r="N320" s="7">
        <f t="shared" ref="N320" si="2426">B320-C320</f>
        <v>1151450</v>
      </c>
      <c r="O320" s="4">
        <f t="shared" ref="O320" si="2427">C320/B320</f>
        <v>0.21664739097897817</v>
      </c>
      <c r="R320">
        <f t="shared" ref="R320" si="2428">C320-C319</f>
        <v>1326</v>
      </c>
      <c r="S320">
        <f t="shared" ref="S320" si="2429">N320-N319</f>
        <v>5752</v>
      </c>
      <c r="T320" s="8">
        <f t="shared" ref="T320" si="2430">R320/V320</f>
        <v>0.18734105679570501</v>
      </c>
      <c r="U320" s="8">
        <f t="shared" ref="U320" si="2431">SUM(R314:R320)/SUM(V314:V320)</f>
        <v>0.25492276854144558</v>
      </c>
      <c r="V320">
        <f t="shared" ref="V320" si="2432">B320-B319</f>
        <v>7078</v>
      </c>
      <c r="W320">
        <f t="shared" ref="W320" si="2433">C320-D320-E320</f>
        <v>32347</v>
      </c>
      <c r="X320" s="3">
        <f t="shared" ref="X320" si="2434">F320/W320</f>
        <v>1.162395276223452E-2</v>
      </c>
      <c r="Y320">
        <f t="shared" ref="Y320" si="2435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36">Z320-AC320-AF320</f>
        <v>207</v>
      </c>
      <c r="AJ320">
        <f t="shared" ref="AJ320" si="2437">AA320-AD320-AG320</f>
        <v>221</v>
      </c>
      <c r="AK320">
        <f t="shared" ref="AK320" si="2438">AB320-AE320-AH320</f>
        <v>1250</v>
      </c>
      <c r="AT320">
        <f t="shared" ref="AT320" si="2439">BN320-BN319</f>
        <v>33002</v>
      </c>
      <c r="AU320">
        <f t="shared" si="1922"/>
        <v>1429</v>
      </c>
      <c r="AV320">
        <f t="shared" ref="AV320" si="2440">AU320/AT320</f>
        <v>4.3300406035997815E-2</v>
      </c>
      <c r="AW320">
        <f t="shared" ref="AW320" si="2441">BV320-BV319</f>
        <v>462</v>
      </c>
      <c r="AX320">
        <f t="shared" si="1869"/>
        <v>15</v>
      </c>
      <c r="AY320">
        <f t="shared" ref="AY320" si="2442">CL320-CL319</f>
        <v>3046</v>
      </c>
      <c r="AZ320">
        <f t="shared" si="1871"/>
        <v>59</v>
      </c>
      <c r="BA320">
        <f t="shared" ref="BA320" si="2443">CD320-CD319</f>
        <v>388</v>
      </c>
      <c r="BB320">
        <f t="shared" si="1873"/>
        <v>9</v>
      </c>
      <c r="BC320">
        <f t="shared" ref="BC320" si="2444">AX320/AW320</f>
        <v>3.2467532467532464E-2</v>
      </c>
      <c r="BD320">
        <f t="shared" ref="BD320" si="2445">AZ320/AY320</f>
        <v>1.9369665134602757E-2</v>
      </c>
      <c r="BE320">
        <f t="shared" si="1929"/>
        <v>2.3195876288659795E-2</v>
      </c>
      <c r="BF320">
        <f t="shared" ref="BF320" si="2446">SUM(AU314:AU320)/SUM(AT314:AT320)</f>
        <v>5.7228353863745106E-2</v>
      </c>
      <c r="BG320">
        <f t="shared" ref="BG320" si="2447">SUM(AU307:AU320)/SUM(AT307:AT320)</f>
        <v>6.2645648811182592E-2</v>
      </c>
      <c r="BH320">
        <f t="shared" ref="BH320" si="2448">SUM(AX314:AX320)/SUM(AW314:AW320)</f>
        <v>3.1430934656741107E-2</v>
      </c>
      <c r="BI320">
        <f t="shared" ref="BI320" si="2449">SUM(AZ314:AZ320)/SUM(AY314:AY320)</f>
        <v>4.2040063257775435E-2</v>
      </c>
      <c r="BJ320">
        <f t="shared" ref="BJ320" si="2450">SUM(BB314:BB320)/SUM(BA314:BA320)</f>
        <v>2.7635619242579325E-2</v>
      </c>
      <c r="BK320" s="20">
        <v>0.06</v>
      </c>
      <c r="BL320" s="20">
        <v>0.1</v>
      </c>
      <c r="BM320" s="20">
        <v>0.08</v>
      </c>
      <c r="BN320" s="20">
        <v>3612560</v>
      </c>
      <c r="BO320" s="20">
        <v>343928</v>
      </c>
      <c r="BP320" s="20"/>
      <c r="BQ320" s="20"/>
      <c r="BR320" s="20"/>
      <c r="BS320" s="20"/>
      <c r="BT320" s="20">
        <v>1469900</v>
      </c>
      <c r="BU320" s="20">
        <v>318450</v>
      </c>
      <c r="BV320" s="20">
        <v>28085</v>
      </c>
      <c r="BW320" s="20">
        <v>2647</v>
      </c>
      <c r="BX320" s="20"/>
      <c r="BY320" s="20"/>
      <c r="BZ320" s="20"/>
      <c r="CA320" s="20"/>
      <c r="CB320" s="20">
        <v>10801</v>
      </c>
      <c r="CC320" s="20">
        <v>2529</v>
      </c>
      <c r="CD320" s="20">
        <v>21955</v>
      </c>
      <c r="CE320" s="20">
        <v>1613</v>
      </c>
      <c r="CF320" s="20"/>
      <c r="CG320" s="20"/>
      <c r="CH320" s="20"/>
      <c r="CI320" s="20"/>
      <c r="CJ320" s="20">
        <v>6257</v>
      </c>
      <c r="CK320" s="20">
        <v>1535</v>
      </c>
      <c r="CL320" s="20">
        <v>162799</v>
      </c>
      <c r="CM320" s="20">
        <v>15616</v>
      </c>
      <c r="CN320" s="20"/>
      <c r="CO320" s="20"/>
      <c r="CP320" s="20"/>
      <c r="CQ320" s="20"/>
      <c r="CR320" s="20">
        <v>63041</v>
      </c>
      <c r="CS320" s="20">
        <v>14338</v>
      </c>
    </row>
    <row r="321" spans="1:97" x14ac:dyDescent="0.35">
      <c r="A321" s="14">
        <f t="shared" si="219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451">-(J321-J320)+L321</f>
        <v>19</v>
      </c>
      <c r="N321" s="7">
        <f t="shared" ref="N321" si="2452">B321-C321</f>
        <v>1153566</v>
      </c>
      <c r="O321" s="4">
        <f t="shared" ref="O321" si="2453">C321/B321</f>
        <v>0.21673823239442358</v>
      </c>
      <c r="R321">
        <f t="shared" ref="R321" si="2454">C321-C320</f>
        <v>756</v>
      </c>
      <c r="S321">
        <f t="shared" ref="S321" si="2455">N321-N320</f>
        <v>2116</v>
      </c>
      <c r="T321" s="8">
        <f t="shared" ref="T321" si="2456">R321/V321</f>
        <v>0.26323119777158777</v>
      </c>
      <c r="U321" s="8">
        <f t="shared" ref="U321" si="2457">SUM(R315:R321)/SUM(V315:V321)</f>
        <v>0.25029335836658062</v>
      </c>
      <c r="V321">
        <f t="shared" ref="V321" si="2458">B321-B320</f>
        <v>2872</v>
      </c>
      <c r="W321">
        <f t="shared" ref="W321" si="2459">C321-D321-E321</f>
        <v>32075</v>
      </c>
      <c r="X321" s="3">
        <f t="shared" ref="X321" si="2460">F321/W321</f>
        <v>1.1161340607950116E-2</v>
      </c>
      <c r="Y321">
        <f t="shared" ref="Y321" si="246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462">Z321-AC321-AF321</f>
        <v>202</v>
      </c>
      <c r="AJ321">
        <f t="shared" ref="AJ321:AJ322" si="2463">AA321-AD321-AG321</f>
        <v>217</v>
      </c>
      <c r="AK321">
        <f t="shared" ref="AK321:AK322" si="2464">AB321-AE321-AH321</f>
        <v>1258</v>
      </c>
      <c r="AT321">
        <f t="shared" ref="AT321" si="2465">BN321-BN320</f>
        <v>9588</v>
      </c>
      <c r="AU321">
        <f t="shared" si="1922"/>
        <v>842</v>
      </c>
      <c r="AV321">
        <f t="shared" ref="AV321" si="2466">AU321/AT321</f>
        <v>8.7818105965790566E-2</v>
      </c>
      <c r="AW321">
        <f t="shared" ref="AW321" si="2467">BV321-BV320</f>
        <v>71</v>
      </c>
      <c r="AX321">
        <f t="shared" si="1869"/>
        <v>5</v>
      </c>
      <c r="AY321">
        <f t="shared" ref="AY321" si="2468">CL321-CL320</f>
        <v>456</v>
      </c>
      <c r="AZ321">
        <f t="shared" si="1871"/>
        <v>41</v>
      </c>
      <c r="BA321">
        <f t="shared" ref="BA321" si="2469">CD321-CD320</f>
        <v>27</v>
      </c>
      <c r="BB321">
        <f t="shared" si="1873"/>
        <v>2</v>
      </c>
      <c r="BC321">
        <f t="shared" ref="BC321" si="2470">AX321/AW321</f>
        <v>7.0422535211267609E-2</v>
      </c>
      <c r="BD321">
        <f t="shared" ref="BD321" si="2471">AZ321/AY321</f>
        <v>8.9912280701754388E-2</v>
      </c>
      <c r="BE321">
        <f t="shared" si="1929"/>
        <v>7.407407407407407E-2</v>
      </c>
      <c r="BF321">
        <f t="shared" ref="BF321" si="2472">SUM(AU315:AU321)/SUM(AT315:AT321)</f>
        <v>5.645219949407191E-2</v>
      </c>
      <c r="BG321">
        <f t="shared" ref="BG321" si="2473">SUM(AU308:AU321)/SUM(AT308:AT321)</f>
        <v>6.2428534173203071E-2</v>
      </c>
      <c r="BH321">
        <f t="shared" ref="BH321" si="2474">SUM(AX315:AX321)/SUM(AW315:AW321)</f>
        <v>3.0794165316045379E-2</v>
      </c>
      <c r="BI321">
        <f t="shared" ref="BI321" si="2475">SUM(AZ315:AZ321)/SUM(AY315:AY321)</f>
        <v>4.1970802919708027E-2</v>
      </c>
      <c r="BJ321">
        <f t="shared" ref="BJ321" si="2476">SUM(BB315:BB321)/SUM(BA315:BA321)</f>
        <v>2.6178010471204188E-2</v>
      </c>
      <c r="BK321" s="20">
        <v>7.0000000000000007E-2</v>
      </c>
      <c r="BL321" s="20">
        <v>0.1</v>
      </c>
      <c r="BM321" s="20">
        <v>0.08</v>
      </c>
      <c r="BN321" s="20">
        <v>3622148</v>
      </c>
      <c r="BO321" s="20">
        <v>344770</v>
      </c>
      <c r="BP321" s="20"/>
      <c r="BQ321" s="20"/>
      <c r="BR321" s="20"/>
      <c r="BS321" s="20"/>
      <c r="BT321" s="20">
        <v>1472772</v>
      </c>
      <c r="BU321" s="20">
        <v>319206</v>
      </c>
      <c r="BV321" s="20">
        <v>28156</v>
      </c>
      <c r="BW321" s="20">
        <v>2652</v>
      </c>
      <c r="BX321" s="20"/>
      <c r="BY321" s="20"/>
      <c r="BZ321" s="20"/>
      <c r="CA321" s="20"/>
      <c r="CB321" s="20">
        <v>10817</v>
      </c>
      <c r="CC321" s="20">
        <v>2535</v>
      </c>
      <c r="CD321" s="20">
        <v>21982</v>
      </c>
      <c r="CE321" s="20">
        <v>1615</v>
      </c>
      <c r="CF321" s="20"/>
      <c r="CG321" s="20"/>
      <c r="CH321" s="20"/>
      <c r="CI321" s="20"/>
      <c r="CJ321" s="20">
        <v>6265</v>
      </c>
      <c r="CK321" s="20">
        <v>1536</v>
      </c>
      <c r="CL321" s="20">
        <v>163255</v>
      </c>
      <c r="CM321" s="20">
        <v>15657</v>
      </c>
      <c r="CN321" s="20"/>
      <c r="CO321" s="20"/>
      <c r="CP321" s="20"/>
      <c r="CQ321" s="20"/>
      <c r="CR321" s="20">
        <v>63162</v>
      </c>
      <c r="CS321" s="20">
        <v>14371</v>
      </c>
    </row>
    <row r="322" spans="1:97" x14ac:dyDescent="0.35">
      <c r="A322" s="14">
        <f t="shared" si="219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477">-(J322-J321)+L322</f>
        <v>9</v>
      </c>
      <c r="N322" s="7">
        <f t="shared" ref="N322" si="2478">B322-C322</f>
        <v>1154538</v>
      </c>
      <c r="O322" s="4">
        <f t="shared" ref="O322" si="2479">C322/B322</f>
        <v>0.21674887875644575</v>
      </c>
      <c r="R322">
        <f t="shared" ref="R322" si="2480">C322-C321</f>
        <v>289</v>
      </c>
      <c r="S322">
        <f t="shared" ref="S322" si="2481">N322-N321</f>
        <v>972</v>
      </c>
      <c r="T322" s="8">
        <f t="shared" ref="T322" si="2482">R322/V322</f>
        <v>0.22918318794607453</v>
      </c>
      <c r="U322" s="8">
        <f t="shared" ref="U322" si="2483">SUM(R316:R322)/SUM(V316:V322)</f>
        <v>0.24923322047400917</v>
      </c>
      <c r="V322">
        <f t="shared" ref="V322" si="2484">B322-B321</f>
        <v>1261</v>
      </c>
      <c r="W322">
        <f t="shared" ref="W322" si="2485">C322-D322-E322</f>
        <v>31556</v>
      </c>
      <c r="X322" s="3">
        <f t="shared" ref="X322" si="2486">F322/W322</f>
        <v>1.1661807580174927E-2</v>
      </c>
      <c r="Y322">
        <f t="shared" ref="Y322" si="2487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462"/>
        <v>199</v>
      </c>
      <c r="AJ322">
        <f t="shared" si="2463"/>
        <v>211</v>
      </c>
      <c r="AK322">
        <f t="shared" si="2464"/>
        <v>1242</v>
      </c>
      <c r="AL322">
        <v>3</v>
      </c>
      <c r="AM322">
        <v>3</v>
      </c>
      <c r="AN322">
        <v>18</v>
      </c>
      <c r="AT322">
        <f t="shared" ref="AT322" si="2488">BN322-BN321</f>
        <v>5800</v>
      </c>
      <c r="AU322">
        <f t="shared" si="1922"/>
        <v>282</v>
      </c>
      <c r="AV322">
        <f t="shared" ref="AV322" si="2489">AU322/AT322</f>
        <v>4.8620689655172411E-2</v>
      </c>
      <c r="AW322">
        <f t="shared" ref="AW322" si="2490">BV322-BV321</f>
        <v>41</v>
      </c>
      <c r="AX322">
        <f t="shared" si="1869"/>
        <v>0</v>
      </c>
      <c r="AY322">
        <f t="shared" ref="AY322" si="2491">CL322-CL321</f>
        <v>454</v>
      </c>
      <c r="AZ322">
        <f t="shared" si="1871"/>
        <v>15</v>
      </c>
      <c r="BA322">
        <f t="shared" ref="BA322" si="2492">CD322-CD321</f>
        <v>16</v>
      </c>
      <c r="BB322">
        <f t="shared" si="1873"/>
        <v>0</v>
      </c>
      <c r="BC322">
        <f t="shared" ref="BC322" si="2493">AX322/AW322</f>
        <v>0</v>
      </c>
      <c r="BD322">
        <f t="shared" ref="BD322" si="2494">AZ322/AY322</f>
        <v>3.3039647577092511E-2</v>
      </c>
      <c r="BE322">
        <f t="shared" si="1929"/>
        <v>0</v>
      </c>
      <c r="BF322">
        <f t="shared" ref="BF322" si="2495">SUM(AU316:AU322)/SUM(AT316:AT322)</f>
        <v>5.5011938003318363E-2</v>
      </c>
      <c r="BG322">
        <f t="shared" ref="BG322" si="2496">SUM(AU309:AU322)/SUM(AT309:AT322)</f>
        <v>6.1611203782596692E-2</v>
      </c>
      <c r="BH322">
        <f t="shared" ref="BH322" si="2497">SUM(AX316:AX322)/SUM(AW316:AW322)</f>
        <v>2.9838709677419355E-2</v>
      </c>
      <c r="BI322">
        <f t="shared" ref="BI322" si="2498">SUM(AZ316:AZ322)/SUM(AY316:AY322)</f>
        <v>4.1158536585365856E-2</v>
      </c>
      <c r="BJ322">
        <f t="shared" ref="BJ322" si="2499">SUM(BB316:BB322)/SUM(BA316:BA322)</f>
        <v>2.185792349726776E-2</v>
      </c>
      <c r="BK322" s="20">
        <v>0.06</v>
      </c>
      <c r="BL322" s="20">
        <v>0.1</v>
      </c>
      <c r="BM322" s="20">
        <v>7.0000000000000007E-2</v>
      </c>
      <c r="BN322" s="20">
        <v>3627948</v>
      </c>
      <c r="BO322" s="20">
        <v>345052</v>
      </c>
      <c r="BP322" s="20"/>
      <c r="BQ322" s="20"/>
      <c r="BR322" s="20"/>
      <c r="BS322" s="20"/>
      <c r="BT322" s="20">
        <v>1474033</v>
      </c>
      <c r="BU322" s="20">
        <v>319495</v>
      </c>
      <c r="BV322" s="20">
        <v>28197</v>
      </c>
      <c r="BW322" s="20">
        <v>2652</v>
      </c>
      <c r="BX322" s="20"/>
      <c r="BY322" s="20"/>
      <c r="BZ322" s="20"/>
      <c r="CA322" s="20"/>
      <c r="CB322" s="20">
        <v>10828</v>
      </c>
      <c r="CC322" s="20">
        <v>2537</v>
      </c>
      <c r="CD322" s="20">
        <v>21998</v>
      </c>
      <c r="CE322" s="20">
        <v>1615</v>
      </c>
      <c r="CF322" s="20"/>
      <c r="CG322" s="20"/>
      <c r="CH322" s="20"/>
      <c r="CI322" s="20"/>
      <c r="CJ322" s="20">
        <v>6266</v>
      </c>
      <c r="CK322" s="20">
        <v>1536</v>
      </c>
      <c r="CL322" s="20">
        <v>163709</v>
      </c>
      <c r="CM322" s="20">
        <v>15672</v>
      </c>
      <c r="CN322" s="20"/>
      <c r="CO322" s="20"/>
      <c r="CP322" s="20"/>
      <c r="CQ322" s="20"/>
      <c r="CR322" s="20">
        <v>63210</v>
      </c>
      <c r="CS322" s="20">
        <v>14377</v>
      </c>
    </row>
    <row r="323" spans="1:97" x14ac:dyDescent="0.35">
      <c r="A323" s="14">
        <f t="shared" si="219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00">-(J323-J322)+L323</f>
        <v>7</v>
      </c>
      <c r="N323" s="7">
        <f t="shared" ref="N323" si="2501">B323-C323</f>
        <v>1156962</v>
      </c>
      <c r="O323" s="4">
        <f t="shared" ref="O323" si="2502">C323/B323</f>
        <v>0.21684230192296236</v>
      </c>
      <c r="R323">
        <f t="shared" ref="R323" si="2503">C323-C322</f>
        <v>847</v>
      </c>
      <c r="S323">
        <f t="shared" ref="S323" si="2504">N323-N322</f>
        <v>2424</v>
      </c>
      <c r="T323" s="8">
        <f t="shared" ref="T323" si="2505">R323/V323</f>
        <v>0.25894221950473861</v>
      </c>
      <c r="U323" s="8">
        <f t="shared" ref="U323" si="2506">SUM(R317:R323)/SUM(V317:V323)</f>
        <v>0.24807548063637441</v>
      </c>
      <c r="V323">
        <f t="shared" ref="V323" si="2507">B323-B322</f>
        <v>3271</v>
      </c>
      <c r="W323">
        <f t="shared" ref="W323" si="2508">C323-D323-E323</f>
        <v>29095</v>
      </c>
      <c r="X323" s="3">
        <f t="shared" ref="X323" si="2509">F323/W323</f>
        <v>1.3404365011170304E-2</v>
      </c>
      <c r="Y323">
        <f t="shared" ref="Y323" si="2510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11">Z323-AC323-AF323</f>
        <v>193</v>
      </c>
      <c r="AJ323">
        <f t="shared" ref="AJ323" si="2512">AA323-AD323-AG323</f>
        <v>184</v>
      </c>
      <c r="AK323">
        <f t="shared" ref="AK323" si="2513">AB323-AE323-AH323</f>
        <v>1130</v>
      </c>
      <c r="AL323">
        <v>2</v>
      </c>
      <c r="AM323">
        <v>2</v>
      </c>
      <c r="AN323">
        <v>8</v>
      </c>
      <c r="AT323">
        <f t="shared" ref="AT323:AT324" si="2514">BN323-BN322</f>
        <v>20700</v>
      </c>
      <c r="AU323">
        <f t="shared" si="1922"/>
        <v>950</v>
      </c>
      <c r="AV323">
        <f t="shared" ref="AV323" si="2515">AU323/AT323</f>
        <v>4.5893719806763288E-2</v>
      </c>
      <c r="AW323">
        <f t="shared" ref="AW323" si="2516">BV323-BV322</f>
        <v>154</v>
      </c>
      <c r="AX323">
        <f t="shared" si="1869"/>
        <v>9</v>
      </c>
      <c r="AY323">
        <f t="shared" ref="AY323" si="2517">CL323-CL322</f>
        <v>769</v>
      </c>
      <c r="AZ323">
        <f t="shared" si="1871"/>
        <v>11</v>
      </c>
      <c r="BA323">
        <f t="shared" ref="BA323" si="2518">CD323-CD322</f>
        <v>96</v>
      </c>
      <c r="BB323">
        <f t="shared" si="1873"/>
        <v>2</v>
      </c>
      <c r="BC323">
        <f t="shared" ref="BC323" si="2519">AX323/AW323</f>
        <v>5.844155844155844E-2</v>
      </c>
      <c r="BD323">
        <f t="shared" ref="BD323" si="2520">AZ323/AY323</f>
        <v>1.4304291287386216E-2</v>
      </c>
      <c r="BE323">
        <f t="shared" si="1929"/>
        <v>2.0833333333333332E-2</v>
      </c>
      <c r="BF323">
        <f t="shared" ref="BF323" si="2521">SUM(AU317:AU323)/SUM(AT317:AT323)</f>
        <v>5.5479457606237688E-2</v>
      </c>
      <c r="BG323">
        <f t="shared" ref="BG323" si="2522">SUM(AU310:AU323)/SUM(AT310:AT323)</f>
        <v>6.1585959044533241E-2</v>
      </c>
      <c r="BH323">
        <f t="shared" ref="BH323" si="2523">SUM(AX317:AX323)/SUM(AW317:AW323)</f>
        <v>3.2812500000000001E-2</v>
      </c>
      <c r="BI323">
        <f t="shared" ref="BI323" si="2524">SUM(AZ317:AZ323)/SUM(AY317:AY323)</f>
        <v>3.8241172551632244E-2</v>
      </c>
      <c r="BJ323">
        <f t="shared" ref="BJ323" si="2525">SUM(BB317:BB323)/SUM(BA317:BA323)</f>
        <v>1.8285714285714287E-2</v>
      </c>
      <c r="BK323" s="20">
        <v>7.0000000000000007E-2</v>
      </c>
      <c r="BL323" s="20">
        <v>0.09</v>
      </c>
      <c r="BM323" s="20">
        <v>7.0000000000000007E-2</v>
      </c>
      <c r="BN323" s="20">
        <v>3648648</v>
      </c>
      <c r="BO323" s="20">
        <v>346002</v>
      </c>
      <c r="BP323" s="20"/>
      <c r="BQ323" s="20"/>
      <c r="BR323" s="20"/>
      <c r="BS323" s="20"/>
      <c r="BT323" s="20">
        <v>1477304</v>
      </c>
      <c r="BU323" s="20">
        <v>320342</v>
      </c>
      <c r="BV323" s="20">
        <v>28351</v>
      </c>
      <c r="BW323" s="20">
        <v>2661</v>
      </c>
      <c r="BX323" s="20"/>
      <c r="BY323" s="20"/>
      <c r="BZ323" s="20"/>
      <c r="CA323" s="20"/>
      <c r="CB323" s="20">
        <v>10856</v>
      </c>
      <c r="CC323" s="20">
        <v>2544</v>
      </c>
      <c r="CD323" s="20">
        <v>22094</v>
      </c>
      <c r="CE323" s="20">
        <v>1617</v>
      </c>
      <c r="CF323" s="20"/>
      <c r="CG323" s="20"/>
      <c r="CH323" s="20"/>
      <c r="CI323" s="20"/>
      <c r="CJ323" s="20">
        <v>6276</v>
      </c>
      <c r="CK323" s="20">
        <v>1538</v>
      </c>
      <c r="CL323" s="20">
        <v>164478</v>
      </c>
      <c r="CM323" s="20">
        <v>15683</v>
      </c>
      <c r="CN323" s="20"/>
      <c r="CO323" s="20"/>
      <c r="CP323" s="20"/>
      <c r="CQ323" s="20"/>
      <c r="CR323" s="20">
        <v>63330</v>
      </c>
      <c r="CS323" s="20">
        <v>14389</v>
      </c>
    </row>
    <row r="324" spans="1:97" x14ac:dyDescent="0.35">
      <c r="A324" s="14">
        <f t="shared" si="219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26">-(J324-J323)+L324</f>
        <v>14</v>
      </c>
      <c r="N324" s="7">
        <f t="shared" ref="N324" si="2527">B324-C324</f>
        <v>1159414</v>
      </c>
      <c r="O324" s="4">
        <f t="shared" ref="O324" si="2528">C324/B324</f>
        <v>0.21697457595639855</v>
      </c>
      <c r="R324">
        <f t="shared" ref="R324" si="2529">C324-C323</f>
        <v>929</v>
      </c>
      <c r="S324">
        <f t="shared" ref="S324" si="2530">N324-N323</f>
        <v>2452</v>
      </c>
      <c r="T324" s="8">
        <f t="shared" ref="T324" si="2531">R324/V324</f>
        <v>0.27477077787636794</v>
      </c>
      <c r="U324" s="8">
        <f t="shared" ref="U324" si="2532">SUM(R318:R324)/SUM(V318:V324)</f>
        <v>0.24525050100200402</v>
      </c>
      <c r="V324">
        <f t="shared" ref="V324" si="2533">B324-B323</f>
        <v>3381</v>
      </c>
      <c r="W324">
        <f t="shared" ref="W324" si="2534">C324-D324-E324</f>
        <v>28040</v>
      </c>
      <c r="X324" s="3">
        <f t="shared" ref="X324" si="2535">F324/W324</f>
        <v>1.362339514978602E-2</v>
      </c>
      <c r="Y324">
        <f t="shared" ref="Y324" si="2536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37">Z324-AC324-AF324</f>
        <v>190</v>
      </c>
      <c r="AJ324">
        <f t="shared" ref="AJ324" si="2538">AA324-AD324-AG324</f>
        <v>162</v>
      </c>
      <c r="AK324">
        <f t="shared" ref="AK324" si="2539">AB324-AE324-AH324</f>
        <v>1100</v>
      </c>
      <c r="AL324">
        <v>3</v>
      </c>
      <c r="AM324">
        <v>3</v>
      </c>
      <c r="AN324">
        <v>20</v>
      </c>
      <c r="AT324">
        <f t="shared" si="2514"/>
        <v>14888</v>
      </c>
      <c r="AU324">
        <f t="shared" si="1922"/>
        <v>989</v>
      </c>
      <c r="AV324">
        <f t="shared" ref="AV324" si="2540">AU324/AT324</f>
        <v>6.6429339065018814E-2</v>
      </c>
      <c r="AW324">
        <f t="shared" ref="AW324" si="2541">BV324-BV323</f>
        <v>88</v>
      </c>
      <c r="AX324">
        <f t="shared" si="1869"/>
        <v>8</v>
      </c>
      <c r="AY324">
        <f t="shared" ref="AY324" si="2542">CL324-CL323</f>
        <v>696</v>
      </c>
      <c r="AZ324">
        <f t="shared" si="1871"/>
        <v>47</v>
      </c>
      <c r="BA324">
        <f t="shared" ref="BA324" si="2543">CD324-CD323</f>
        <v>84</v>
      </c>
      <c r="BB324">
        <f t="shared" si="1873"/>
        <v>5</v>
      </c>
      <c r="BC324">
        <f t="shared" ref="BC324" si="2544">AX324/AW324</f>
        <v>9.0909090909090912E-2</v>
      </c>
      <c r="BD324">
        <f t="shared" ref="BD324" si="2545">AZ324/AY324</f>
        <v>6.7528735632183909E-2</v>
      </c>
      <c r="BE324">
        <f t="shared" si="1929"/>
        <v>5.9523809523809521E-2</v>
      </c>
      <c r="BF324">
        <f t="shared" ref="BF324" si="2546">SUM(AU318:AU324)/SUM(AT318:AT324)</f>
        <v>5.5802746902179387E-2</v>
      </c>
      <c r="BG324">
        <f t="shared" ref="BG324" si="2547">SUM(AU311:AU324)/SUM(AT311:AT324)</f>
        <v>6.1492089279602834E-2</v>
      </c>
      <c r="BH324">
        <f t="shared" ref="BH324" si="2548">SUM(AX318:AX324)/SUM(AW318:AW324)</f>
        <v>3.539094650205761E-2</v>
      </c>
      <c r="BI324">
        <f t="shared" ref="BI324" si="2549">SUM(AZ318:AZ324)/SUM(AY318:AY324)</f>
        <v>3.9641943734015347E-2</v>
      </c>
      <c r="BJ324">
        <f t="shared" ref="BJ324" si="2550">SUM(BB318:BB324)/SUM(BA318:BA324)</f>
        <v>2.4844720496894408E-2</v>
      </c>
      <c r="BK324" s="20">
        <v>0.08</v>
      </c>
      <c r="BL324" s="20">
        <v>0.09</v>
      </c>
      <c r="BM324" s="20">
        <v>7.0000000000000007E-2</v>
      </c>
      <c r="BN324" s="20">
        <v>3663536</v>
      </c>
      <c r="BO324" s="20">
        <v>346991</v>
      </c>
      <c r="BP324" s="20"/>
      <c r="BQ324" s="20"/>
      <c r="BR324" s="20"/>
      <c r="BS324" s="20"/>
      <c r="BT324" s="20">
        <v>1480685</v>
      </c>
      <c r="BU324" s="20">
        <v>321271</v>
      </c>
      <c r="BV324" s="20">
        <v>28439</v>
      </c>
      <c r="BW324" s="20">
        <v>2669</v>
      </c>
      <c r="BX324" s="20"/>
      <c r="BY324" s="20"/>
      <c r="BZ324" s="20"/>
      <c r="CA324" s="20"/>
      <c r="CB324" s="20">
        <v>10877</v>
      </c>
      <c r="CC324" s="20">
        <v>2554</v>
      </c>
      <c r="CD324" s="20">
        <v>22178</v>
      </c>
      <c r="CE324" s="20">
        <v>1622</v>
      </c>
      <c r="CF324" s="20"/>
      <c r="CG324" s="20"/>
      <c r="CH324" s="20"/>
      <c r="CI324" s="20"/>
      <c r="CJ324" s="20">
        <v>6291</v>
      </c>
      <c r="CK324" s="20">
        <v>1543</v>
      </c>
      <c r="CL324" s="20">
        <v>165174</v>
      </c>
      <c r="CM324" s="20">
        <v>15730</v>
      </c>
      <c r="CN324" s="20"/>
      <c r="CO324" s="20"/>
      <c r="CP324" s="20"/>
      <c r="CQ324" s="20"/>
      <c r="CR324" s="20">
        <v>63478</v>
      </c>
      <c r="CS324" s="20">
        <v>14432</v>
      </c>
    </row>
    <row r="325" spans="1:97" x14ac:dyDescent="0.35">
      <c r="A325" s="14">
        <f t="shared" si="219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551">-(J325-J324)+L325</f>
        <v>22</v>
      </c>
      <c r="N325" s="7">
        <f t="shared" ref="N325" si="2552">B325-C325</f>
        <v>1163173</v>
      </c>
      <c r="O325" s="4">
        <f t="shared" ref="O325" si="2553">C325/B325</f>
        <v>0.21707966358952269</v>
      </c>
      <c r="R325">
        <f t="shared" ref="R325" si="2554">C325-C324</f>
        <v>1241</v>
      </c>
      <c r="S325">
        <f t="shared" ref="S325" si="2555">N325-N324</f>
        <v>3759</v>
      </c>
      <c r="T325" s="8">
        <f t="shared" ref="T325" si="2556">R325/V325</f>
        <v>0.2482</v>
      </c>
      <c r="U325" s="8">
        <f t="shared" ref="U325" si="2557">SUM(R319:R325)/SUM(V319:V325)</f>
        <v>0.23583990061725998</v>
      </c>
      <c r="V325">
        <f t="shared" ref="V325" si="2558">B325-B324</f>
        <v>5000</v>
      </c>
      <c r="W325">
        <f t="shared" ref="W325" si="2559">C325-D325-E325</f>
        <v>27526</v>
      </c>
      <c r="X325" s="3">
        <f t="shared" ref="X325" si="2560">F325/W325</f>
        <v>1.3078543922110004E-2</v>
      </c>
      <c r="Y325">
        <f t="shared" ref="Y325" si="256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562">Z325-AC325-AF325</f>
        <v>180</v>
      </c>
      <c r="AJ325">
        <f t="shared" ref="AJ325" si="2563">AA325-AD325-AG325</f>
        <v>146</v>
      </c>
      <c r="AK325">
        <f t="shared" ref="AK325" si="2564">AB325-AE325-AH325</f>
        <v>1090</v>
      </c>
      <c r="AL325">
        <v>2</v>
      </c>
      <c r="AM325">
        <v>2</v>
      </c>
      <c r="AN325">
        <v>14</v>
      </c>
      <c r="AT325">
        <f t="shared" ref="AT325" si="2565">BN325-BN324</f>
        <v>26416</v>
      </c>
      <c r="AU325">
        <f t="shared" si="1922"/>
        <v>1343</v>
      </c>
      <c r="AV325">
        <f t="shared" ref="AV325" si="2566">AU325/AT325</f>
        <v>5.0840399757722594E-2</v>
      </c>
      <c r="AW325">
        <f t="shared" ref="AW325" si="2567">BV325-BV324</f>
        <v>317</v>
      </c>
      <c r="AX325">
        <f t="shared" si="1869"/>
        <v>7</v>
      </c>
      <c r="AY325">
        <f t="shared" ref="AY325" si="2568">CL325-CL324</f>
        <v>1588</v>
      </c>
      <c r="AZ325">
        <f t="shared" si="1871"/>
        <v>38</v>
      </c>
      <c r="BA325">
        <f t="shared" ref="BA325" si="2569">CD325-CD324</f>
        <v>226</v>
      </c>
      <c r="BB325">
        <f t="shared" si="1873"/>
        <v>3</v>
      </c>
      <c r="BC325">
        <f t="shared" ref="BC325" si="2570">AX325/AW325</f>
        <v>2.2082018927444796E-2</v>
      </c>
      <c r="BD325">
        <f t="shared" ref="BD325" si="2571">AZ325/AY325</f>
        <v>2.3929471032745592E-2</v>
      </c>
      <c r="BE325">
        <f t="shared" si="1929"/>
        <v>1.3274336283185841E-2</v>
      </c>
      <c r="BF325">
        <f t="shared" ref="BF325" si="2572">SUM(AU319:AU325)/SUM(AT319:AT325)</f>
        <v>5.2973197656293713E-2</v>
      </c>
      <c r="BG325">
        <f t="shared" ref="BG325" si="2573">SUM(AU312:AU325)/SUM(AT312:AT325)</f>
        <v>5.821898378168084E-2</v>
      </c>
      <c r="BH325">
        <f t="shared" ref="BH325" si="2574">SUM(AX319:AX325)/SUM(AW319:AW325)</f>
        <v>3.4134988363072147E-2</v>
      </c>
      <c r="BI325">
        <f t="shared" ref="BI325" si="2575">SUM(AZ319:AZ325)/SUM(AY319:AY325)</f>
        <v>3.1875557822261889E-2</v>
      </c>
      <c r="BJ325">
        <f t="shared" ref="BJ325" si="2576">SUM(BB319:BB325)/SUM(BA319:BA325)</f>
        <v>2.3102310231023101E-2</v>
      </c>
      <c r="BK325" s="20">
        <v>7.0000000000000007E-2</v>
      </c>
      <c r="BL325" s="20">
        <v>0.09</v>
      </c>
      <c r="BM325" s="20">
        <v>0.06</v>
      </c>
      <c r="BN325" s="20">
        <v>3689952</v>
      </c>
      <c r="BO325" s="20">
        <v>348334</v>
      </c>
      <c r="BP325" s="20"/>
      <c r="BQ325" s="20"/>
      <c r="BR325" s="20"/>
      <c r="BS325" s="20"/>
      <c r="BT325" s="20">
        <v>1485685</v>
      </c>
      <c r="BU325" s="20">
        <v>322512</v>
      </c>
      <c r="BV325" s="20">
        <v>28756</v>
      </c>
      <c r="BW325" s="20">
        <v>2676</v>
      </c>
      <c r="BX325" s="20"/>
      <c r="BY325" s="20"/>
      <c r="BZ325" s="20"/>
      <c r="CA325" s="20"/>
      <c r="CB325" s="20">
        <v>10923</v>
      </c>
      <c r="CC325" s="20">
        <v>2559</v>
      </c>
      <c r="CD325" s="20">
        <v>22404</v>
      </c>
      <c r="CE325" s="20">
        <v>1625</v>
      </c>
      <c r="CF325" s="20"/>
      <c r="CG325" s="20"/>
      <c r="CH325" s="20"/>
      <c r="CI325" s="20"/>
      <c r="CJ325" s="20">
        <v>6305</v>
      </c>
      <c r="CK325" s="20">
        <v>1546</v>
      </c>
      <c r="CL325" s="20">
        <v>166762</v>
      </c>
      <c r="CM325" s="20">
        <v>15768</v>
      </c>
      <c r="CN325" s="20"/>
      <c r="CO325" s="20"/>
      <c r="CP325" s="20"/>
      <c r="CQ325" s="20"/>
      <c r="CR325" s="20">
        <v>63679</v>
      </c>
      <c r="CS325" s="20">
        <v>14473</v>
      </c>
    </row>
    <row r="326" spans="1:97" x14ac:dyDescent="0.35">
      <c r="A326" s="14">
        <f t="shared" si="219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577">-(J326-J325)+L326</f>
        <v>9</v>
      </c>
      <c r="N326" s="7">
        <f t="shared" ref="N326" si="2578">B326-C326</f>
        <v>1165776</v>
      </c>
      <c r="O326" s="4">
        <f t="shared" ref="O326" si="2579">C326/B326</f>
        <v>0.21711503166055213</v>
      </c>
      <c r="R326">
        <f t="shared" ref="R326" si="2580">C326-C325</f>
        <v>789</v>
      </c>
      <c r="S326">
        <f t="shared" ref="S326" si="2581">N326-N325</f>
        <v>2603</v>
      </c>
      <c r="T326" s="8">
        <f t="shared" ref="T326" si="2582">R326/V326</f>
        <v>0.23260613207547171</v>
      </c>
      <c r="U326" s="8">
        <f t="shared" ref="U326" si="2583">SUM(R320:R326)/SUM(V320:V326)</f>
        <v>0.2352694724814321</v>
      </c>
      <c r="V326">
        <f t="shared" ref="V326" si="2584">B326-B325</f>
        <v>3392</v>
      </c>
      <c r="W326">
        <f t="shared" ref="W326" si="2585">C326-D326-E326</f>
        <v>26739</v>
      </c>
      <c r="X326" s="3">
        <f t="shared" ref="X326" si="2586">F326/W326</f>
        <v>1.3014697632671379E-2</v>
      </c>
      <c r="Y326">
        <f t="shared" ref="Y326" si="2587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588">Z326-AC326-AF326</f>
        <v>172</v>
      </c>
      <c r="AJ326">
        <f t="shared" ref="AJ326" si="2589">AA326-AD326-AG326</f>
        <v>137</v>
      </c>
      <c r="AK326">
        <f t="shared" ref="AK326" si="2590">AB326-AE326-AH326</f>
        <v>1064</v>
      </c>
      <c r="AL326">
        <v>2</v>
      </c>
      <c r="AM326">
        <v>2</v>
      </c>
      <c r="AN326">
        <v>14</v>
      </c>
      <c r="AT326">
        <f t="shared" ref="AT326" si="2591">BN326-BN325</f>
        <v>19613</v>
      </c>
      <c r="AU326">
        <f t="shared" si="1922"/>
        <v>871</v>
      </c>
      <c r="AV326">
        <f t="shared" ref="AV326" si="2592">AU326/AT326</f>
        <v>4.4409320348748282E-2</v>
      </c>
      <c r="AW326">
        <f t="shared" ref="AW326" si="2593">BV326-BV325</f>
        <v>159</v>
      </c>
      <c r="AX326">
        <f t="shared" si="1869"/>
        <v>6</v>
      </c>
      <c r="AY326">
        <f t="shared" ref="AY326" si="2594">CL326-CL325</f>
        <v>864</v>
      </c>
      <c r="AZ326">
        <f t="shared" si="1871"/>
        <v>36</v>
      </c>
      <c r="BA326">
        <f t="shared" ref="BA326" si="2595">CD326-CD325</f>
        <v>90</v>
      </c>
      <c r="BB326">
        <f t="shared" si="1873"/>
        <v>3</v>
      </c>
      <c r="BC326">
        <f t="shared" ref="BC326" si="2596">AX326/AW326</f>
        <v>3.7735849056603772E-2</v>
      </c>
      <c r="BD326">
        <f t="shared" ref="BD326" si="2597">AZ326/AY326</f>
        <v>4.1666666666666664E-2</v>
      </c>
      <c r="BE326">
        <f t="shared" si="1929"/>
        <v>3.3333333333333333E-2</v>
      </c>
      <c r="BF326">
        <f t="shared" ref="BF326" si="2598">SUM(AU320:AU326)/SUM(AT320:AT326)</f>
        <v>5.1581837901036098E-2</v>
      </c>
      <c r="BG326">
        <f t="shared" ref="BG326" si="2599">SUM(AU313:AU326)/SUM(AT313:AT326)</f>
        <v>5.6906622788975729E-2</v>
      </c>
      <c r="BH326">
        <f t="shared" ref="BH326" si="2600">SUM(AX320:AX326)/SUM(AW320:AW326)</f>
        <v>3.8699690402476783E-2</v>
      </c>
      <c r="BI326">
        <f t="shared" ref="BI326" si="2601">SUM(AZ320:AZ326)/SUM(AY320:AY326)</f>
        <v>3.1373047123078875E-2</v>
      </c>
      <c r="BJ326">
        <f t="shared" ref="BJ326" si="2602">SUM(BB320:BB326)/SUM(BA320:BA326)</f>
        <v>2.5889967637540454E-2</v>
      </c>
      <c r="BK326" s="20">
        <v>7.0000000000000007E-2</v>
      </c>
      <c r="BL326" s="20">
        <v>0.08</v>
      </c>
      <c r="BM326" s="20">
        <v>0.06</v>
      </c>
      <c r="BN326" s="20">
        <v>3709565</v>
      </c>
      <c r="BO326" s="20">
        <v>349205</v>
      </c>
      <c r="BP326" s="20"/>
      <c r="BQ326" s="20"/>
      <c r="BR326" s="20"/>
      <c r="BS326" s="20"/>
      <c r="BT326" s="20">
        <v>1489077</v>
      </c>
      <c r="BU326" s="20">
        <v>323301</v>
      </c>
      <c r="BV326" s="20">
        <v>28915</v>
      </c>
      <c r="BW326" s="20">
        <v>2682</v>
      </c>
      <c r="BX326" s="20"/>
      <c r="BY326" s="20"/>
      <c r="BZ326" s="20"/>
      <c r="CA326" s="20"/>
      <c r="CB326" s="20">
        <v>10952</v>
      </c>
      <c r="CC326" s="20">
        <v>2565</v>
      </c>
      <c r="CD326" s="20">
        <v>22494</v>
      </c>
      <c r="CE326" s="20">
        <v>1628</v>
      </c>
      <c r="CF326" s="20"/>
      <c r="CG326" s="20"/>
      <c r="CH326" s="20"/>
      <c r="CI326" s="20"/>
      <c r="CJ326" s="20">
        <v>6316</v>
      </c>
      <c r="CK326" s="20">
        <v>1550</v>
      </c>
      <c r="CL326" s="20">
        <v>167626</v>
      </c>
      <c r="CM326" s="20">
        <v>15804</v>
      </c>
      <c r="CN326" s="20"/>
      <c r="CO326" s="20"/>
      <c r="CP326" s="20"/>
      <c r="CQ326" s="20"/>
      <c r="CR326" s="20">
        <v>63803</v>
      </c>
      <c r="CS326" s="20">
        <v>14504</v>
      </c>
    </row>
    <row r="327" spans="1:97" x14ac:dyDescent="0.35">
      <c r="A327" s="14">
        <f t="shared" si="219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03">-(J327-J326)+L327</f>
        <v>11</v>
      </c>
      <c r="N327" s="7">
        <f t="shared" ref="N327" si="2604">B327-C327</f>
        <v>1167850</v>
      </c>
      <c r="O327" s="4">
        <f t="shared" ref="O327" si="2605">C327/B327</f>
        <v>0.21711284006001119</v>
      </c>
      <c r="R327">
        <f t="shared" ref="R327" si="2606">C327-C326</f>
        <v>571</v>
      </c>
      <c r="S327">
        <f t="shared" ref="S327" si="2607">N327-N326</f>
        <v>2074</v>
      </c>
      <c r="T327" s="8">
        <f t="shared" ref="T327" si="2608">R327/V327</f>
        <v>0.2158790170132325</v>
      </c>
      <c r="U327" s="8">
        <f t="shared" ref="U327" si="2609">SUM(R321:R327)/SUM(V321:V327)</f>
        <v>0.2484648519842361</v>
      </c>
      <c r="V327">
        <f t="shared" ref="V327" si="2610">B327-B326</f>
        <v>2645</v>
      </c>
      <c r="W327">
        <f t="shared" ref="W327" si="2611">C327-D327-E327</f>
        <v>25703</v>
      </c>
      <c r="X327" s="3">
        <f t="shared" ref="X327" si="2612">F327/W327</f>
        <v>1.3072403999533128E-2</v>
      </c>
      <c r="Y327">
        <f t="shared" ref="Y327" si="2613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14">Z327-AC327-AF327</f>
        <v>166</v>
      </c>
      <c r="AJ327">
        <f t="shared" ref="AJ327" si="2615">AA327-AD327-AG327</f>
        <v>131</v>
      </c>
      <c r="AK327">
        <f t="shared" ref="AK327" si="2616">AB327-AE327-AH327</f>
        <v>1031</v>
      </c>
      <c r="AL327">
        <v>1</v>
      </c>
      <c r="AM327">
        <v>1</v>
      </c>
      <c r="AN327">
        <v>30</v>
      </c>
      <c r="AT327">
        <f t="shared" ref="AT327" si="2617">BN327-BN326</f>
        <v>16480</v>
      </c>
      <c r="AU327">
        <f t="shared" si="1922"/>
        <v>593</v>
      </c>
      <c r="AV327">
        <f t="shared" ref="AV327" si="2618">AU327/AT327</f>
        <v>3.5983009708737863E-2</v>
      </c>
      <c r="AW327">
        <f t="shared" ref="AW327" si="2619">BV327-BV326</f>
        <v>120</v>
      </c>
      <c r="AX327">
        <f t="shared" si="1869"/>
        <v>3</v>
      </c>
      <c r="AY327">
        <f t="shared" ref="AY327" si="2620">CL327-CL326</f>
        <v>1201</v>
      </c>
      <c r="AZ327">
        <f t="shared" si="1871"/>
        <v>27</v>
      </c>
      <c r="BA327">
        <f t="shared" ref="BA327" si="2621">CD327-CD326</f>
        <v>128</v>
      </c>
      <c r="BB327">
        <f t="shared" si="1873"/>
        <v>5</v>
      </c>
      <c r="BC327">
        <f t="shared" ref="BC327" si="2622">AX327/AW327</f>
        <v>2.5000000000000001E-2</v>
      </c>
      <c r="BD327">
        <f t="shared" ref="BD327" si="2623">AZ327/AY327</f>
        <v>2.2481265611990008E-2</v>
      </c>
      <c r="BE327">
        <f t="shared" si="1929"/>
        <v>3.90625E-2</v>
      </c>
      <c r="BF327">
        <f t="shared" ref="BF327" si="2624">SUM(AU321:AU327)/SUM(AT321:AT327)</f>
        <v>5.1724897563554653E-2</v>
      </c>
      <c r="BG327">
        <f t="shared" ref="BG327" si="2625">SUM(AU314:AU327)/SUM(AT314:AT327)</f>
        <v>5.4590832692843691E-2</v>
      </c>
      <c r="BH327">
        <f t="shared" ref="BH327" si="2626">SUM(AX321:AX327)/SUM(AW321:AW327)</f>
        <v>0.04</v>
      </c>
      <c r="BI327">
        <f t="shared" ref="BI327" si="2627">SUM(AZ321:AZ327)/SUM(AY321:AY327)</f>
        <v>3.5666887856668876E-2</v>
      </c>
      <c r="BJ327">
        <f t="shared" ref="BJ327" si="2628">SUM(BB321:BB327)/SUM(BA321:BA327)</f>
        <v>2.9985007496251874E-2</v>
      </c>
      <c r="BK327" s="20">
        <v>7.0000000000000007E-2</v>
      </c>
      <c r="BL327" s="20">
        <v>0.08</v>
      </c>
      <c r="BM327" s="20">
        <v>0.05</v>
      </c>
      <c r="BN327" s="20">
        <v>3726045</v>
      </c>
      <c r="BO327" s="20">
        <v>349798</v>
      </c>
      <c r="BP327" s="20"/>
      <c r="BQ327" s="20"/>
      <c r="BR327" s="20"/>
      <c r="BS327" s="20"/>
      <c r="BT327" s="20">
        <v>1491722</v>
      </c>
      <c r="BU327" s="20">
        <v>323872</v>
      </c>
      <c r="BV327" s="20">
        <v>29035</v>
      </c>
      <c r="BW327" s="20">
        <v>2685</v>
      </c>
      <c r="BX327" s="20"/>
      <c r="BY327" s="20"/>
      <c r="BZ327" s="20"/>
      <c r="CA327" s="20"/>
      <c r="CB327" s="20">
        <v>10967</v>
      </c>
      <c r="CC327" s="20">
        <v>2572</v>
      </c>
      <c r="CD327" s="20">
        <v>22622</v>
      </c>
      <c r="CE327" s="20">
        <v>1633</v>
      </c>
      <c r="CF327" s="20"/>
      <c r="CG327" s="20"/>
      <c r="CH327" s="20"/>
      <c r="CI327" s="20"/>
      <c r="CJ327" s="20">
        <v>6327</v>
      </c>
      <c r="CK327" s="20">
        <v>1551</v>
      </c>
      <c r="CL327" s="20">
        <v>168827</v>
      </c>
      <c r="CM327" s="20">
        <v>15831</v>
      </c>
      <c r="CN327" s="20"/>
      <c r="CO327" s="20"/>
      <c r="CP327" s="20"/>
      <c r="CQ327" s="20"/>
      <c r="CR327" s="20">
        <v>63898</v>
      </c>
      <c r="CS327" s="20">
        <v>14517</v>
      </c>
    </row>
    <row r="328" spans="1:97" x14ac:dyDescent="0.35">
      <c r="A328" s="14">
        <f t="shared" si="219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29">-(J328-J327)+L328</f>
        <v>17</v>
      </c>
      <c r="N328" s="7">
        <f t="shared" ref="N328" si="2630">B328-C328</f>
        <v>1167999</v>
      </c>
      <c r="O328" s="4">
        <f t="shared" ref="O328" si="2631">C328/B328</f>
        <v>0.21712474068910509</v>
      </c>
      <c r="R328">
        <f t="shared" ref="R328" si="2632">C328-C327</f>
        <v>64</v>
      </c>
      <c r="S328">
        <f t="shared" ref="S328" si="2633">N328-N327</f>
        <v>149</v>
      </c>
      <c r="T328" s="8">
        <f t="shared" ref="T328" si="2634">R328/V328</f>
        <v>0.30046948356807512</v>
      </c>
      <c r="U328" s="8">
        <f t="shared" ref="U328" si="2635">SUM(R322:R328)/SUM(V322:V328)</f>
        <v>0.24682982831498199</v>
      </c>
      <c r="V328">
        <f t="shared" ref="V328" si="2636">B328-B327</f>
        <v>213</v>
      </c>
      <c r="W328">
        <f t="shared" ref="W328" si="2637">C328-D328-E328</f>
        <v>25756</v>
      </c>
      <c r="X328" s="3">
        <f t="shared" ref="X328" si="2638">F328/W328</f>
        <v>1.226898586737071E-2</v>
      </c>
      <c r="Y328">
        <f t="shared" ref="Y328" si="2639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40">Z328-AC328-AF328</f>
        <v>161</v>
      </c>
      <c r="AJ328">
        <f t="shared" ref="AJ328" si="2641">AA328-AD328-AG328</f>
        <v>124</v>
      </c>
      <c r="AK328">
        <f t="shared" ref="AK328" si="2642">AB328-AE328-AH328</f>
        <v>1051</v>
      </c>
      <c r="AL328">
        <v>1</v>
      </c>
      <c r="AM328">
        <v>1</v>
      </c>
      <c r="AN328">
        <v>30</v>
      </c>
      <c r="AT328">
        <f t="shared" ref="AT328" si="2643">BN328-BN327</f>
        <v>8382</v>
      </c>
      <c r="AU328">
        <f t="shared" si="1922"/>
        <v>604</v>
      </c>
      <c r="AV328">
        <f t="shared" ref="AV328" si="2644">AU328/AT328</f>
        <v>7.2059174421379144E-2</v>
      </c>
      <c r="AW328">
        <f t="shared" ref="AW328" si="2645">BV328-BV327</f>
        <v>29</v>
      </c>
      <c r="AX328">
        <f t="shared" si="1869"/>
        <v>3</v>
      </c>
      <c r="AY328">
        <f t="shared" ref="AY328" si="2646">CL328-CL327</f>
        <v>345</v>
      </c>
      <c r="AZ328">
        <f t="shared" si="1871"/>
        <v>31</v>
      </c>
      <c r="BA328">
        <f t="shared" ref="BA328" si="2647">CD328-CD327</f>
        <v>38</v>
      </c>
      <c r="BB328">
        <f t="shared" si="1873"/>
        <v>-1</v>
      </c>
      <c r="BC328">
        <f t="shared" ref="BC328" si="2648">AX328/AW328</f>
        <v>0.10344827586206896</v>
      </c>
      <c r="BD328">
        <f t="shared" ref="BD328" si="2649">AZ328/AY328</f>
        <v>8.9855072463768115E-2</v>
      </c>
      <c r="BE328">
        <f t="shared" si="1929"/>
        <v>-2.6315789473684209E-2</v>
      </c>
      <c r="BF328">
        <f t="shared" ref="BF328" si="2650">SUM(AU322:AU328)/SUM(AT322:AT328)</f>
        <v>5.0160760249022524E-2</v>
      </c>
      <c r="BG328">
        <f t="shared" ref="BG328" si="2651">SUM(AU315:AU328)/SUM(AT315:AT328)</f>
        <v>5.3459146145111262E-2</v>
      </c>
      <c r="BH328">
        <f t="shared" ref="BH328" si="2652">SUM(AX322:AX328)/SUM(AW322:AW328)</f>
        <v>3.9647577092511016E-2</v>
      </c>
      <c r="BI328">
        <f t="shared" ref="BI328" si="2653">SUM(AZ322:AZ328)/SUM(AY322:AY328)</f>
        <v>3.4645935440256889E-2</v>
      </c>
      <c r="BJ328">
        <f t="shared" ref="BJ328" si="2654">SUM(BB322:BB328)/SUM(BA322:BA328)</f>
        <v>2.5073746312684365E-2</v>
      </c>
      <c r="BK328" s="20">
        <v>7.0000000000000007E-2</v>
      </c>
      <c r="BL328" s="20">
        <v>0.08</v>
      </c>
      <c r="BM328" s="20">
        <v>0.05</v>
      </c>
      <c r="BN328" s="20">
        <v>3734427</v>
      </c>
      <c r="BO328" s="20">
        <v>350402</v>
      </c>
      <c r="BP328" s="20"/>
      <c r="BQ328" s="20"/>
      <c r="BR328" s="20"/>
      <c r="BS328" s="20"/>
      <c r="BT328" s="20">
        <v>1493897</v>
      </c>
      <c r="BU328" s="20">
        <v>324403</v>
      </c>
      <c r="BV328" s="20">
        <v>29064</v>
      </c>
      <c r="BW328" s="20">
        <v>2688</v>
      </c>
      <c r="BX328" s="20"/>
      <c r="BY328" s="20"/>
      <c r="BZ328" s="20"/>
      <c r="CA328" s="20"/>
      <c r="CB328" s="20">
        <v>10976</v>
      </c>
      <c r="CC328" s="20">
        <v>2573</v>
      </c>
      <c r="CD328" s="20">
        <v>22660</v>
      </c>
      <c r="CE328" s="20">
        <v>1632</v>
      </c>
      <c r="CF328" s="20"/>
      <c r="CG328" s="20"/>
      <c r="CH328" s="20"/>
      <c r="CI328" s="20"/>
      <c r="CJ328" s="20">
        <v>6333</v>
      </c>
      <c r="CK328" s="20">
        <v>1551</v>
      </c>
      <c r="CL328" s="20">
        <v>169172</v>
      </c>
      <c r="CM328" s="20">
        <v>15862</v>
      </c>
      <c r="CN328" s="20"/>
      <c r="CO328" s="20"/>
      <c r="CP328" s="20"/>
      <c r="CQ328" s="20"/>
      <c r="CR328" s="20">
        <v>64006</v>
      </c>
      <c r="CS328" s="20">
        <v>14550</v>
      </c>
    </row>
    <row r="329" spans="1:97" x14ac:dyDescent="0.35">
      <c r="A329" s="14">
        <f t="shared" si="219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655">-(J329-J328)+L329</f>
        <v>11</v>
      </c>
      <c r="N329" s="7">
        <f t="shared" ref="N329" si="2656">B329-C329</f>
        <v>1170538</v>
      </c>
      <c r="O329" s="4">
        <f t="shared" ref="O329" si="2657">C329/B329</f>
        <v>0.21713721624235388</v>
      </c>
      <c r="R329">
        <f t="shared" ref="R329" si="2658">C329-C328</f>
        <v>728</v>
      </c>
      <c r="S329">
        <f t="shared" ref="S329" si="2659">N329-N328</f>
        <v>2539</v>
      </c>
      <c r="T329" s="8">
        <f t="shared" ref="T329" si="2660">R329/V329</f>
        <v>0.22283440465258647</v>
      </c>
      <c r="U329" s="8">
        <f t="shared" ref="U329" si="2661">SUM(R323:R329)/SUM(V323:V329)</f>
        <v>0.24417780717086304</v>
      </c>
      <c r="V329">
        <f t="shared" ref="V329" si="2662">B329-B328</f>
        <v>3267</v>
      </c>
      <c r="W329">
        <f t="shared" ref="W329" si="2663">C329-D329-E329</f>
        <v>25439</v>
      </c>
      <c r="X329" s="3">
        <f t="shared" ref="X329" si="2664">F329/W329</f>
        <v>1.2500491371516176E-2</v>
      </c>
      <c r="Y329">
        <f t="shared" ref="Y329" si="2665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666">Z329-AC329-AF329</f>
        <v>162</v>
      </c>
      <c r="AJ329">
        <f t="shared" ref="AJ329" si="2667">AA329-AD329-AG329</f>
        <v>119</v>
      </c>
      <c r="AK329">
        <f t="shared" ref="AK329" si="2668">AB329-AE329-AH329</f>
        <v>1036</v>
      </c>
      <c r="AL329">
        <v>1</v>
      </c>
      <c r="AM329">
        <v>1</v>
      </c>
      <c r="AN329">
        <v>26</v>
      </c>
      <c r="AT329">
        <f t="shared" ref="AT329" si="2669">BN329-BN328</f>
        <v>4942</v>
      </c>
      <c r="AU329">
        <f t="shared" si="1922"/>
        <v>274</v>
      </c>
      <c r="AV329">
        <f t="shared" ref="AV329" si="2670">AU329/AT329</f>
        <v>5.544314042897612E-2</v>
      </c>
      <c r="AW329">
        <f t="shared" ref="AW329" si="2671">BV329-BV328</f>
        <v>23</v>
      </c>
      <c r="AX329">
        <f t="shared" si="1869"/>
        <v>1</v>
      </c>
      <c r="AY329">
        <f t="shared" ref="AY329" si="2672">CL329-CL328</f>
        <v>231</v>
      </c>
      <c r="AZ329">
        <f t="shared" si="1871"/>
        <v>2</v>
      </c>
      <c r="BA329">
        <f t="shared" ref="BA329" si="2673">CD329-CD328</f>
        <v>22</v>
      </c>
      <c r="BB329">
        <f t="shared" si="1873"/>
        <v>0</v>
      </c>
      <c r="BC329">
        <f t="shared" ref="BC329" si="2674">AX329/AW329</f>
        <v>4.3478260869565216E-2</v>
      </c>
      <c r="BD329">
        <f t="shared" ref="BD329" si="2675">AZ329/AY329</f>
        <v>8.658008658008658E-3</v>
      </c>
      <c r="BE329">
        <f t="shared" si="1929"/>
        <v>0</v>
      </c>
      <c r="BF329">
        <f t="shared" ref="BF329" si="2676">SUM(AU323:AU329)/SUM(AT323:AT329)</f>
        <v>5.047522459859452E-2</v>
      </c>
      <c r="BG329">
        <f t="shared" ref="BG329" si="2677">SUM(AU316:AU329)/SUM(AT316:AT329)</f>
        <v>5.2860717690317312E-2</v>
      </c>
      <c r="BH329">
        <f t="shared" ref="BH329" si="2678">SUM(AX323:AX329)/SUM(AW323:AW329)</f>
        <v>4.1573033707865172E-2</v>
      </c>
      <c r="BI329">
        <f t="shared" ref="BI329" si="2679">SUM(AZ323:AZ329)/SUM(AY323:AY329)</f>
        <v>3.3719704952581663E-2</v>
      </c>
      <c r="BJ329">
        <f t="shared" ref="BJ329" si="2680">SUM(BB323:BB329)/SUM(BA323:BA329)</f>
        <v>2.4853801169590642E-2</v>
      </c>
      <c r="BK329" s="20">
        <v>7.0000000000000007E-2</v>
      </c>
      <c r="BL329" s="20">
        <v>0.08</v>
      </c>
      <c r="BM329" s="20">
        <v>0.05</v>
      </c>
      <c r="BN329" s="20">
        <v>3739369</v>
      </c>
      <c r="BO329" s="20">
        <v>350676</v>
      </c>
      <c r="BP329" s="20"/>
      <c r="BQ329" s="20"/>
      <c r="BR329" s="20"/>
      <c r="BS329" s="20"/>
      <c r="BT329" s="20">
        <v>1495202</v>
      </c>
      <c r="BU329" s="20">
        <v>324664</v>
      </c>
      <c r="BV329" s="20">
        <v>29087</v>
      </c>
      <c r="BW329" s="20">
        <v>2689</v>
      </c>
      <c r="BX329" s="20"/>
      <c r="BY329" s="20"/>
      <c r="BZ329" s="20"/>
      <c r="CA329" s="20"/>
      <c r="CB329" s="20">
        <v>10980</v>
      </c>
      <c r="CC329" s="20">
        <v>2575</v>
      </c>
      <c r="CD329" s="20">
        <v>22682</v>
      </c>
      <c r="CE329" s="20">
        <v>1632</v>
      </c>
      <c r="CF329" s="20"/>
      <c r="CG329" s="20"/>
      <c r="CH329" s="20"/>
      <c r="CI329" s="20"/>
      <c r="CJ329" s="20">
        <v>6339</v>
      </c>
      <c r="CK329" s="20">
        <v>1551</v>
      </c>
      <c r="CL329" s="20">
        <v>169403</v>
      </c>
      <c r="CM329" s="20">
        <v>15864</v>
      </c>
      <c r="CN329" s="20"/>
      <c r="CO329" s="20"/>
      <c r="CP329" s="20"/>
      <c r="CQ329" s="20"/>
      <c r="CR329" s="20">
        <v>64042</v>
      </c>
      <c r="CS329" s="20">
        <v>14556</v>
      </c>
    </row>
    <row r="330" spans="1:97" x14ac:dyDescent="0.35">
      <c r="A330" s="14">
        <f t="shared" si="219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681">-(J330-J329)+L330</f>
        <v>6</v>
      </c>
      <c r="N330" s="7">
        <f t="shared" ref="N330" si="2682">B330-C330</f>
        <v>1172745</v>
      </c>
      <c r="O330" s="4">
        <f t="shared" ref="O330" si="2683">C330/B330</f>
        <v>0.21718939925413233</v>
      </c>
      <c r="R330">
        <f t="shared" ref="R330" si="2684">C330-C329</f>
        <v>712</v>
      </c>
      <c r="S330">
        <f t="shared" ref="S330" si="2685">N330-N329</f>
        <v>2207</v>
      </c>
      <c r="T330" s="8">
        <f t="shared" ref="T330" si="2686">R330/V330</f>
        <v>0.24391915039397052</v>
      </c>
      <c r="U330" s="8">
        <f t="shared" ref="U330" si="2687">SUM(R324:R330)/SUM(V324:V330)</f>
        <v>0.24182158812509008</v>
      </c>
      <c r="V330">
        <f t="shared" ref="V330" si="2688">B330-B329</f>
        <v>2919</v>
      </c>
      <c r="W330">
        <f t="shared" ref="W330" si="2689">C330-D330-E330</f>
        <v>23826</v>
      </c>
      <c r="X330" s="3">
        <f t="shared" ref="X330" si="2690">F330/W330</f>
        <v>1.3724502644170234E-2</v>
      </c>
      <c r="Y330">
        <f t="shared" ref="Y330" si="2691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692">Z330-AC330-AF330</f>
        <v>160</v>
      </c>
      <c r="AJ330">
        <f t="shared" ref="AJ330" si="2693">AA330-AD330-AG330</f>
        <v>104</v>
      </c>
      <c r="AK330">
        <f t="shared" ref="AK330" si="2694">AB330-AE330-AH330</f>
        <v>960</v>
      </c>
      <c r="AL330">
        <v>1</v>
      </c>
      <c r="AM330">
        <v>1</v>
      </c>
      <c r="AN330">
        <v>26</v>
      </c>
      <c r="AT330">
        <f t="shared" ref="AT330" si="2695">BN330-BN329</f>
        <v>19065</v>
      </c>
      <c r="AU330">
        <f t="shared" si="1922"/>
        <v>788</v>
      </c>
      <c r="AV330">
        <f t="shared" ref="AV330" si="2696">AU330/AT330</f>
        <v>4.1332284290584845E-2</v>
      </c>
      <c r="AW330">
        <f t="shared" ref="AW330" si="2697">BV330-BV329</f>
        <v>192</v>
      </c>
      <c r="AX330">
        <f t="shared" ref="AX330:AX344" si="2698">BW330-BW329</f>
        <v>12</v>
      </c>
      <c r="AY330">
        <f t="shared" ref="AY330" si="2699">CL330-CL329</f>
        <v>1071</v>
      </c>
      <c r="AZ330">
        <f t="shared" ref="AZ330:AZ344" si="2700">CM330-CM329</f>
        <v>16</v>
      </c>
      <c r="BA330">
        <f t="shared" ref="BA330" si="2701">CD330-CD329</f>
        <v>153</v>
      </c>
      <c r="BB330">
        <f t="shared" ref="BB330:BB344" si="2702">CE330-CE329</f>
        <v>2</v>
      </c>
      <c r="BC330">
        <f t="shared" ref="BC330" si="2703">AX330/AW330</f>
        <v>6.25E-2</v>
      </c>
      <c r="BD330">
        <f t="shared" ref="BD330" si="2704">AZ330/AY330</f>
        <v>1.4939309056956116E-2</v>
      </c>
      <c r="BE330">
        <f t="shared" si="1929"/>
        <v>1.3071895424836602E-2</v>
      </c>
      <c r="BF330">
        <f t="shared" ref="BF330" si="2705">SUM(AU324:AU330)/SUM(AT324:AT330)</f>
        <v>4.9751334414224038E-2</v>
      </c>
      <c r="BG330">
        <f t="shared" ref="BG330" si="2706">SUM(AU317:AU330)/SUM(AT317:AT330)</f>
        <v>5.2782364420045892E-2</v>
      </c>
      <c r="BH330">
        <f t="shared" ref="BH330" si="2707">SUM(AX324:AX330)/SUM(AW324:AW330)</f>
        <v>4.3103448275862072E-2</v>
      </c>
      <c r="BI330">
        <f t="shared" ref="BI330" si="2708">SUM(AZ324:AZ330)/SUM(AY324:AY330)</f>
        <v>3.2855236824549702E-2</v>
      </c>
      <c r="BJ330">
        <f t="shared" ref="BJ330" si="2709">SUM(BB324:BB330)/SUM(BA324:BA330)</f>
        <v>2.2941970310391364E-2</v>
      </c>
      <c r="BK330" s="20">
        <v>7.0000000000000007E-2</v>
      </c>
      <c r="BL330" s="20">
        <v>7.0000000000000007E-2</v>
      </c>
      <c r="BM330" s="20">
        <v>0.05</v>
      </c>
      <c r="BN330" s="20">
        <v>3758434</v>
      </c>
      <c r="BO330" s="20">
        <v>351464</v>
      </c>
      <c r="BP330" s="20"/>
      <c r="BQ330" s="20"/>
      <c r="BR330" s="20"/>
      <c r="BS330" s="20"/>
      <c r="BT330" s="20">
        <v>1498121</v>
      </c>
      <c r="BU330" s="20">
        <v>325376</v>
      </c>
      <c r="BV330" s="20">
        <v>29279</v>
      </c>
      <c r="BW330" s="20">
        <v>2701</v>
      </c>
      <c r="BX330" s="20"/>
      <c r="BY330" s="20"/>
      <c r="BZ330" s="20"/>
      <c r="CA330" s="20"/>
      <c r="CB330" s="20">
        <v>11009</v>
      </c>
      <c r="CC330" s="20">
        <v>2582</v>
      </c>
      <c r="CD330" s="20">
        <v>22835</v>
      </c>
      <c r="CE330" s="20">
        <v>1634</v>
      </c>
      <c r="CF330" s="20"/>
      <c r="CG330" s="20"/>
      <c r="CH330" s="20"/>
      <c r="CI330" s="20"/>
      <c r="CJ330" s="20">
        <v>6355</v>
      </c>
      <c r="CK330" s="20">
        <v>1555</v>
      </c>
      <c r="CL330" s="20">
        <v>170474</v>
      </c>
      <c r="CM330" s="20">
        <v>15880</v>
      </c>
      <c r="CN330" s="20"/>
      <c r="CO330" s="20"/>
      <c r="CP330" s="20"/>
      <c r="CQ330" s="20"/>
      <c r="CR330" s="20">
        <v>64158</v>
      </c>
      <c r="CS330" s="20">
        <v>14570</v>
      </c>
    </row>
    <row r="331" spans="1:97" x14ac:dyDescent="0.35">
      <c r="A331" s="14">
        <f t="shared" si="219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10">-(J331-J330)+L331</f>
        <v>24</v>
      </c>
      <c r="N331" s="7">
        <f t="shared" ref="N331" si="2711">B331-C331</f>
        <v>1175373</v>
      </c>
      <c r="O331" s="4">
        <f t="shared" ref="O331" si="2712">C331/B331</f>
        <v>0.21735039656089711</v>
      </c>
      <c r="R331">
        <f t="shared" ref="R331" si="2713">C331-C330</f>
        <v>1038</v>
      </c>
      <c r="S331">
        <f t="shared" ref="S331" si="2714">N331-N330</f>
        <v>2628</v>
      </c>
      <c r="T331" s="8">
        <f t="shared" ref="T331" si="2715">R331/V331</f>
        <v>0.28314238952536824</v>
      </c>
      <c r="U331" s="8">
        <f t="shared" ref="U331" si="2716">SUM(R325:R331)/SUM(V325:V331)</f>
        <v>0.24372097431523079</v>
      </c>
      <c r="V331">
        <f t="shared" ref="V331" si="2717">B331-B330</f>
        <v>3666</v>
      </c>
      <c r="W331">
        <f t="shared" ref="W331" si="2718">C331-D331-E331</f>
        <v>23449</v>
      </c>
      <c r="X331" s="3">
        <f t="shared" ref="X331" si="2719">F331/W331</f>
        <v>1.2452556612222269E-2</v>
      </c>
      <c r="Y331">
        <f t="shared" ref="Y331" si="272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692"/>
        <v>159</v>
      </c>
      <c r="AJ331">
        <f t="shared" ref="AJ331" si="2721">AA331-AD331-AG331</f>
        <v>102</v>
      </c>
      <c r="AK331">
        <f t="shared" ref="AK331" si="2722">AB331-AE331-AH331</f>
        <v>938</v>
      </c>
      <c r="AL331">
        <v>1</v>
      </c>
      <c r="AM331">
        <v>1</v>
      </c>
      <c r="AN331">
        <v>16</v>
      </c>
      <c r="AT331">
        <f t="shared" ref="AT331" si="2723">BN331-BN330</f>
        <v>20114</v>
      </c>
      <c r="AU331">
        <f t="shared" si="1922"/>
        <v>1138</v>
      </c>
      <c r="AV331">
        <f t="shared" ref="AV331" si="2724">AU331/AT331</f>
        <v>5.6577508203241526E-2</v>
      </c>
      <c r="AW331">
        <f t="shared" ref="AW331" si="2725">BV331-BV330</f>
        <v>87</v>
      </c>
      <c r="AX331">
        <f t="shared" si="2698"/>
        <v>9</v>
      </c>
      <c r="AY331">
        <f t="shared" ref="AY331" si="2726">CL331-CL330</f>
        <v>1016</v>
      </c>
      <c r="AZ331">
        <f t="shared" si="2700"/>
        <v>39</v>
      </c>
      <c r="BA331">
        <f t="shared" ref="BA331" si="2727">CD331-CD330</f>
        <v>141</v>
      </c>
      <c r="BB331">
        <f t="shared" si="2702"/>
        <v>4</v>
      </c>
      <c r="BC331">
        <f t="shared" ref="BC331" si="2728">AX331/AW331</f>
        <v>0.10344827586206896</v>
      </c>
      <c r="BD331">
        <f t="shared" ref="BD331" si="2729">AZ331/AY331</f>
        <v>3.8385826771653545E-2</v>
      </c>
      <c r="BE331">
        <f t="shared" si="1929"/>
        <v>2.8368794326241134E-2</v>
      </c>
      <c r="BF331">
        <f t="shared" ref="BF331" si="2730">SUM(AU325:AU331)/SUM(AT325:AT331)</f>
        <v>4.8786213612492607E-2</v>
      </c>
      <c r="BG331">
        <f t="shared" ref="BG331" si="2731">SUM(AU318:AU331)/SUM(AT318:AT331)</f>
        <v>5.235597621813709E-2</v>
      </c>
      <c r="BH331">
        <f t="shared" ref="BH331" si="2732">SUM(AX325:AX331)/SUM(AW325:AW331)</f>
        <v>4.4228694714131607E-2</v>
      </c>
      <c r="BI331">
        <f t="shared" ref="BI331" si="2733">SUM(AZ325:AZ331)/SUM(AY325:AY331)</f>
        <v>2.9924002533248891E-2</v>
      </c>
      <c r="BJ331">
        <f t="shared" ref="BJ331" si="2734">SUM(BB325:BB331)/SUM(BA325:BA331)</f>
        <v>2.0050125313283207E-2</v>
      </c>
      <c r="BK331" s="20">
        <v>0.08</v>
      </c>
      <c r="BL331" s="20">
        <v>7.0000000000000007E-2</v>
      </c>
      <c r="BM331" s="20">
        <v>0.05</v>
      </c>
      <c r="BN331" s="20">
        <v>3778548</v>
      </c>
      <c r="BO331" s="20">
        <v>352602</v>
      </c>
      <c r="BP331" s="20"/>
      <c r="BQ331" s="20"/>
      <c r="BR331" s="20"/>
      <c r="BS331" s="20"/>
      <c r="BT331" s="20">
        <v>1501787</v>
      </c>
      <c r="BU331" s="20">
        <v>326414</v>
      </c>
      <c r="BV331" s="20">
        <v>29366</v>
      </c>
      <c r="BW331" s="20">
        <v>2710</v>
      </c>
      <c r="BX331" s="20"/>
      <c r="BY331" s="20"/>
      <c r="BZ331" s="20"/>
      <c r="CA331" s="20"/>
      <c r="CB331" s="20">
        <v>11027</v>
      </c>
      <c r="CC331" s="20">
        <v>2592</v>
      </c>
      <c r="CD331" s="20">
        <v>22976</v>
      </c>
      <c r="CE331" s="20">
        <v>1638</v>
      </c>
      <c r="CF331" s="20"/>
      <c r="CG331" s="20"/>
      <c r="CH331" s="20"/>
      <c r="CI331" s="20"/>
      <c r="CJ331" s="20">
        <v>6377</v>
      </c>
      <c r="CK331" s="20">
        <v>1557</v>
      </c>
      <c r="CL331" s="20">
        <v>171490</v>
      </c>
      <c r="CM331" s="20">
        <v>15919</v>
      </c>
      <c r="CN331" s="20"/>
      <c r="CO331" s="20"/>
      <c r="CP331" s="20"/>
      <c r="CQ331" s="20"/>
      <c r="CR331" s="20">
        <v>64293</v>
      </c>
      <c r="CS331" s="20">
        <v>14603</v>
      </c>
    </row>
    <row r="332" spans="1:97" x14ac:dyDescent="0.35">
      <c r="A332" s="14">
        <f t="shared" si="219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35">-(J332-J331)+L332</f>
        <v>11</v>
      </c>
      <c r="N332" s="7">
        <f t="shared" ref="N332" si="2736">B332-C332</f>
        <v>1178244</v>
      </c>
      <c r="O332" s="4">
        <f t="shared" ref="O332" si="2737">C332/B332</f>
        <v>0.21737207048569343</v>
      </c>
      <c r="R332">
        <f t="shared" ref="R332" si="2738">C332-C331</f>
        <v>839</v>
      </c>
      <c r="S332">
        <f t="shared" ref="S332" si="2739">N332-N331</f>
        <v>2871</v>
      </c>
      <c r="T332" s="8">
        <f t="shared" ref="T332" si="2740">R332/V332</f>
        <v>0.22614555256064689</v>
      </c>
      <c r="U332" s="8">
        <f t="shared" ref="U332" si="2741">SUM(R326:R332)/SUM(V326:V332)</f>
        <v>0.23929941449626488</v>
      </c>
      <c r="V332">
        <f t="shared" ref="V332" si="2742">B332-B331</f>
        <v>3710</v>
      </c>
      <c r="W332">
        <f t="shared" ref="W332" si="2743">C332-D332-E332</f>
        <v>22955</v>
      </c>
      <c r="X332" s="3">
        <f t="shared" ref="X332" si="2744">F332/W332</f>
        <v>1.1892833805271183E-2</v>
      </c>
      <c r="Y332">
        <f t="shared" ref="Y332" si="27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692"/>
        <v>154</v>
      </c>
      <c r="AJ332">
        <f t="shared" ref="AJ332" si="2746">AA332-AD332-AG332</f>
        <v>92</v>
      </c>
      <c r="AK332">
        <f t="shared" ref="AK332" si="2747">AB332-AE332-AH332</f>
        <v>933</v>
      </c>
      <c r="AL332">
        <v>2</v>
      </c>
      <c r="AM332">
        <v>2</v>
      </c>
      <c r="AN332">
        <v>16</v>
      </c>
      <c r="AT332">
        <f t="shared" ref="AT332" si="2748">BN332-BN331</f>
        <v>18861</v>
      </c>
      <c r="AU332">
        <f t="shared" ref="AU332:AU344" si="2749">BO332-BO331</f>
        <v>918</v>
      </c>
      <c r="AV332">
        <f t="shared" ref="AV332" si="2750">AU332/AT332</f>
        <v>4.8671862573564498E-2</v>
      </c>
      <c r="AW332">
        <f t="shared" ref="AW332" si="2751">BV332-BV331</f>
        <v>134</v>
      </c>
      <c r="AX332">
        <f t="shared" si="2698"/>
        <v>8</v>
      </c>
      <c r="AY332">
        <f t="shared" ref="AY332" si="2752">CL332-CL331</f>
        <v>872</v>
      </c>
      <c r="AZ332">
        <f t="shared" si="2700"/>
        <v>31</v>
      </c>
      <c r="BA332">
        <f t="shared" ref="BA332" si="2753">CD332-CD331</f>
        <v>112</v>
      </c>
      <c r="BB332">
        <f t="shared" si="2702"/>
        <v>-1</v>
      </c>
      <c r="BC332">
        <f t="shared" ref="BC332" si="2754">AX332/AW332</f>
        <v>5.9701492537313432E-2</v>
      </c>
      <c r="BD332">
        <f t="shared" ref="BD332" si="2755">AZ332/AY332</f>
        <v>3.5550458715596332E-2</v>
      </c>
      <c r="BE332">
        <f t="shared" si="1929"/>
        <v>-8.9285714285714281E-3</v>
      </c>
      <c r="BF332">
        <f t="shared" ref="BF332" si="2756">SUM(AU326:AU332)/SUM(AT326:AT332)</f>
        <v>4.8261164931088715E-2</v>
      </c>
      <c r="BG332">
        <f t="shared" ref="BG332" si="2757">SUM(AU319:AU332)/SUM(AT319:AT332)</f>
        <v>5.0795930477558288E-2</v>
      </c>
      <c r="BH332">
        <f t="shared" ref="BH332" si="2758">SUM(AX326:AX332)/SUM(AW326:AW332)</f>
        <v>5.6451612903225805E-2</v>
      </c>
      <c r="BI332">
        <f t="shared" ref="BI332" si="2759">SUM(AZ326:AZ332)/SUM(AY326:AY332)</f>
        <v>3.2500000000000001E-2</v>
      </c>
      <c r="BJ332">
        <f t="shared" ref="BJ332" si="2760">SUM(BB326:BB332)/SUM(BA326:BA332)</f>
        <v>1.7543859649122806E-2</v>
      </c>
      <c r="BK332" s="20">
        <v>0.08</v>
      </c>
      <c r="BL332" s="20">
        <v>7.0000000000000007E-2</v>
      </c>
      <c r="BM332" s="20">
        <v>0.05</v>
      </c>
      <c r="BN332" s="20">
        <v>3797409</v>
      </c>
      <c r="BO332" s="20">
        <v>353520</v>
      </c>
      <c r="BP332" s="20"/>
      <c r="BQ332" s="20"/>
      <c r="BR332" s="20"/>
      <c r="BS332" s="20"/>
      <c r="BT332" s="20">
        <v>1505497</v>
      </c>
      <c r="BU332" s="20">
        <v>327253</v>
      </c>
      <c r="BV332" s="20">
        <v>29500</v>
      </c>
      <c r="BW332" s="20">
        <v>2718</v>
      </c>
      <c r="BX332" s="20"/>
      <c r="BY332" s="20"/>
      <c r="BZ332" s="20"/>
      <c r="CA332" s="20"/>
      <c r="CB332" s="20">
        <v>11054</v>
      </c>
      <c r="CC332" s="20">
        <v>2597</v>
      </c>
      <c r="CD332" s="20">
        <v>23088</v>
      </c>
      <c r="CE332" s="20">
        <v>1637</v>
      </c>
      <c r="CF332" s="20"/>
      <c r="CG332" s="20"/>
      <c r="CH332" s="20"/>
      <c r="CI332" s="20"/>
      <c r="CJ332" s="20">
        <v>6397</v>
      </c>
      <c r="CK332" s="20">
        <v>1558</v>
      </c>
      <c r="CL332" s="20">
        <v>172362</v>
      </c>
      <c r="CM332" s="20">
        <v>15950</v>
      </c>
      <c r="CN332" s="20"/>
      <c r="CO332" s="20"/>
      <c r="CP332" s="20"/>
      <c r="CQ332" s="20"/>
      <c r="CR332" s="20">
        <v>64445</v>
      </c>
      <c r="CS332" s="20">
        <v>14634</v>
      </c>
    </row>
    <row r="333" spans="1:97" x14ac:dyDescent="0.35">
      <c r="A333" s="14">
        <f t="shared" ref="A333:A485" si="2761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762">-(J333-J332)+L333</f>
        <v>12</v>
      </c>
      <c r="N333" s="7">
        <f t="shared" ref="N333" si="2763">B333-C333</f>
        <v>1180880</v>
      </c>
      <c r="O333" s="4">
        <f t="shared" ref="O333" si="2764">C333/B333</f>
        <v>0.21737511026456205</v>
      </c>
      <c r="R333">
        <f t="shared" ref="R333" si="2765">C333-C332</f>
        <v>738</v>
      </c>
      <c r="S333">
        <f t="shared" ref="S333" si="2766">N333-N332</f>
        <v>2636</v>
      </c>
      <c r="T333" s="8">
        <f t="shared" ref="T333" si="2767">R333/V333</f>
        <v>0.21873147599288678</v>
      </c>
      <c r="U333" s="8">
        <f t="shared" ref="U333" si="2768">SUM(R327:R333)/SUM(V327:V333)</f>
        <v>0.23694048701626755</v>
      </c>
      <c r="V333">
        <f t="shared" ref="V333" si="2769">B333-B332</f>
        <v>3374</v>
      </c>
      <c r="W333">
        <f t="shared" ref="W333" si="2770">C333-D333-E333</f>
        <v>22432</v>
      </c>
      <c r="X333" s="3">
        <f t="shared" ref="X333" si="2771">F333/W333</f>
        <v>1.110021398002853E-2</v>
      </c>
      <c r="Y333">
        <f t="shared" ref="Y333" si="2772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692"/>
        <v>152</v>
      </c>
      <c r="AJ333">
        <f t="shared" ref="AJ333" si="2773">AA333-AD333-AG333</f>
        <v>88</v>
      </c>
      <c r="AK333">
        <f t="shared" ref="AK333" si="2774">AB333-AE333-AH333</f>
        <v>909</v>
      </c>
      <c r="AL333">
        <v>1</v>
      </c>
      <c r="AM333">
        <v>1</v>
      </c>
      <c r="AN333">
        <v>14</v>
      </c>
      <c r="AT333">
        <f t="shared" ref="AT333" si="2775">BN333-BN332</f>
        <v>20265</v>
      </c>
      <c r="AU333">
        <f t="shared" si="2749"/>
        <v>818</v>
      </c>
      <c r="AV333">
        <f t="shared" ref="AV333" si="2776">AU333/AT333</f>
        <v>4.0365161608684925E-2</v>
      </c>
      <c r="AW333">
        <f t="shared" ref="AW333" si="2777">BV333-BV332</f>
        <v>283</v>
      </c>
      <c r="AX333">
        <f t="shared" si="2698"/>
        <v>2</v>
      </c>
      <c r="AY333">
        <f t="shared" ref="AY333" si="2778">CL333-CL332</f>
        <v>603</v>
      </c>
      <c r="AZ333">
        <f t="shared" si="2700"/>
        <v>29</v>
      </c>
      <c r="BA333">
        <f t="shared" ref="BA333" si="2779">CD333-CD332</f>
        <v>151</v>
      </c>
      <c r="BB333">
        <f t="shared" si="2702"/>
        <v>5</v>
      </c>
      <c r="BC333">
        <f t="shared" ref="BC333" si="2780">AX333/AW333</f>
        <v>7.0671378091872791E-3</v>
      </c>
      <c r="BD333">
        <f t="shared" ref="BD333" si="2781">AZ333/AY333</f>
        <v>4.809286898839138E-2</v>
      </c>
      <c r="BE333">
        <f t="shared" si="1929"/>
        <v>3.3112582781456956E-2</v>
      </c>
      <c r="BF333">
        <f t="shared" ref="BF333" si="2782">SUM(AU327:AU333)/SUM(AT327:AT333)</f>
        <v>4.7479858291169096E-2</v>
      </c>
      <c r="BG333">
        <f t="shared" ref="BG333" si="2783">SUM(AU320:AU333)/SUM(AT320:AT333)</f>
        <v>4.9719464462698849E-2</v>
      </c>
      <c r="BH333">
        <f t="shared" ref="BH333" si="2784">SUM(AX327:AX333)/SUM(AW327:AW333)</f>
        <v>4.377880184331797E-2</v>
      </c>
      <c r="BI333">
        <f t="shared" ref="BI333" si="2785">SUM(AZ327:AZ333)/SUM(AY327:AY333)</f>
        <v>3.2777673721670723E-2</v>
      </c>
      <c r="BJ333">
        <f t="shared" ref="BJ333" si="2786">SUM(BB327:BB333)/SUM(BA327:BA333)</f>
        <v>1.8791946308724831E-2</v>
      </c>
      <c r="BK333" s="20">
        <v>7.0000000000000007E-2</v>
      </c>
      <c r="BL333" s="20">
        <v>0.06</v>
      </c>
      <c r="BM333" s="20">
        <v>0.05</v>
      </c>
      <c r="BN333" s="20">
        <v>3817674</v>
      </c>
      <c r="BO333" s="20">
        <v>354338</v>
      </c>
      <c r="BP333" s="20"/>
      <c r="BQ333" s="20"/>
      <c r="BR333" s="20"/>
      <c r="BS333" s="20"/>
      <c r="BT333" s="20">
        <v>1508871</v>
      </c>
      <c r="BU333" s="20">
        <v>327991</v>
      </c>
      <c r="BV333" s="20">
        <v>29783</v>
      </c>
      <c r="BW333" s="20">
        <v>2720</v>
      </c>
      <c r="BX333" s="20"/>
      <c r="BY333" s="20"/>
      <c r="BZ333" s="20"/>
      <c r="CA333" s="20"/>
      <c r="CB333" s="20">
        <v>11084</v>
      </c>
      <c r="CC333" s="20">
        <v>2602</v>
      </c>
      <c r="CD333" s="20">
        <v>23239</v>
      </c>
      <c r="CE333" s="20">
        <v>1642</v>
      </c>
      <c r="CF333" s="20"/>
      <c r="CG333" s="20"/>
      <c r="CH333" s="20"/>
      <c r="CI333" s="20"/>
      <c r="CJ333" s="20">
        <v>6410</v>
      </c>
      <c r="CK333" s="20">
        <v>1561</v>
      </c>
      <c r="CL333" s="20">
        <v>172965</v>
      </c>
      <c r="CM333" s="20">
        <v>15979</v>
      </c>
      <c r="CN333" s="20"/>
      <c r="CO333" s="20"/>
      <c r="CP333" s="20"/>
      <c r="CQ333" s="20"/>
      <c r="CR333" s="20">
        <v>64540</v>
      </c>
      <c r="CS333" s="20">
        <v>14653</v>
      </c>
    </row>
    <row r="334" spans="1:97" x14ac:dyDescent="0.35">
      <c r="A334" s="14">
        <f t="shared" si="2761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787">-(J334-J333)+L334</f>
        <v>16</v>
      </c>
      <c r="N334" s="7">
        <f t="shared" ref="N334" si="2788">B334-C334</f>
        <v>1183030</v>
      </c>
      <c r="O334" s="4">
        <f t="shared" ref="O334" si="2789">C334/B334</f>
        <v>0.21740298159918289</v>
      </c>
      <c r="R334">
        <f t="shared" ref="R334" si="2790">C334-C333</f>
        <v>651</v>
      </c>
      <c r="S334">
        <f t="shared" ref="S334" si="2791">N334-N333</f>
        <v>2150</v>
      </c>
      <c r="T334" s="8">
        <f t="shared" ref="T334" si="2792">R334/V334</f>
        <v>0.23241699393073903</v>
      </c>
      <c r="U334" s="8">
        <f t="shared" ref="U334" si="2793">SUM(R328:R334)/SUM(V328:V334)</f>
        <v>0.23909774436090225</v>
      </c>
      <c r="V334">
        <f t="shared" ref="V334" si="2794">B334-B333</f>
        <v>2801</v>
      </c>
      <c r="W334">
        <f t="shared" ref="W334" si="2795">C334-D334-E334</f>
        <v>22244</v>
      </c>
      <c r="X334" s="3">
        <f t="shared" ref="X334" si="2796">F334/W334</f>
        <v>1.011508721452976E-2</v>
      </c>
      <c r="Y334">
        <f t="shared" ref="Y334" si="27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692"/>
        <v>152</v>
      </c>
      <c r="AJ334">
        <f t="shared" ref="AJ334" si="2798">AA334-AD334-AG334</f>
        <v>81</v>
      </c>
      <c r="AK334">
        <f t="shared" ref="AK334" si="2799">AB334-AE334-AH334</f>
        <v>898</v>
      </c>
      <c r="AL334">
        <v>1</v>
      </c>
      <c r="AM334">
        <v>1</v>
      </c>
      <c r="AN334">
        <v>13</v>
      </c>
      <c r="AT334">
        <f t="shared" ref="AT334" si="2800">BN334-BN333</f>
        <v>16135</v>
      </c>
      <c r="AU334">
        <f t="shared" si="2749"/>
        <v>710</v>
      </c>
      <c r="AV334">
        <f t="shared" ref="AV334" si="2801">AU334/AT334</f>
        <v>4.4003718624109081E-2</v>
      </c>
      <c r="AW334">
        <f t="shared" ref="AW334" si="2802">BV334-BV333</f>
        <v>97</v>
      </c>
      <c r="AX334">
        <f t="shared" si="2698"/>
        <v>11</v>
      </c>
      <c r="AY334">
        <f t="shared" ref="AY334" si="2803">CL334-CL333</f>
        <v>872</v>
      </c>
      <c r="AZ334">
        <f t="shared" si="2700"/>
        <v>21</v>
      </c>
      <c r="BA334">
        <f t="shared" ref="BA334" si="2804">CD334-CD333</f>
        <v>113</v>
      </c>
      <c r="BB334">
        <f t="shared" si="2702"/>
        <v>-4</v>
      </c>
      <c r="BC334">
        <f t="shared" ref="BC334" si="2805">AX334/AW334</f>
        <v>0.1134020618556701</v>
      </c>
      <c r="BD334">
        <f t="shared" ref="BD334" si="2806">AZ334/AY334</f>
        <v>2.4082568807339451E-2</v>
      </c>
      <c r="BE334">
        <f t="shared" si="1929"/>
        <v>-3.5398230088495575E-2</v>
      </c>
      <c r="BF334">
        <f t="shared" ref="BF334" si="2807">SUM(AU328:AU334)/SUM(AT328:AT334)</f>
        <v>4.8717568019004488E-2</v>
      </c>
      <c r="BG334">
        <f t="shared" ref="BG334" si="2808">SUM(AU321:AU334)/SUM(AT321:AT334)</f>
        <v>5.0260114170007551E-2</v>
      </c>
      <c r="BH334">
        <f t="shared" ref="BH334" si="2809">SUM(AX328:AX334)/SUM(AW328:AW334)</f>
        <v>5.4437869822485205E-2</v>
      </c>
      <c r="BI334">
        <f t="shared" ref="BI334" si="2810">SUM(AZ328:AZ334)/SUM(AY328:AY334)</f>
        <v>3.3732534930139724E-2</v>
      </c>
      <c r="BJ334">
        <f t="shared" ref="BJ334" si="2811">SUM(BB328:BB334)/SUM(BA328:BA334)</f>
        <v>6.8493150684931503E-3</v>
      </c>
      <c r="BK334" s="20">
        <v>7.0000000000000007E-2</v>
      </c>
      <c r="BL334" s="20">
        <v>0.06</v>
      </c>
      <c r="BM334" s="20">
        <v>0.04</v>
      </c>
      <c r="BN334" s="20">
        <v>3833809</v>
      </c>
      <c r="BO334" s="20">
        <v>355048</v>
      </c>
      <c r="BP334" s="20"/>
      <c r="BQ334" s="20"/>
      <c r="BR334" s="20"/>
      <c r="BS334" s="20"/>
      <c r="BT334" s="20">
        <v>1511672</v>
      </c>
      <c r="BU334" s="20">
        <v>328642</v>
      </c>
      <c r="BV334" s="20">
        <v>29880</v>
      </c>
      <c r="BW334" s="20">
        <v>2731</v>
      </c>
      <c r="BX334" s="20"/>
      <c r="BY334" s="20"/>
      <c r="BZ334" s="20"/>
      <c r="CA334" s="20"/>
      <c r="CB334" s="20">
        <v>11104</v>
      </c>
      <c r="CC334" s="20">
        <v>2607</v>
      </c>
      <c r="CD334" s="20">
        <v>23352</v>
      </c>
      <c r="CE334" s="20">
        <v>1638</v>
      </c>
      <c r="CF334" s="20"/>
      <c r="CG334" s="20"/>
      <c r="CH334" s="20"/>
      <c r="CI334" s="20"/>
      <c r="CJ334" s="20">
        <v>6423</v>
      </c>
      <c r="CK334" s="20">
        <v>1561</v>
      </c>
      <c r="CL334" s="20">
        <v>173837</v>
      </c>
      <c r="CM334" s="20">
        <v>16000</v>
      </c>
      <c r="CN334" s="20"/>
      <c r="CO334" s="20"/>
      <c r="CP334" s="20"/>
      <c r="CQ334" s="20"/>
      <c r="CR334" s="20">
        <v>64663</v>
      </c>
      <c r="CS334" s="20">
        <v>14679</v>
      </c>
    </row>
    <row r="335" spans="1:97" x14ac:dyDescent="0.35">
      <c r="A335" s="14">
        <f t="shared" si="2761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12">-(J335-J334)+L335</f>
        <v>8</v>
      </c>
      <c r="N335" s="7">
        <f t="shared" ref="N335" si="2813">B335-C335</f>
        <v>1184552</v>
      </c>
      <c r="O335" s="4">
        <f t="shared" ref="O335" si="2814">C335/B335</f>
        <v>0.2174191093305709</v>
      </c>
      <c r="R335">
        <f t="shared" ref="R335" si="2815">C335-C334</f>
        <v>454</v>
      </c>
      <c r="S335">
        <f t="shared" ref="S335" si="2816">N335-N334</f>
        <v>1522</v>
      </c>
      <c r="T335" s="8">
        <f t="shared" ref="T335" si="2817">R335/V335</f>
        <v>0.22975708502024292</v>
      </c>
      <c r="U335" s="8">
        <f t="shared" ref="U335" si="2818">SUM(R329:R335)/SUM(V329:V335)</f>
        <v>0.2376456500713858</v>
      </c>
      <c r="V335">
        <f t="shared" ref="V335" si="2819">B335-B334</f>
        <v>1976</v>
      </c>
      <c r="W335">
        <f t="shared" ref="W335" si="2820">C335-D335-E335</f>
        <v>22087</v>
      </c>
      <c r="X335" s="3">
        <f t="shared" ref="X335" si="2821">F335/W335</f>
        <v>1.0866120342282791E-2</v>
      </c>
      <c r="Y335">
        <f t="shared" ref="Y335" si="2822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692"/>
        <v>150</v>
      </c>
      <c r="AJ335">
        <f t="shared" ref="AJ335" si="2823">AA335-AD335-AG335</f>
        <v>81</v>
      </c>
      <c r="AK335">
        <f t="shared" ref="AK335" si="2824">AB335-AE335-AH335</f>
        <v>901</v>
      </c>
      <c r="AL335">
        <v>1</v>
      </c>
      <c r="AM335">
        <v>1</v>
      </c>
      <c r="AN335">
        <v>13</v>
      </c>
      <c r="AT335">
        <f t="shared" ref="AT335" si="2825">BN335-BN334</f>
        <v>6370</v>
      </c>
      <c r="AU335">
        <f t="shared" si="2749"/>
        <v>499</v>
      </c>
      <c r="AV335">
        <f t="shared" ref="AV335" si="2826">AU335/AT335</f>
        <v>7.8335949764521198E-2</v>
      </c>
      <c r="AW335">
        <f t="shared" ref="AW335" si="2827">BV335-BV334</f>
        <v>32</v>
      </c>
      <c r="AX335">
        <f t="shared" si="2698"/>
        <v>-4</v>
      </c>
      <c r="AY335">
        <f t="shared" ref="AY335" si="2828">CL335-CL334</f>
        <v>335</v>
      </c>
      <c r="AZ335">
        <f t="shared" si="2700"/>
        <v>24</v>
      </c>
      <c r="BA335">
        <f t="shared" ref="BA335" si="2829">CD335-CD334</f>
        <v>19</v>
      </c>
      <c r="BB335">
        <f t="shared" si="2702"/>
        <v>5</v>
      </c>
      <c r="BC335">
        <f t="shared" ref="BC335" si="2830">AX335/AW335</f>
        <v>-0.125</v>
      </c>
      <c r="BD335">
        <f t="shared" ref="BD335" si="2831">AZ335/AY335</f>
        <v>7.1641791044776124E-2</v>
      </c>
      <c r="BE335">
        <f t="shared" si="1929"/>
        <v>0.26315789473684209</v>
      </c>
      <c r="BF335">
        <f t="shared" ref="BF335" si="2832">SUM(AU329:AU335)/SUM(AT329:AT335)</f>
        <v>4.865156214539678E-2</v>
      </c>
      <c r="BG335">
        <f t="shared" ref="BG335" si="2833">SUM(AU322:AU335)/SUM(AT322:AT335)</f>
        <v>4.9428750957432661E-2</v>
      </c>
      <c r="BH335">
        <f t="shared" ref="BH335" si="2834">SUM(AX329:AX335)/SUM(AW329:AW335)</f>
        <v>4.5990566037735846E-2</v>
      </c>
      <c r="BI335">
        <f t="shared" ref="BI335" si="2835">SUM(AZ329:AZ335)/SUM(AY329:AY335)</f>
        <v>3.2399999999999998E-2</v>
      </c>
      <c r="BJ335">
        <f t="shared" ref="BJ335" si="2836">SUM(BB329:BB335)/SUM(BA329:BA335)</f>
        <v>1.5471167369901548E-2</v>
      </c>
      <c r="BK335" s="20">
        <v>7.0000000000000007E-2</v>
      </c>
      <c r="BL335" s="20">
        <v>0.06</v>
      </c>
      <c r="BM335" s="20">
        <v>0.05</v>
      </c>
      <c r="BN335" s="20">
        <v>3840179</v>
      </c>
      <c r="BO335" s="20">
        <v>355547</v>
      </c>
      <c r="BP335" s="20"/>
      <c r="BQ335" s="20"/>
      <c r="BR335" s="20"/>
      <c r="BS335" s="20"/>
      <c r="BT335" s="20">
        <v>1513648</v>
      </c>
      <c r="BU335" s="20">
        <v>329096</v>
      </c>
      <c r="BV335" s="20">
        <v>29912</v>
      </c>
      <c r="BW335" s="20">
        <v>2727</v>
      </c>
      <c r="BX335" s="20"/>
      <c r="BY335" s="20"/>
      <c r="BZ335" s="20"/>
      <c r="CA335" s="20"/>
      <c r="CB335" s="20">
        <v>11114</v>
      </c>
      <c r="CC335" s="20">
        <v>2609</v>
      </c>
      <c r="CD335" s="20">
        <v>23371</v>
      </c>
      <c r="CE335" s="20">
        <v>1643</v>
      </c>
      <c r="CF335" s="20"/>
      <c r="CG335" s="20"/>
      <c r="CH335" s="20"/>
      <c r="CI335" s="20"/>
      <c r="CJ335" s="20">
        <v>6430</v>
      </c>
      <c r="CK335" s="20">
        <v>1562</v>
      </c>
      <c r="CL335" s="20">
        <v>174172</v>
      </c>
      <c r="CM335" s="20">
        <v>16024</v>
      </c>
      <c r="CN335" s="20"/>
      <c r="CO335" s="20"/>
      <c r="CP335" s="20"/>
      <c r="CQ335" s="20"/>
      <c r="CR335" s="20">
        <v>64724</v>
      </c>
      <c r="CS335" s="20">
        <v>14695</v>
      </c>
    </row>
    <row r="336" spans="1:97" x14ac:dyDescent="0.35">
      <c r="A336" s="14">
        <f t="shared" si="2761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837">-(J336-J335)+L336</f>
        <v>5</v>
      </c>
      <c r="N336" s="7">
        <f t="shared" ref="N336" si="2838">B336-C336</f>
        <v>1185628</v>
      </c>
      <c r="O336" s="4">
        <f t="shared" ref="O336" si="2839">C336/B336</f>
        <v>0.2173685165932307</v>
      </c>
      <c r="R336">
        <f t="shared" ref="R336" si="2840">C336-C335</f>
        <v>201</v>
      </c>
      <c r="S336">
        <f t="shared" ref="S336" si="2841">N336-N335</f>
        <v>1076</v>
      </c>
      <c r="T336" s="8">
        <f t="shared" ref="T336" si="2842">R336/V336</f>
        <v>0.15740015661707127</v>
      </c>
      <c r="U336" s="8">
        <f t="shared" ref="U336" si="2843">SUM(R330:R336)/SUM(V330:V336)</f>
        <v>0.23490341225979822</v>
      </c>
      <c r="V336">
        <f t="shared" ref="V336" si="2844">B336-B335</f>
        <v>1277</v>
      </c>
      <c r="W336">
        <f t="shared" ref="W336" si="2845">C336-D336-E336</f>
        <v>21901</v>
      </c>
      <c r="X336" s="3">
        <f t="shared" ref="X336" si="2846">F336/W336</f>
        <v>1.1049723756906077E-2</v>
      </c>
      <c r="Y336">
        <f t="shared" ref="Y336" si="2847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848">Z336-AC336-AF336</f>
        <v>148</v>
      </c>
      <c r="AJ336">
        <f t="shared" ref="AJ336" si="2849">AA336-AD336-AG336</f>
        <v>79</v>
      </c>
      <c r="AK336">
        <f t="shared" ref="AK336:AK337" si="2850">AB336-AE336-AH336</f>
        <v>878</v>
      </c>
      <c r="AL336">
        <v>1</v>
      </c>
      <c r="AM336">
        <v>1</v>
      </c>
      <c r="AN336">
        <v>13</v>
      </c>
      <c r="AT336">
        <f t="shared" ref="AT336" si="2851">BN336-BN335</f>
        <v>4576</v>
      </c>
      <c r="AU336">
        <f t="shared" si="2749"/>
        <v>210</v>
      </c>
      <c r="AV336">
        <f t="shared" ref="AV336" si="2852">AU336/AT336</f>
        <v>4.5891608391608392E-2</v>
      </c>
      <c r="AW336">
        <f t="shared" ref="AW336" si="2853">BV336-BV335</f>
        <v>21</v>
      </c>
      <c r="AX336">
        <f t="shared" si="2698"/>
        <v>2</v>
      </c>
      <c r="AY336">
        <f t="shared" ref="AY336" si="2854">CL336-CL335</f>
        <v>256</v>
      </c>
      <c r="AZ336">
        <f t="shared" si="2700"/>
        <v>3</v>
      </c>
      <c r="BA336">
        <f t="shared" ref="BA336" si="2855">CD336-CD335</f>
        <v>26</v>
      </c>
      <c r="BB336">
        <f t="shared" si="2702"/>
        <v>0</v>
      </c>
      <c r="BC336">
        <f t="shared" ref="BC336" si="2856">AX336/AW336</f>
        <v>9.5238095238095233E-2</v>
      </c>
      <c r="BD336">
        <f t="shared" ref="BD336" si="2857">AZ336/AY336</f>
        <v>1.171875E-2</v>
      </c>
      <c r="BE336">
        <f t="shared" si="1929"/>
        <v>0</v>
      </c>
      <c r="BF336">
        <f t="shared" ref="BF336" si="2858">SUM(AU330:AU336)/SUM(AT330:AT336)</f>
        <v>4.821323515457461E-2</v>
      </c>
      <c r="BG336">
        <f t="shared" ref="BG336" si="2859">SUM(AU323:AU336)/SUM(AT323:AT336)</f>
        <v>4.9375712038817937E-2</v>
      </c>
      <c r="BH336">
        <f t="shared" ref="BH336" si="2860">SUM(AX330:AX336)/SUM(AW330:AW336)</f>
        <v>4.7281323877068557E-2</v>
      </c>
      <c r="BI336">
        <f t="shared" ref="BI336" si="2861">SUM(AZ330:AZ336)/SUM(AY330:AY336)</f>
        <v>3.2437810945273635E-2</v>
      </c>
      <c r="BJ336">
        <f t="shared" ref="BJ336" si="2862">SUM(BB330:BB336)/SUM(BA330:BA336)</f>
        <v>1.5384615384615385E-2</v>
      </c>
      <c r="BK336" s="20">
        <v>7.0000000000000007E-2</v>
      </c>
      <c r="BL336" s="20">
        <v>0.06</v>
      </c>
      <c r="BM336" s="20">
        <v>0.05</v>
      </c>
      <c r="BN336" s="20">
        <v>3844755</v>
      </c>
      <c r="BO336" s="20">
        <v>355757</v>
      </c>
      <c r="BP336" s="20"/>
      <c r="BQ336" s="20"/>
      <c r="BR336" s="20"/>
      <c r="BS336" s="20"/>
      <c r="BT336" s="20">
        <v>1514925</v>
      </c>
      <c r="BU336" s="20">
        <v>329297</v>
      </c>
      <c r="BV336" s="20">
        <v>29933</v>
      </c>
      <c r="BW336" s="20">
        <v>2729</v>
      </c>
      <c r="BX336" s="20"/>
      <c r="BY336" s="20"/>
      <c r="BZ336" s="20"/>
      <c r="CA336" s="20"/>
      <c r="CB336" s="20">
        <v>11117</v>
      </c>
      <c r="CC336" s="20">
        <v>2610</v>
      </c>
      <c r="CD336" s="20">
        <v>23397</v>
      </c>
      <c r="CE336" s="20">
        <v>1643</v>
      </c>
      <c r="CF336" s="20"/>
      <c r="CG336" s="20"/>
      <c r="CH336" s="20"/>
      <c r="CI336" s="20"/>
      <c r="CJ336" s="20">
        <v>6434</v>
      </c>
      <c r="CK336" s="20">
        <v>1562</v>
      </c>
      <c r="CL336" s="20">
        <v>174428</v>
      </c>
      <c r="CM336" s="20">
        <v>16027</v>
      </c>
      <c r="CN336" s="20"/>
      <c r="CO336" s="20"/>
      <c r="CP336" s="20"/>
      <c r="CQ336" s="20"/>
      <c r="CR336" s="20">
        <v>64763</v>
      </c>
      <c r="CS336" s="20">
        <v>14698</v>
      </c>
    </row>
    <row r="337" spans="1:97" x14ac:dyDescent="0.35">
      <c r="A337" s="14">
        <f t="shared" si="2761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863">-(J337-J336)+L337</f>
        <v>-2</v>
      </c>
      <c r="N337" s="7">
        <f t="shared" ref="N337" si="2864">B337-C337</f>
        <v>1195424</v>
      </c>
      <c r="O337" s="4">
        <f t="shared" ref="O337" si="2865">C337/B337</f>
        <v>0.21623464495893083</v>
      </c>
      <c r="R337">
        <f t="shared" ref="R337" si="2866">C337-C336</f>
        <v>511</v>
      </c>
      <c r="S337">
        <f t="shared" ref="S337" si="2867">N337-N336</f>
        <v>9796</v>
      </c>
      <c r="T337" s="8">
        <f t="shared" ref="T337" si="2868">R337/V337</f>
        <v>4.9577956728436984E-2</v>
      </c>
      <c r="U337" s="8">
        <f t="shared" ref="U337" si="2869">SUM(R331:R337)/SUM(V331:V337)</f>
        <v>0.16347607981999926</v>
      </c>
      <c r="V337">
        <f t="shared" ref="V337" si="2870">B337-B336</f>
        <v>10307</v>
      </c>
      <c r="W337">
        <f t="shared" ref="W337" si="2871">C337-D337-E337</f>
        <v>20857</v>
      </c>
      <c r="X337" s="3">
        <f t="shared" ref="X337" si="2872">F337/W337</f>
        <v>1.222611113774752E-2</v>
      </c>
      <c r="Y337">
        <f t="shared" ref="Y337" si="2873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874">Z337-AC337-AF337</f>
        <v>146</v>
      </c>
      <c r="AJ337">
        <f t="shared" ref="AJ337" si="2875">AA337-AD337-AG337</f>
        <v>71</v>
      </c>
      <c r="AK337">
        <f t="shared" si="2850"/>
        <v>837</v>
      </c>
      <c r="AL337">
        <v>1</v>
      </c>
      <c r="AM337">
        <v>1</v>
      </c>
      <c r="AN337">
        <v>13</v>
      </c>
      <c r="AT337">
        <f t="shared" ref="AT337" si="2876">BN337-BN336</f>
        <v>35297</v>
      </c>
      <c r="AU337">
        <f t="shared" si="2749"/>
        <v>563</v>
      </c>
      <c r="AV337">
        <f t="shared" ref="AV337" si="2877">AU337/AT337</f>
        <v>1.5950364053602291E-2</v>
      </c>
      <c r="AW337">
        <f t="shared" ref="AW337" si="2878">BV337-BV336</f>
        <v>287</v>
      </c>
      <c r="AX337">
        <f t="shared" si="2698"/>
        <v>5</v>
      </c>
      <c r="AY337">
        <f t="shared" ref="AY337" si="2879">CL337-CL336</f>
        <v>1776</v>
      </c>
      <c r="AZ337">
        <f t="shared" si="2700"/>
        <v>15</v>
      </c>
      <c r="BA337">
        <f t="shared" ref="BA337" si="2880">CD337-CD336</f>
        <v>339</v>
      </c>
      <c r="BB337">
        <f t="shared" si="2702"/>
        <v>1</v>
      </c>
      <c r="BC337">
        <f t="shared" ref="BC337" si="2881">AX337/AW337</f>
        <v>1.7421602787456445E-2</v>
      </c>
      <c r="BD337">
        <f t="shared" ref="BD337" si="2882">AZ337/AY337</f>
        <v>8.4459459459459464E-3</v>
      </c>
      <c r="BE337">
        <f t="shared" si="1929"/>
        <v>2.9498525073746312E-3</v>
      </c>
      <c r="BF337">
        <f t="shared" ref="BF337" si="2883">SUM(AU331:AU337)/SUM(AT331:AT337)</f>
        <v>3.9928300087158149E-2</v>
      </c>
      <c r="BG337">
        <f t="shared" ref="BG337" si="2884">SUM(AU324:AU337)/SUM(AT324:AT337)</f>
        <v>4.4588684724550999E-2</v>
      </c>
      <c r="BH337">
        <f t="shared" ref="BH337" si="2885">SUM(AX331:AX337)/SUM(AW331:AW337)</f>
        <v>3.5069075451647183E-2</v>
      </c>
      <c r="BI337">
        <f t="shared" ref="BI337" si="2886">SUM(AZ331:AZ337)/SUM(AY331:AY337)</f>
        <v>2.8272251308900525E-2</v>
      </c>
      <c r="BJ337">
        <f t="shared" ref="BJ337:BJ342" si="2887">SUM(BB331:BB337)/SUM(BA331:BA337)</f>
        <v>1.1098779134295227E-2</v>
      </c>
      <c r="BK337" s="20">
        <v>7.0000000000000007E-2</v>
      </c>
      <c r="BL337" s="20">
        <v>0.06</v>
      </c>
      <c r="BM337" s="20">
        <v>0.03</v>
      </c>
      <c r="BN337" s="20">
        <v>3880052</v>
      </c>
      <c r="BO337" s="20">
        <v>356320</v>
      </c>
      <c r="BP337" s="20"/>
      <c r="BQ337" s="20"/>
      <c r="BR337" s="20"/>
      <c r="BS337" s="20"/>
      <c r="BT337" s="20">
        <v>1525232</v>
      </c>
      <c r="BU337" s="20">
        <v>329808</v>
      </c>
      <c r="BV337" s="20">
        <v>30220</v>
      </c>
      <c r="BW337" s="20">
        <v>2734</v>
      </c>
      <c r="BX337" s="20"/>
      <c r="BY337" s="20"/>
      <c r="BZ337" s="20"/>
      <c r="CA337" s="20"/>
      <c r="CB337" s="20">
        <v>11179</v>
      </c>
      <c r="CC337" s="20">
        <v>2616</v>
      </c>
      <c r="CD337" s="20">
        <v>23736</v>
      </c>
      <c r="CE337" s="20">
        <v>1644</v>
      </c>
      <c r="CF337" s="20"/>
      <c r="CG337" s="20"/>
      <c r="CH337" s="20"/>
      <c r="CI337" s="20"/>
      <c r="CJ337" s="20">
        <v>6475</v>
      </c>
      <c r="CK337" s="20">
        <v>1563</v>
      </c>
      <c r="CL337" s="20">
        <v>176204</v>
      </c>
      <c r="CM337" s="20">
        <v>16042</v>
      </c>
      <c r="CN337" s="20"/>
      <c r="CO337" s="20"/>
      <c r="CP337" s="20"/>
      <c r="CQ337" s="20"/>
      <c r="CR337" s="20">
        <v>65075</v>
      </c>
      <c r="CS337" s="20">
        <v>14710</v>
      </c>
    </row>
    <row r="338" spans="1:97" x14ac:dyDescent="0.35">
      <c r="A338" s="14">
        <f t="shared" si="2761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888">-(J338-J337)+L338</f>
        <v>21</v>
      </c>
      <c r="N338" s="7">
        <f t="shared" ref="N338" si="2889">B338-C338</f>
        <v>1198211</v>
      </c>
      <c r="O338" s="4">
        <f t="shared" ref="O338" si="2890">C338/B338</f>
        <v>0.21615932059914655</v>
      </c>
      <c r="R338">
        <f t="shared" ref="R338" si="2891">C338-C337</f>
        <v>622</v>
      </c>
      <c r="S338">
        <f t="shared" ref="S338" si="2892">N338-N337</f>
        <v>2787</v>
      </c>
      <c r="T338" s="8">
        <f t="shared" ref="T338" si="2893">R338/V338</f>
        <v>0.1824581988853036</v>
      </c>
      <c r="U338" s="8">
        <f t="shared" ref="U338" si="2894">SUM(R332:R338)/SUM(V332:V338)</f>
        <v>0.14954941535711627</v>
      </c>
      <c r="V338">
        <f t="shared" ref="V338" si="2895">B338-B337</f>
        <v>3409</v>
      </c>
      <c r="W338">
        <f t="shared" ref="W338" si="2896">C338-D338-E338</f>
        <v>19898</v>
      </c>
      <c r="X338" s="3">
        <f t="shared" ref="X338" si="2897">F338/W338</f>
        <v>1.1810232184139109E-2</v>
      </c>
      <c r="Y338">
        <f t="shared" ref="Y338" si="2898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899">Z338-AC338-AF338</f>
        <v>143</v>
      </c>
      <c r="AJ338">
        <f t="shared" ref="AJ338" si="2900">AA338-AD338-AG338</f>
        <v>65</v>
      </c>
      <c r="AK338">
        <f t="shared" ref="AK338" si="2901">AB338-AE338-AH338</f>
        <v>773</v>
      </c>
      <c r="AL338">
        <v>1</v>
      </c>
      <c r="AM338">
        <v>1</v>
      </c>
      <c r="AN338">
        <v>19</v>
      </c>
      <c r="AT338">
        <f t="shared" ref="AT338" si="2902">BN338-BN337</f>
        <v>18313</v>
      </c>
      <c r="AU338">
        <f t="shared" si="2749"/>
        <v>707</v>
      </c>
      <c r="AV338">
        <f t="shared" ref="AV338" si="2903">AU338/AT338</f>
        <v>3.8606454431278324E-2</v>
      </c>
      <c r="AW338">
        <f t="shared" ref="AW338" si="2904">BV338-BV337</f>
        <v>176</v>
      </c>
      <c r="AX338">
        <f t="shared" si="2698"/>
        <v>7</v>
      </c>
      <c r="AY338">
        <f t="shared" ref="AY338" si="2905">CL338-CL337</f>
        <v>1058</v>
      </c>
      <c r="AZ338">
        <f t="shared" si="2700"/>
        <v>18</v>
      </c>
      <c r="BA338">
        <f t="shared" ref="BA338" si="2906">CD338-CD337</f>
        <v>198</v>
      </c>
      <c r="BB338">
        <f t="shared" si="2702"/>
        <v>4</v>
      </c>
      <c r="BC338">
        <f t="shared" ref="BC338" si="2907">AX338/AW338</f>
        <v>3.9772727272727272E-2</v>
      </c>
      <c r="BD338">
        <f t="shared" ref="BD338" si="2908">AZ338/AY338</f>
        <v>1.7013232514177693E-2</v>
      </c>
      <c r="BE338">
        <f t="shared" si="1929"/>
        <v>2.0202020202020204E-2</v>
      </c>
      <c r="BF338">
        <f t="shared" ref="BF338" si="2909">SUM(AU332:AU338)/SUM(AT332:AT338)</f>
        <v>3.6931320263401686E-2</v>
      </c>
      <c r="BG338">
        <f t="shared" ref="BG338" si="2910">SUM(AU325:AU338)/SUM(AT325:AT338)</f>
        <v>4.2737481316191782E-2</v>
      </c>
      <c r="BH338">
        <f t="shared" ref="BH338" si="2911">SUM(AX332:AX338)/SUM(AW332:AW338)</f>
        <v>3.0097087378640777E-2</v>
      </c>
      <c r="BI338">
        <f t="shared" ref="BI338" si="2912">SUM(AZ332:AZ338)/SUM(AY332:AY338)</f>
        <v>2.442827442827443E-2</v>
      </c>
      <c r="BJ338">
        <f t="shared" si="2887"/>
        <v>1.0438413361169102E-2</v>
      </c>
      <c r="BK338" s="20">
        <v>7.0000000000000007E-2</v>
      </c>
      <c r="BL338" s="20">
        <v>0.05</v>
      </c>
      <c r="BM338" s="20">
        <v>0.03</v>
      </c>
      <c r="BN338" s="20">
        <v>3898365</v>
      </c>
      <c r="BO338" s="20">
        <v>357027</v>
      </c>
      <c r="BP338" s="20"/>
      <c r="BQ338" s="20"/>
      <c r="BR338" s="20"/>
      <c r="BS338" s="20"/>
      <c r="BT338" s="20">
        <v>1528641</v>
      </c>
      <c r="BU338" s="20">
        <v>330430</v>
      </c>
      <c r="BV338" s="20">
        <v>30396</v>
      </c>
      <c r="BW338" s="20">
        <v>2741</v>
      </c>
      <c r="BX338" s="20"/>
      <c r="BY338" s="20"/>
      <c r="BZ338" s="20"/>
      <c r="CA338" s="20"/>
      <c r="CB338" s="20">
        <v>11216</v>
      </c>
      <c r="CC338" s="20">
        <v>2622</v>
      </c>
      <c r="CD338" s="20">
        <v>23934</v>
      </c>
      <c r="CE338" s="20">
        <v>1648</v>
      </c>
      <c r="CF338" s="20"/>
      <c r="CG338" s="20"/>
      <c r="CH338" s="20"/>
      <c r="CI338" s="20"/>
      <c r="CJ338" s="20">
        <v>6513</v>
      </c>
      <c r="CK338" s="20">
        <v>1565</v>
      </c>
      <c r="CL338" s="20">
        <v>177262</v>
      </c>
      <c r="CM338" s="20">
        <v>16060</v>
      </c>
      <c r="CN338" s="20"/>
      <c r="CO338" s="20"/>
      <c r="CP338" s="20"/>
      <c r="CQ338" s="20"/>
      <c r="CR338" s="20">
        <v>65233</v>
      </c>
      <c r="CS338" s="20">
        <v>14722</v>
      </c>
    </row>
    <row r="339" spans="1:97" x14ac:dyDescent="0.35">
      <c r="A339" s="14">
        <f t="shared" si="2761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13">-(J339-J338)+L339</f>
        <v>15</v>
      </c>
      <c r="N339" s="7">
        <f t="shared" ref="N339" si="2914">B339-C339</f>
        <v>1200559</v>
      </c>
      <c r="O339" s="4">
        <f t="shared" ref="O339" si="2915">C339/B339</f>
        <v>0.21613807827787371</v>
      </c>
      <c r="R339">
        <f t="shared" ref="R339" si="2916">C339-C338</f>
        <v>606</v>
      </c>
      <c r="S339">
        <f t="shared" ref="S339" si="2917">N339-N338</f>
        <v>2348</v>
      </c>
      <c r="T339" s="8">
        <f t="shared" ref="T339" si="2918">R339/V339</f>
        <v>0.20514556533513881</v>
      </c>
      <c r="U339" s="8">
        <f t="shared" ref="U339" si="2919">SUM(R333:R339)/SUM(V333:V339)</f>
        <v>0.14495363629396887</v>
      </c>
      <c r="V339">
        <f t="shared" ref="V339" si="2920">B339-B338</f>
        <v>2954</v>
      </c>
      <c r="W339">
        <f t="shared" ref="W339" si="2921">C339-D339-E339</f>
        <v>19356</v>
      </c>
      <c r="X339" s="3">
        <f t="shared" ref="X339" si="2922">F339/W339</f>
        <v>1.3019218846869188E-2</v>
      </c>
      <c r="Y339">
        <f t="shared" ref="Y339" si="2923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24">Z339-AC339-AF339</f>
        <v>137</v>
      </c>
      <c r="AJ339">
        <f t="shared" ref="AJ339" si="2925">AA339-AD339-AG339</f>
        <v>67</v>
      </c>
      <c r="AK339">
        <f t="shared" ref="AK339" si="2926">AB339-AE339-AH339</f>
        <v>726</v>
      </c>
      <c r="AL339">
        <v>2</v>
      </c>
      <c r="AM339">
        <v>2</v>
      </c>
      <c r="AN339">
        <v>13</v>
      </c>
      <c r="AT339">
        <f t="shared" ref="AT339" si="2927">BN339-BN338</f>
        <v>15624</v>
      </c>
      <c r="AU339">
        <f t="shared" si="2749"/>
        <v>700</v>
      </c>
      <c r="AV339">
        <f t="shared" ref="AV339" si="2928">AU339/AT339</f>
        <v>4.4802867383512544E-2</v>
      </c>
      <c r="AW339">
        <f t="shared" ref="AW339" si="2929">BV339-BV338</f>
        <v>194</v>
      </c>
      <c r="AX339">
        <f t="shared" si="2698"/>
        <v>7</v>
      </c>
      <c r="AY339">
        <f t="shared" ref="AY339" si="2930">CL339-CL338</f>
        <v>638</v>
      </c>
      <c r="AZ339">
        <f t="shared" si="2700"/>
        <v>7</v>
      </c>
      <c r="BA339">
        <f t="shared" ref="BA339" si="2931">CD339-CD338</f>
        <v>105</v>
      </c>
      <c r="BB339">
        <f t="shared" si="2702"/>
        <v>4</v>
      </c>
      <c r="BC339">
        <f t="shared" ref="BC339" si="2932">AX339/AW339</f>
        <v>3.608247422680412E-2</v>
      </c>
      <c r="BD339">
        <f t="shared" ref="BD339" si="2933">AZ339/AY339</f>
        <v>1.0971786833855799E-2</v>
      </c>
      <c r="BE339">
        <f t="shared" si="1929"/>
        <v>3.8095238095238099E-2</v>
      </c>
      <c r="BF339">
        <f t="shared" ref="BF339" si="2934">SUM(AU333:AU339)/SUM(AT333:AT339)</f>
        <v>3.6086807342597359E-2</v>
      </c>
      <c r="BG339">
        <f t="shared" ref="BG339" si="2935">SUM(AU326:AU339)/SUM(AT326:AT339)</f>
        <v>4.1926110419261108E-2</v>
      </c>
      <c r="BH339">
        <f t="shared" ref="BH339" si="2936">SUM(AX333:AX339)/SUM(AW333:AW339)</f>
        <v>2.7522935779816515E-2</v>
      </c>
      <c r="BI339">
        <f t="shared" ref="BI339" si="2937">SUM(AZ333:AZ339)/SUM(AY333:AY339)</f>
        <v>2.1126760563380281E-2</v>
      </c>
      <c r="BJ339">
        <f t="shared" si="2887"/>
        <v>1.5772870662460567E-2</v>
      </c>
      <c r="BK339" s="20">
        <v>7.0000000000000007E-2</v>
      </c>
      <c r="BL339" s="20">
        <v>0.05</v>
      </c>
      <c r="BM339" s="20">
        <v>0.04</v>
      </c>
      <c r="BN339" s="20">
        <v>3913989</v>
      </c>
      <c r="BO339" s="20">
        <v>357727</v>
      </c>
      <c r="BP339" s="20"/>
      <c r="BQ339" s="20"/>
      <c r="BR339" s="20"/>
      <c r="BS339" s="20"/>
      <c r="BT339" s="20">
        <v>1531595</v>
      </c>
      <c r="BU339" s="20">
        <v>331036</v>
      </c>
      <c r="BV339" s="20">
        <v>30590</v>
      </c>
      <c r="BW339" s="20">
        <v>2748</v>
      </c>
      <c r="BX339" s="20"/>
      <c r="BY339" s="20"/>
      <c r="BZ339" s="20"/>
      <c r="CA339" s="20"/>
      <c r="CB339" s="20">
        <v>11241</v>
      </c>
      <c r="CC339" s="20">
        <v>2628</v>
      </c>
      <c r="CD339" s="20">
        <v>24039</v>
      </c>
      <c r="CE339" s="20">
        <v>1652</v>
      </c>
      <c r="CF339" s="20"/>
      <c r="CG339" s="20"/>
      <c r="CH339" s="20"/>
      <c r="CI339" s="20"/>
      <c r="CJ339" s="20">
        <v>6537</v>
      </c>
      <c r="CK339" s="20">
        <v>1570</v>
      </c>
      <c r="CL339" s="20">
        <v>177900</v>
      </c>
      <c r="CM339" s="20">
        <v>16067</v>
      </c>
      <c r="CN339" s="20"/>
      <c r="CO339" s="20"/>
      <c r="CP339" s="20"/>
      <c r="CQ339" s="20"/>
      <c r="CR339" s="20">
        <v>65335</v>
      </c>
      <c r="CS339" s="20">
        <v>14733</v>
      </c>
    </row>
    <row r="340" spans="1:97" x14ac:dyDescent="0.35">
      <c r="A340" s="14">
        <f t="shared" si="2761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938">-(J340-J339)+L340</f>
        <v>13</v>
      </c>
      <c r="N340" s="7">
        <f t="shared" ref="N340" si="2939">B340-C340</f>
        <v>1202751</v>
      </c>
      <c r="O340" s="4">
        <f t="shared" ref="O340" si="2940">C340/B340</f>
        <v>0.21612918362798117</v>
      </c>
      <c r="R340">
        <f t="shared" ref="R340" si="2941">C340-C339</f>
        <v>587</v>
      </c>
      <c r="S340">
        <f t="shared" ref="S340" si="2942">N340-N339</f>
        <v>2192</v>
      </c>
      <c r="T340" s="8">
        <f t="shared" ref="T340" si="2943">R340/V340</f>
        <v>0.21122706009355882</v>
      </c>
      <c r="U340" s="8">
        <f t="shared" ref="U340" si="2944">SUM(R334:R340)/SUM(V334:V340)</f>
        <v>0.14241461788809159</v>
      </c>
      <c r="V340">
        <f t="shared" ref="V340" si="2945">B340-B339</f>
        <v>2779</v>
      </c>
      <c r="W340">
        <f t="shared" ref="W340" si="2946">C340-D340-E340</f>
        <v>18706</v>
      </c>
      <c r="X340" s="3">
        <f t="shared" ref="X340" si="2947">F340/W340</f>
        <v>1.2883566770020314E-2</v>
      </c>
      <c r="Y340">
        <f t="shared" ref="Y340" si="2948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949">Z340-AC340-AF340</f>
        <v>133</v>
      </c>
      <c r="AJ340">
        <f t="shared" ref="AJ340" si="2950">AA340-AD340-AG340</f>
        <v>57</v>
      </c>
      <c r="AK340">
        <f t="shared" ref="AK340" si="2951">AB340-AE340-AH340</f>
        <v>682</v>
      </c>
      <c r="AL340">
        <v>1</v>
      </c>
      <c r="AM340">
        <v>1</v>
      </c>
      <c r="AN340">
        <v>11</v>
      </c>
      <c r="AT340">
        <f t="shared" ref="AT340" si="2952">BN340-BN339</f>
        <v>18154</v>
      </c>
      <c r="AU340">
        <f t="shared" si="2749"/>
        <v>624</v>
      </c>
      <c r="AV340">
        <f t="shared" ref="AV340" si="2953">AU340/AT340</f>
        <v>3.4372590062796075E-2</v>
      </c>
      <c r="AW340">
        <f t="shared" ref="AW340" si="2954">BV340-BV339</f>
        <v>168</v>
      </c>
      <c r="AX340">
        <f t="shared" si="2698"/>
        <v>2</v>
      </c>
      <c r="AY340">
        <f t="shared" ref="AY340" si="2955">CL340-CL339</f>
        <v>629</v>
      </c>
      <c r="AZ340">
        <f t="shared" si="2700"/>
        <v>20</v>
      </c>
      <c r="BA340">
        <f t="shared" ref="BA340" si="2956">CD340-CD339</f>
        <v>106</v>
      </c>
      <c r="BB340">
        <f t="shared" si="2702"/>
        <v>-2</v>
      </c>
      <c r="BC340">
        <f t="shared" ref="BC340" si="2957">AX340/AW340</f>
        <v>1.1904761904761904E-2</v>
      </c>
      <c r="BD340">
        <f t="shared" ref="BD340" si="2958">AZ340/AY340</f>
        <v>3.1796502384737677E-2</v>
      </c>
      <c r="BE340">
        <f t="shared" si="1929"/>
        <v>-1.8867924528301886E-2</v>
      </c>
      <c r="BF340">
        <f t="shared" ref="BF340" si="2959">SUM(AU334:AU340)/SUM(AT334:AT340)</f>
        <v>3.5057526491888633E-2</v>
      </c>
      <c r="BG340">
        <f t="shared" ref="BG340" si="2960">SUM(AU327:AU340)/SUM(AT327:AT340)</f>
        <v>4.1091212968038172E-2</v>
      </c>
      <c r="BH340">
        <f t="shared" ref="BH340" si="2961">SUM(AX334:AX340)/SUM(AW334:AW340)</f>
        <v>3.0769230769230771E-2</v>
      </c>
      <c r="BI340">
        <f t="shared" ref="BI340" si="2962">SUM(AZ334:AZ340)/SUM(AY334:AY340)</f>
        <v>1.9410496046010063E-2</v>
      </c>
      <c r="BJ340">
        <f t="shared" si="2887"/>
        <v>8.8300220750551876E-3</v>
      </c>
      <c r="BK340" s="20">
        <v>0.06</v>
      </c>
      <c r="BL340" s="20">
        <v>0.05</v>
      </c>
      <c r="BM340" s="20">
        <v>0.03</v>
      </c>
      <c r="BN340" s="20">
        <v>3932143</v>
      </c>
      <c r="BO340" s="20">
        <v>358351</v>
      </c>
      <c r="BP340" s="20"/>
      <c r="BQ340" s="20"/>
      <c r="BR340" s="20"/>
      <c r="BS340" s="20"/>
      <c r="BT340" s="20">
        <v>1534374</v>
      </c>
      <c r="BU340" s="20">
        <v>331623</v>
      </c>
      <c r="BV340" s="20">
        <v>30758</v>
      </c>
      <c r="BW340" s="20">
        <v>2750</v>
      </c>
      <c r="BX340" s="20"/>
      <c r="BY340" s="20"/>
      <c r="BZ340" s="20"/>
      <c r="CA340" s="20"/>
      <c r="CB340" s="20">
        <v>11255</v>
      </c>
      <c r="CC340" s="20">
        <v>2629</v>
      </c>
      <c r="CD340" s="20">
        <v>24145</v>
      </c>
      <c r="CE340" s="20">
        <v>1650</v>
      </c>
      <c r="CF340" s="20"/>
      <c r="CG340" s="20"/>
      <c r="CH340" s="20"/>
      <c r="CI340" s="20"/>
      <c r="CJ340" s="20">
        <v>6545</v>
      </c>
      <c r="CK340" s="20">
        <v>1570</v>
      </c>
      <c r="CL340" s="20">
        <v>178529</v>
      </c>
      <c r="CM340" s="20">
        <v>16087</v>
      </c>
      <c r="CN340" s="20"/>
      <c r="CO340" s="20"/>
      <c r="CP340" s="20"/>
      <c r="CQ340" s="20"/>
      <c r="CR340" s="20">
        <v>65405</v>
      </c>
      <c r="CS340" s="20">
        <v>14753</v>
      </c>
    </row>
    <row r="341" spans="1:97" x14ac:dyDescent="0.35">
      <c r="A341" s="14">
        <f t="shared" si="2761"/>
        <v>44247</v>
      </c>
      <c r="B341" s="9">
        <f t="shared" ref="B341:B372" si="2963">BT341</f>
        <v>1536509</v>
      </c>
      <c r="C341">
        <f t="shared" ref="C341:C346" si="2964">BU341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965">-(J341-J340)+L341</f>
        <v>4</v>
      </c>
      <c r="N341" s="7">
        <f t="shared" ref="N341" si="2966">B341-C341</f>
        <v>1204326</v>
      </c>
      <c r="O341" s="4">
        <f t="shared" ref="O341" si="2967">C341/B341</f>
        <v>0.21619333176701211</v>
      </c>
      <c r="R341">
        <f t="shared" ref="R341" si="2968">C341-C340</f>
        <v>560</v>
      </c>
      <c r="S341">
        <f t="shared" ref="S341" si="2969">N341-N340</f>
        <v>1575</v>
      </c>
      <c r="T341" s="8">
        <f t="shared" ref="T341" si="2970">R341/V341</f>
        <v>0.26229508196721313</v>
      </c>
      <c r="U341" s="8">
        <f t="shared" ref="U341" si="2971">SUM(R335:R341)/SUM(V335:V341)</f>
        <v>0.14256955348874661</v>
      </c>
      <c r="V341">
        <f t="shared" ref="V341" si="2972">B341-B340</f>
        <v>2135</v>
      </c>
      <c r="W341">
        <f t="shared" ref="W341" si="2973">C341-D341-E341</f>
        <v>18133</v>
      </c>
      <c r="X341" s="3">
        <f t="shared" ref="X341" si="2974">F341/W341</f>
        <v>1.3125241272817514E-2</v>
      </c>
      <c r="Y341">
        <f t="shared" ref="Y341" si="297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976">Z341-AC341-AF341</f>
        <v>127</v>
      </c>
      <c r="AJ341">
        <f t="shared" ref="AJ341" si="2977">AA341-AD341-AG341</f>
        <v>51</v>
      </c>
      <c r="AK341">
        <f t="shared" ref="AK341" si="2978">AB341-AE341-AH341</f>
        <v>649</v>
      </c>
      <c r="AL341">
        <v>1</v>
      </c>
      <c r="AM341">
        <v>1</v>
      </c>
      <c r="AN341">
        <v>11</v>
      </c>
      <c r="AT341">
        <f t="shared" ref="AT341" si="2979">BN341-BN340</f>
        <v>14288</v>
      </c>
      <c r="AU341">
        <f t="shared" si="2749"/>
        <v>598</v>
      </c>
      <c r="AV341">
        <f t="shared" ref="AV341" si="2980">AU341/AT341</f>
        <v>4.1853303471444572E-2</v>
      </c>
      <c r="AW341">
        <f t="shared" ref="AW341" si="2981">BV341-BV340</f>
        <v>111</v>
      </c>
      <c r="AX341">
        <f t="shared" si="2698"/>
        <v>0</v>
      </c>
      <c r="AY341">
        <f t="shared" ref="AY341" si="2982">CL341-CL340</f>
        <v>651</v>
      </c>
      <c r="AZ341">
        <f t="shared" si="2700"/>
        <v>19</v>
      </c>
      <c r="BA341">
        <f t="shared" ref="BA341" si="2983">CD341-CD340</f>
        <v>140</v>
      </c>
      <c r="BB341">
        <f t="shared" si="2702"/>
        <v>4</v>
      </c>
      <c r="BC341">
        <f t="shared" ref="BC341" si="2984">AX341/AW341</f>
        <v>0</v>
      </c>
      <c r="BD341">
        <f t="shared" ref="BD341" si="2985">AZ341/AY341</f>
        <v>2.9185867895545316E-2</v>
      </c>
      <c r="BE341">
        <f t="shared" si="1929"/>
        <v>2.8571428571428571E-2</v>
      </c>
      <c r="BF341">
        <f t="shared" ref="BF341" si="2986">SUM(AU335:AU341)/SUM(AT335:AT341)</f>
        <v>3.4637992576938788E-2</v>
      </c>
      <c r="BG341">
        <f t="shared" ref="BG341" si="2987">SUM(AU328:AU341)/SUM(AT328:AT341)</f>
        <v>4.1522601254163148E-2</v>
      </c>
      <c r="BH341">
        <f t="shared" ref="BH341" si="2988">SUM(AX335:AX341)/SUM(AW335:AW341)</f>
        <v>1.9211324570273004E-2</v>
      </c>
      <c r="BI341">
        <f t="shared" ref="BI341" si="2989">SUM(AZ335:AZ341)/SUM(AY335:AY341)</f>
        <v>1.9839041736851956E-2</v>
      </c>
      <c r="BJ341">
        <f t="shared" si="2887"/>
        <v>1.7148981779206859E-2</v>
      </c>
      <c r="BN341" s="20">
        <v>3946431</v>
      </c>
      <c r="BO341" s="20">
        <v>358949</v>
      </c>
      <c r="BP341" s="20">
        <v>1300793</v>
      </c>
      <c r="BQ341" s="20">
        <v>235716</v>
      </c>
      <c r="BR341" s="20">
        <v>276947</v>
      </c>
      <c r="BS341" s="20">
        <v>55236</v>
      </c>
      <c r="BT341" s="21">
        <f t="shared" ref="BT341:BT372" si="2990">SUM(BP341:BQ341)</f>
        <v>1536509</v>
      </c>
      <c r="BU341" s="21">
        <f t="shared" ref="BU341:BU479" si="2991">SUM(BR341:BS341)</f>
        <v>332183</v>
      </c>
      <c r="BV341" s="20">
        <v>30869</v>
      </c>
      <c r="BW341" s="20">
        <v>2750</v>
      </c>
      <c r="BX341" s="20">
        <v>8750</v>
      </c>
      <c r="BY341" s="20">
        <v>2530</v>
      </c>
      <c r="BZ341" s="20">
        <v>2039</v>
      </c>
      <c r="CA341" s="20">
        <v>590</v>
      </c>
      <c r="CB341" s="21">
        <f t="shared" ref="CB341:CB372" si="2992">SUM(BX341:BY341)</f>
        <v>11280</v>
      </c>
      <c r="CC341" s="21">
        <f t="shared" ref="CC341:CC479" si="2993">SUM(BZ341:CA341)</f>
        <v>2629</v>
      </c>
      <c r="CD341" s="20">
        <v>24285</v>
      </c>
      <c r="CE341" s="20">
        <v>1654</v>
      </c>
      <c r="CF341" s="20">
        <v>4923</v>
      </c>
      <c r="CG341" s="20">
        <v>1634</v>
      </c>
      <c r="CH341" s="20">
        <v>1133</v>
      </c>
      <c r="CI341" s="20">
        <v>437</v>
      </c>
      <c r="CJ341" s="21">
        <f t="shared" ref="CJ341:CJ372" si="2994">SUM(CF341:CG341)</f>
        <v>6557</v>
      </c>
      <c r="CK341" s="21">
        <f t="shared" ref="CK341:CK479" si="2995">SUM(CH341:CI341)</f>
        <v>1570</v>
      </c>
      <c r="CL341" s="20">
        <v>179180</v>
      </c>
      <c r="CM341" s="20">
        <v>16106</v>
      </c>
      <c r="CN341" s="20">
        <v>60928</v>
      </c>
      <c r="CO341" s="20">
        <v>4581</v>
      </c>
      <c r="CP341" s="20">
        <v>14013</v>
      </c>
      <c r="CQ341" s="20">
        <v>755</v>
      </c>
      <c r="CR341" s="21">
        <f t="shared" ref="CR341:CR372" si="2996">SUM(CN341:CO341)</f>
        <v>65509</v>
      </c>
      <c r="CS341" s="21">
        <f t="shared" ref="CS341:CS411" si="2997">SUM(CP341:CQ341)</f>
        <v>14768</v>
      </c>
    </row>
    <row r="342" spans="1:97" x14ac:dyDescent="0.35">
      <c r="A342" s="14">
        <f t="shared" si="2761"/>
        <v>44248</v>
      </c>
      <c r="B342" s="9">
        <f t="shared" si="2963"/>
        <v>1538466</v>
      </c>
      <c r="C342">
        <f t="shared" si="296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998">-(J342-J341)+L342</f>
        <v>7</v>
      </c>
      <c r="N342" s="7">
        <f t="shared" ref="N342:N347" si="2999">B342-C342</f>
        <v>1205892</v>
      </c>
      <c r="O342" s="4">
        <f t="shared" ref="O342" si="3000">C342/B342</f>
        <v>0.21617247309982801</v>
      </c>
      <c r="R342">
        <f t="shared" ref="R342" si="3001">C342-C341</f>
        <v>391</v>
      </c>
      <c r="S342">
        <f t="shared" ref="S342" si="3002">N342-N341</f>
        <v>1566</v>
      </c>
      <c r="T342" s="8">
        <f t="shared" ref="T342" si="3003">R342/V342</f>
        <v>0.199795605518651</v>
      </c>
      <c r="U342" s="8">
        <f t="shared" ref="U342" si="3004">SUM(R336:R342)/SUM(V336:V342)</f>
        <v>0.14014022080747846</v>
      </c>
      <c r="V342">
        <f t="shared" ref="V342" si="3005">B342-B341</f>
        <v>1957</v>
      </c>
      <c r="W342">
        <f t="shared" ref="W342" si="3006">C342-D342-E342</f>
        <v>18524</v>
      </c>
      <c r="X342" s="3">
        <f t="shared" ref="X342" si="3007">F342/W342</f>
        <v>1.2362340747138847E-2</v>
      </c>
      <c r="Y342">
        <f t="shared" ref="Y342" si="300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09">Z342-AC342-AF342</f>
        <v>126</v>
      </c>
      <c r="AJ342">
        <f t="shared" ref="AJ342" si="3010">AA342-AD342-AG342</f>
        <v>49</v>
      </c>
      <c r="AK342">
        <f t="shared" ref="AK342" si="3011">AB342-AE342-AH342</f>
        <v>636</v>
      </c>
      <c r="AL342">
        <v>1</v>
      </c>
      <c r="AM342">
        <v>1</v>
      </c>
      <c r="AN342">
        <v>11</v>
      </c>
      <c r="AT342">
        <f t="shared" ref="AT342" si="3012">BN342-BN341</f>
        <v>6676</v>
      </c>
      <c r="AU342">
        <f t="shared" si="2749"/>
        <v>448</v>
      </c>
      <c r="AV342">
        <f t="shared" ref="AV342" si="3013">AU342/AT342</f>
        <v>6.7106051527860991E-2</v>
      </c>
      <c r="AW342">
        <f t="shared" ref="AW342" si="3014">BV342-BV341</f>
        <v>29</v>
      </c>
      <c r="AX342">
        <f t="shared" si="2698"/>
        <v>0</v>
      </c>
      <c r="AY342">
        <f t="shared" ref="AY342" si="3015">CL342-CL341</f>
        <v>386</v>
      </c>
      <c r="AZ342">
        <f t="shared" si="2700"/>
        <v>13</v>
      </c>
      <c r="BA342">
        <f t="shared" ref="BA342" si="3016">CD342-CD341</f>
        <v>25</v>
      </c>
      <c r="BB342">
        <f t="shared" si="2702"/>
        <v>-1</v>
      </c>
      <c r="BC342">
        <f t="shared" ref="BC342" si="3017">AX342/AW342</f>
        <v>0</v>
      </c>
      <c r="BD342">
        <f t="shared" ref="BD342" si="3018">AZ342/AY342</f>
        <v>3.367875647668394E-2</v>
      </c>
      <c r="BE342">
        <f t="shared" si="1929"/>
        <v>-0.04</v>
      </c>
      <c r="BF342">
        <f t="shared" ref="BF342" si="3019">SUM(AU336:AU342)/SUM(AT336:AT342)</f>
        <v>3.4092519127231512E-2</v>
      </c>
      <c r="BG342">
        <f t="shared" ref="BG342" si="3020">SUM(AU329:AU342)/SUM(AT329:AT342)</f>
        <v>4.1133162612035853E-2</v>
      </c>
      <c r="BH342">
        <f t="shared" ref="BH342" si="3021">SUM(AX336:AX342)/SUM(AW336:AW342)</f>
        <v>2.332657200811359E-2</v>
      </c>
      <c r="BI342">
        <f t="shared" ref="BI342" si="3022">SUM(AZ336:AZ342)/SUM(AY336:AY342)</f>
        <v>1.7612161661104932E-2</v>
      </c>
      <c r="BJ342">
        <f t="shared" si="2887"/>
        <v>1.0649627263045794E-2</v>
      </c>
      <c r="BN342" s="20">
        <v>3953107</v>
      </c>
      <c r="BO342" s="20">
        <v>359397</v>
      </c>
      <c r="BP342" s="21">
        <v>1302281</v>
      </c>
      <c r="BQ342" s="21">
        <v>236185</v>
      </c>
      <c r="BR342" s="21">
        <v>277229</v>
      </c>
      <c r="BS342" s="21">
        <v>55345</v>
      </c>
      <c r="BT342" s="21">
        <f t="shared" si="2990"/>
        <v>1538466</v>
      </c>
      <c r="BU342" s="21">
        <f t="shared" si="2991"/>
        <v>332574</v>
      </c>
      <c r="BV342" s="20">
        <v>30898</v>
      </c>
      <c r="BW342" s="20">
        <v>2750</v>
      </c>
      <c r="BX342" s="21">
        <v>8758</v>
      </c>
      <c r="BY342" s="21">
        <v>2529</v>
      </c>
      <c r="BZ342" s="21">
        <v>2039</v>
      </c>
      <c r="CA342" s="21">
        <v>590</v>
      </c>
      <c r="CB342" s="21">
        <f t="shared" si="2992"/>
        <v>11287</v>
      </c>
      <c r="CC342" s="21">
        <f t="shared" si="2993"/>
        <v>2629</v>
      </c>
      <c r="CD342" s="20">
        <v>24310</v>
      </c>
      <c r="CE342" s="20">
        <v>1653</v>
      </c>
      <c r="CF342" s="21">
        <v>4927</v>
      </c>
      <c r="CG342" s="21">
        <v>1635</v>
      </c>
      <c r="CH342" s="21">
        <v>1134</v>
      </c>
      <c r="CI342" s="21">
        <v>437</v>
      </c>
      <c r="CJ342" s="21">
        <f t="shared" si="2994"/>
        <v>6562</v>
      </c>
      <c r="CK342" s="21">
        <f t="shared" si="2995"/>
        <v>1571</v>
      </c>
      <c r="CL342" s="20">
        <v>179566</v>
      </c>
      <c r="CM342" s="20">
        <v>16119</v>
      </c>
      <c r="CN342" s="21">
        <v>60996</v>
      </c>
      <c r="CO342" s="21">
        <v>4578</v>
      </c>
      <c r="CP342" s="21">
        <v>14022</v>
      </c>
      <c r="CQ342" s="21">
        <v>756</v>
      </c>
      <c r="CR342" s="21">
        <f t="shared" si="2996"/>
        <v>65574</v>
      </c>
      <c r="CS342" s="21">
        <f t="shared" si="2997"/>
        <v>14778</v>
      </c>
    </row>
    <row r="343" spans="1:97" x14ac:dyDescent="0.35">
      <c r="A343" s="14">
        <f t="shared" si="2761"/>
        <v>44249</v>
      </c>
      <c r="B343" s="9">
        <f t="shared" si="2963"/>
        <v>1538466</v>
      </c>
      <c r="C343">
        <f t="shared" si="296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23">-(J343-J342)+L343</f>
        <v>7</v>
      </c>
      <c r="N343" s="7">
        <f t="shared" si="2999"/>
        <v>1205892</v>
      </c>
      <c r="O343" s="4">
        <f t="shared" ref="O343" si="3024">C343/B343</f>
        <v>0.21617247309982801</v>
      </c>
      <c r="R343">
        <f t="shared" ref="R343" si="3025">C343-C342</f>
        <v>0</v>
      </c>
      <c r="S343">
        <f t="shared" ref="S343" si="3026">N343-N342</f>
        <v>0</v>
      </c>
      <c r="T343" s="8" t="e">
        <f t="shared" ref="T343" si="3027">R343/V343</f>
        <v>#DIV/0!</v>
      </c>
      <c r="U343" s="8">
        <f t="shared" ref="U343" si="3028">SUM(R337:R343)/SUM(V337:V343)</f>
        <v>0.13920394205853617</v>
      </c>
      <c r="V343">
        <f t="shared" ref="V343" si="3029">B343-B342</f>
        <v>0</v>
      </c>
      <c r="W343">
        <f t="shared" ref="W343" si="3030">C343-D343-E343</f>
        <v>17670</v>
      </c>
      <c r="X343" s="3">
        <f t="shared" ref="X343" si="3031">F343/W343</f>
        <v>1.2563667232597622E-2</v>
      </c>
      <c r="Y343">
        <f t="shared" ref="Y343" si="3032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33">Z343-AC343-AF343</f>
        <v>124</v>
      </c>
      <c r="AJ343">
        <f t="shared" ref="AJ343:AJ345" si="3034">AA343-AD343-AG343</f>
        <v>48</v>
      </c>
      <c r="AK343">
        <f t="shared" ref="AK343:AK345" si="3035">AB343-AE343-AH343</f>
        <v>618</v>
      </c>
      <c r="AL343">
        <v>1</v>
      </c>
      <c r="AM343">
        <v>1</v>
      </c>
      <c r="AN343">
        <v>11</v>
      </c>
      <c r="AT343">
        <f t="shared" ref="AT343" si="3036">BN343-BN342</f>
        <v>0</v>
      </c>
      <c r="AU343">
        <f t="shared" si="2749"/>
        <v>0</v>
      </c>
      <c r="AV343" t="e">
        <f t="shared" ref="AV343" si="3037">AU343/AT343</f>
        <v>#DIV/0!</v>
      </c>
      <c r="AW343">
        <f t="shared" ref="AW343" si="3038">BV343-BV342</f>
        <v>27</v>
      </c>
      <c r="AX343">
        <f t="shared" si="2698"/>
        <v>-1</v>
      </c>
      <c r="AY343">
        <f t="shared" ref="AY343" si="3039">CL343-CL342</f>
        <v>185</v>
      </c>
      <c r="AZ343">
        <f t="shared" si="2700"/>
        <v>1</v>
      </c>
      <c r="BA343">
        <f t="shared" ref="BA343" si="3040">CD343-CD342</f>
        <v>25</v>
      </c>
      <c r="BB343">
        <f t="shared" si="2702"/>
        <v>2</v>
      </c>
      <c r="BC343">
        <f t="shared" ref="BC343" si="3041">AX343/AW343</f>
        <v>-3.7037037037037035E-2</v>
      </c>
      <c r="BD343">
        <f t="shared" ref="BD343" si="3042">AZ343/AY343</f>
        <v>5.4054054054054057E-3</v>
      </c>
      <c r="BE343">
        <f t="shared" si="1929"/>
        <v>0.08</v>
      </c>
      <c r="BF343">
        <f t="shared" ref="BF343" si="3043">SUM(AU337:AU343)/SUM(AT337:AT343)</f>
        <v>3.3594211458948614E-2</v>
      </c>
      <c r="BG343">
        <f t="shared" ref="BG343" si="3044">SUM(AU330:AU343)/SUM(AT330:AT343)</f>
        <v>4.0802290654913961E-2</v>
      </c>
      <c r="BH343">
        <f t="shared" ref="BH343" si="3045">SUM(AX337:AX343)/SUM(AW337:AW343)</f>
        <v>2.0161290322580645E-2</v>
      </c>
      <c r="BI343">
        <f t="shared" ref="BI343" si="3046">SUM(AZ337:AZ343)/SUM(AY337:AY343)</f>
        <v>1.7471350742062748E-2</v>
      </c>
      <c r="BJ343">
        <f t="shared" ref="BJ343" si="3047">SUM(BB337:BB343)/SUM(BA337:BA343)</f>
        <v>1.279317697228145E-2</v>
      </c>
      <c r="BN343" s="20">
        <v>3953107</v>
      </c>
      <c r="BO343" s="20">
        <v>359397</v>
      </c>
      <c r="BP343" s="21">
        <v>1302281</v>
      </c>
      <c r="BQ343" s="21">
        <v>236185</v>
      </c>
      <c r="BR343" s="21">
        <v>277229</v>
      </c>
      <c r="BS343" s="21">
        <v>55345</v>
      </c>
      <c r="BT343" s="21">
        <f t="shared" si="2990"/>
        <v>1538466</v>
      </c>
      <c r="BU343" s="21">
        <f t="shared" si="2991"/>
        <v>332574</v>
      </c>
      <c r="BV343" s="20">
        <v>30925</v>
      </c>
      <c r="BW343" s="20">
        <v>2749</v>
      </c>
      <c r="BX343" s="21">
        <v>8764</v>
      </c>
      <c r="BY343" s="21">
        <v>2527</v>
      </c>
      <c r="BZ343" s="21">
        <v>2040</v>
      </c>
      <c r="CA343" s="21">
        <v>590</v>
      </c>
      <c r="CB343" s="21">
        <f t="shared" si="2992"/>
        <v>11291</v>
      </c>
      <c r="CC343" s="21">
        <f t="shared" si="2993"/>
        <v>2630</v>
      </c>
      <c r="CD343" s="20">
        <v>24335</v>
      </c>
      <c r="CE343" s="20">
        <v>1655</v>
      </c>
      <c r="CF343" s="21">
        <v>4932</v>
      </c>
      <c r="CG343" s="21">
        <v>1635</v>
      </c>
      <c r="CH343" s="21">
        <v>1134</v>
      </c>
      <c r="CI343" s="21">
        <v>437</v>
      </c>
      <c r="CJ343" s="21">
        <f t="shared" si="2994"/>
        <v>6567</v>
      </c>
      <c r="CK343" s="21">
        <f t="shared" si="2995"/>
        <v>1571</v>
      </c>
      <c r="CL343" s="20">
        <v>179751</v>
      </c>
      <c r="CM343" s="20">
        <v>16120</v>
      </c>
      <c r="CN343" s="21">
        <v>61022</v>
      </c>
      <c r="CO343" s="21">
        <v>4581</v>
      </c>
      <c r="CP343" s="21">
        <v>14025</v>
      </c>
      <c r="CQ343" s="21">
        <v>756</v>
      </c>
      <c r="CR343" s="21">
        <f t="shared" si="2996"/>
        <v>65603</v>
      </c>
      <c r="CS343" s="21">
        <f t="shared" si="2997"/>
        <v>14781</v>
      </c>
    </row>
    <row r="344" spans="1:97" x14ac:dyDescent="0.35">
      <c r="A344" s="14">
        <f t="shared" si="2761"/>
        <v>44250</v>
      </c>
      <c r="B344" s="9">
        <f t="shared" si="2963"/>
        <v>1542779</v>
      </c>
      <c r="C344">
        <f t="shared" si="296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048">-(J344-J343)+L344</f>
        <v>4</v>
      </c>
      <c r="N344" s="7">
        <f t="shared" si="2999"/>
        <v>1209406</v>
      </c>
      <c r="O344" s="4">
        <f t="shared" ref="O344" si="3049">C344/B344</f>
        <v>0.21608603695020479</v>
      </c>
      <c r="R344">
        <f t="shared" ref="R344" si="3050">C344-C343</f>
        <v>799</v>
      </c>
      <c r="S344">
        <f t="shared" ref="S344" si="3051">N344-N343</f>
        <v>3514</v>
      </c>
      <c r="T344" s="8">
        <f t="shared" ref="T344" si="3052">R344/V344</f>
        <v>0.18525388360769765</v>
      </c>
      <c r="U344" s="8">
        <f t="shared" ref="U344" si="3053">SUM(R338:R344)/SUM(V338:V344)</f>
        <v>0.20316863281472616</v>
      </c>
      <c r="V344">
        <f t="shared" ref="V344" si="3054">B344-B343</f>
        <v>4313</v>
      </c>
      <c r="W344">
        <f t="shared" ref="W344" si="3055">C344-D344-E344</f>
        <v>17119</v>
      </c>
      <c r="X344" s="3">
        <f t="shared" ref="X344" si="3056">F344/W344</f>
        <v>1.3260120334131667E-2</v>
      </c>
      <c r="Y344">
        <f t="shared" ref="Y344" si="305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33"/>
        <v>117</v>
      </c>
      <c r="AJ344">
        <f t="shared" si="3034"/>
        <v>45</v>
      </c>
      <c r="AK344">
        <f t="shared" si="3035"/>
        <v>555</v>
      </c>
      <c r="AL344">
        <v>0</v>
      </c>
      <c r="AM344">
        <v>0</v>
      </c>
      <c r="AN344">
        <v>5</v>
      </c>
      <c r="AT344">
        <f t="shared" ref="AT344" si="3058">BN344-BN343</f>
        <v>22802</v>
      </c>
      <c r="AU344">
        <f t="shared" si="2749"/>
        <v>877</v>
      </c>
      <c r="AV344">
        <f t="shared" ref="AV344" si="3059">AU344/AT344</f>
        <v>3.8461538461538464E-2</v>
      </c>
      <c r="AW344">
        <f t="shared" ref="AW344" si="3060">BV344-BV343</f>
        <v>223</v>
      </c>
      <c r="AX344">
        <f t="shared" si="2698"/>
        <v>6</v>
      </c>
      <c r="AY344">
        <f t="shared" ref="AY344" si="3061">CL344-CL343</f>
        <v>742</v>
      </c>
      <c r="AZ344">
        <f t="shared" si="2700"/>
        <v>20</v>
      </c>
      <c r="BA344">
        <f t="shared" ref="BA344" si="3062">CD344-CD343</f>
        <v>104</v>
      </c>
      <c r="BB344">
        <f t="shared" si="2702"/>
        <v>-2</v>
      </c>
      <c r="BC344">
        <f t="shared" ref="BC344" si="3063">AX344/AW344</f>
        <v>2.6905829596412557E-2</v>
      </c>
      <c r="BD344">
        <f t="shared" ref="BD344" si="3064">AZ344/AY344</f>
        <v>2.6954177897574125E-2</v>
      </c>
      <c r="BE344">
        <f t="shared" si="1929"/>
        <v>-1.9230769230769232E-2</v>
      </c>
      <c r="BF344">
        <f t="shared" ref="BF344" si="3065">SUM(AU338:AU344)/SUM(AT338:AT344)</f>
        <v>4.1248943739111386E-2</v>
      </c>
      <c r="BG344">
        <f t="shared" ref="BG344" si="3066">SUM(AU331:AU344)/SUM(AT331:AT344)</f>
        <v>4.0510403494654561E-2</v>
      </c>
      <c r="BH344">
        <f t="shared" ref="BH344" si="3067">SUM(AX338:AX344)/SUM(AW338:AW344)</f>
        <v>2.2629310344827586E-2</v>
      </c>
      <c r="BI344">
        <f t="shared" ref="BI344" si="3068">SUM(AZ338:AZ344)/SUM(AY338:AY344)</f>
        <v>2.284914898577757E-2</v>
      </c>
      <c r="BJ344">
        <f t="shared" ref="BJ344" si="3069">SUM(BB338:BB344)/SUM(BA338:BA344)</f>
        <v>1.2802275960170697E-2</v>
      </c>
      <c r="BN344" s="20">
        <v>3975909</v>
      </c>
      <c r="BO344" s="20">
        <v>360274</v>
      </c>
      <c r="BP344" s="20">
        <v>1305283</v>
      </c>
      <c r="BQ344" s="20">
        <v>237496</v>
      </c>
      <c r="BR344" s="20">
        <v>277778</v>
      </c>
      <c r="BS344" s="20">
        <v>55595</v>
      </c>
      <c r="BT344" s="21">
        <f t="shared" si="2990"/>
        <v>1542779</v>
      </c>
      <c r="BU344" s="21">
        <f t="shared" si="2991"/>
        <v>333373</v>
      </c>
      <c r="BV344" s="20">
        <v>31148</v>
      </c>
      <c r="BW344" s="20">
        <v>2755</v>
      </c>
      <c r="BX344" s="20">
        <v>8776</v>
      </c>
      <c r="BY344" s="20">
        <v>2553</v>
      </c>
      <c r="BZ344" s="20">
        <v>2040</v>
      </c>
      <c r="CA344" s="20">
        <v>592</v>
      </c>
      <c r="CB344" s="21">
        <f t="shared" si="2992"/>
        <v>11329</v>
      </c>
      <c r="CC344" s="21">
        <f t="shared" si="2993"/>
        <v>2632</v>
      </c>
      <c r="CD344" s="20">
        <v>24439</v>
      </c>
      <c r="CE344" s="20">
        <v>1653</v>
      </c>
      <c r="CF344" s="20">
        <v>4945</v>
      </c>
      <c r="CG344" s="20">
        <v>1644</v>
      </c>
      <c r="CH344" s="20">
        <v>1135</v>
      </c>
      <c r="CI344" s="20">
        <v>437</v>
      </c>
      <c r="CJ344" s="21">
        <f t="shared" si="2994"/>
        <v>6589</v>
      </c>
      <c r="CK344" s="21">
        <f t="shared" si="2995"/>
        <v>1572</v>
      </c>
      <c r="CL344" s="20">
        <v>180493</v>
      </c>
      <c r="CM344" s="20">
        <v>16140</v>
      </c>
      <c r="CN344" s="20">
        <v>61120</v>
      </c>
      <c r="CO344" s="20">
        <v>4605</v>
      </c>
      <c r="CP344" s="20">
        <v>14041</v>
      </c>
      <c r="CQ344" s="20">
        <v>757</v>
      </c>
      <c r="CR344" s="21">
        <f t="shared" si="2996"/>
        <v>65725</v>
      </c>
      <c r="CS344" s="21">
        <f t="shared" si="2997"/>
        <v>14798</v>
      </c>
    </row>
    <row r="345" spans="1:97" x14ac:dyDescent="0.35">
      <c r="A345" s="14">
        <f t="shared" si="2761"/>
        <v>44251</v>
      </c>
      <c r="B345" s="9">
        <f t="shared" si="2963"/>
        <v>1546415</v>
      </c>
      <c r="C345">
        <f t="shared" si="296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070">-(J345-J344)+L345</f>
        <v>13</v>
      </c>
      <c r="N345" s="7">
        <f t="shared" si="2999"/>
        <v>1212309</v>
      </c>
      <c r="O345" s="4">
        <f t="shared" ref="O345" si="3071">C345/B345</f>
        <v>0.21605196535212087</v>
      </c>
      <c r="R345">
        <f t="shared" ref="R345" si="3072">C345-C344</f>
        <v>733</v>
      </c>
      <c r="S345">
        <f t="shared" ref="S345" si="3073">N345-N344</f>
        <v>2903</v>
      </c>
      <c r="T345" s="8">
        <f t="shared" ref="T345" si="3074">R345/V345</f>
        <v>0.20159515951595158</v>
      </c>
      <c r="U345" s="8">
        <f t="shared" ref="U345" si="3075">SUM(R339:R345)/SUM(V339:V345)</f>
        <v>0.20681894902666817</v>
      </c>
      <c r="V345">
        <f t="shared" ref="V345" si="3076">B345-B344</f>
        <v>3636</v>
      </c>
      <c r="W345">
        <f t="shared" ref="W345" si="3077">C345-D345-E345</f>
        <v>17015</v>
      </c>
      <c r="X345" s="3">
        <f t="shared" ref="X345" si="3078">F345/W345</f>
        <v>1.3693799588598296E-2</v>
      </c>
      <c r="Y345">
        <f t="shared" ref="Y345:Y350" si="3079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33"/>
        <v>120</v>
      </c>
      <c r="AJ345">
        <f t="shared" si="3034"/>
        <v>45</v>
      </c>
      <c r="AK345">
        <f t="shared" si="3035"/>
        <v>543</v>
      </c>
      <c r="AL345">
        <v>0</v>
      </c>
      <c r="AM345">
        <v>0</v>
      </c>
      <c r="AN345">
        <v>8</v>
      </c>
      <c r="AT345">
        <f t="shared" ref="AT345" si="3080">BN345-BN344</f>
        <v>18995</v>
      </c>
      <c r="AU345">
        <f t="shared" ref="AU345" si="3081">BO345-BO344</f>
        <v>800</v>
      </c>
      <c r="AV345">
        <f t="shared" ref="AV345" si="3082">AU345/AT345</f>
        <v>4.2116346406949196E-2</v>
      </c>
      <c r="AW345">
        <f t="shared" ref="AW345" si="3083">BV345-BV344</f>
        <v>198</v>
      </c>
      <c r="AX345">
        <f t="shared" ref="AX345" si="3084">BW345-BW344</f>
        <v>10</v>
      </c>
      <c r="AY345">
        <f t="shared" ref="AY345" si="3085">CL345-CL344</f>
        <v>-180493</v>
      </c>
      <c r="AZ345">
        <f t="shared" ref="AZ345" si="3086">CM345-CM344</f>
        <v>21</v>
      </c>
      <c r="BA345">
        <f t="shared" ref="BA345" si="3087">CD345-CD344</f>
        <v>175</v>
      </c>
      <c r="BB345">
        <f t="shared" ref="BB345" si="3088">CE345-CE344</f>
        <v>1</v>
      </c>
      <c r="BC345">
        <f t="shared" ref="BC345" si="3089">AX345/AW345</f>
        <v>5.0505050505050504E-2</v>
      </c>
      <c r="BD345">
        <f t="shared" ref="BD345" si="3090">AZ345/AY345</f>
        <v>-1.1634800241560614E-4</v>
      </c>
      <c r="BE345">
        <f t="shared" si="1929"/>
        <v>5.7142857142857143E-3</v>
      </c>
      <c r="BF345">
        <f t="shared" ref="BF345" si="3091">SUM(AU339:AU345)/SUM(AT339:AT345)</f>
        <v>4.1920881716197601E-2</v>
      </c>
      <c r="BG345">
        <f t="shared" ref="BG345" si="3092">SUM(AU332:AU345)/SUM(AT332:AT345)</f>
        <v>3.9157684556933942E-2</v>
      </c>
      <c r="BH345">
        <f t="shared" ref="BH345" si="3093">SUM(AX339:AX345)/SUM(AW339:AW345)</f>
        <v>2.5263157894736842E-2</v>
      </c>
      <c r="BI345">
        <f t="shared" ref="BI345" si="3094">SUM(AZ339:AZ345)/SUM(AY339:AY345)</f>
        <v>-5.697780686215884E-4</v>
      </c>
      <c r="BJ345">
        <f t="shared" ref="BJ345" si="3095">SUM(BB339:BB345)/SUM(BA339:BA345)</f>
        <v>8.8235294117647058E-3</v>
      </c>
      <c r="BN345" s="20">
        <v>3994904</v>
      </c>
      <c r="BO345" s="20">
        <v>361074</v>
      </c>
      <c r="BP345" s="20">
        <v>1307740</v>
      </c>
      <c r="BQ345" s="20">
        <v>238675</v>
      </c>
      <c r="BR345" s="20">
        <v>278335</v>
      </c>
      <c r="BS345" s="20">
        <v>55771</v>
      </c>
      <c r="BT345" s="21">
        <f t="shared" si="2990"/>
        <v>1546415</v>
      </c>
      <c r="BU345" s="21">
        <f t="shared" si="2991"/>
        <v>334106</v>
      </c>
      <c r="BV345" s="20">
        <v>31346</v>
      </c>
      <c r="BW345" s="20">
        <v>2765</v>
      </c>
      <c r="BX345" s="20">
        <v>8768</v>
      </c>
      <c r="BY345" s="20">
        <v>2590</v>
      </c>
      <c r="BZ345" s="20">
        <v>2043</v>
      </c>
      <c r="CA345" s="20">
        <v>594</v>
      </c>
      <c r="CB345" s="21">
        <f t="shared" si="2992"/>
        <v>11358</v>
      </c>
      <c r="CC345" s="21">
        <f t="shared" si="2993"/>
        <v>2637</v>
      </c>
      <c r="CD345" s="20">
        <v>24614</v>
      </c>
      <c r="CE345" s="20">
        <v>1654</v>
      </c>
      <c r="CF345" s="20">
        <v>4947</v>
      </c>
      <c r="CG345" s="20">
        <v>1650</v>
      </c>
      <c r="CH345" s="20">
        <v>1135</v>
      </c>
      <c r="CI345" s="20">
        <v>437</v>
      </c>
      <c r="CJ345" s="21">
        <f t="shared" si="2994"/>
        <v>6597</v>
      </c>
      <c r="CK345" s="21">
        <f t="shared" si="2995"/>
        <v>1572</v>
      </c>
      <c r="CL345" s="20"/>
      <c r="CM345" s="20">
        <v>16161</v>
      </c>
      <c r="CN345" s="20">
        <v>61258</v>
      </c>
      <c r="CO345" s="20">
        <v>4604</v>
      </c>
      <c r="CP345" s="20">
        <v>14059</v>
      </c>
      <c r="CQ345" s="20">
        <v>758</v>
      </c>
      <c r="CR345" s="21">
        <f t="shared" si="2996"/>
        <v>65862</v>
      </c>
      <c r="CS345" s="21">
        <f t="shared" si="2997"/>
        <v>14817</v>
      </c>
    </row>
    <row r="346" spans="1:97" x14ac:dyDescent="0.35">
      <c r="A346" s="14">
        <f t="shared" si="2761"/>
        <v>44252</v>
      </c>
      <c r="B346" s="9">
        <f t="shared" si="2963"/>
        <v>1550023</v>
      </c>
      <c r="C346">
        <f t="shared" si="296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096">-(J346-J345)+L346</f>
        <v>11</v>
      </c>
      <c r="N346" s="7">
        <f t="shared" si="2999"/>
        <v>1215264</v>
      </c>
      <c r="O346" s="4">
        <f t="shared" ref="O346" si="3097">C346/B346</f>
        <v>0.21597034366586818</v>
      </c>
      <c r="R346">
        <f t="shared" ref="R346" si="3098">C346-C345</f>
        <v>653</v>
      </c>
      <c r="S346">
        <f t="shared" ref="S346" si="3099">N346-N345</f>
        <v>2955</v>
      </c>
      <c r="T346" s="8">
        <f t="shared" ref="T346" si="3100">R346/V346</f>
        <v>0.18098669623059868</v>
      </c>
      <c r="U346" s="8">
        <f t="shared" ref="U346" si="3101">SUM(R340:R346)/SUM(V340:V346)</f>
        <v>0.20202952029520296</v>
      </c>
      <c r="V346">
        <f t="shared" ref="V346" si="3102">B346-B345</f>
        <v>3608</v>
      </c>
      <c r="W346">
        <f t="shared" ref="W346" si="3103">C346-D346-E346</f>
        <v>16502</v>
      </c>
      <c r="X346" s="3">
        <f t="shared" ref="X346" si="3104">F346/W346</f>
        <v>1.3755908374742455E-2</v>
      </c>
      <c r="Y346">
        <f t="shared" si="3079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05">Z346-AC346-AF346</f>
        <v>115</v>
      </c>
      <c r="AJ346">
        <f t="shared" ref="AJ346" si="3106">AA346-AD346-AG346</f>
        <v>44</v>
      </c>
      <c r="AK346">
        <f t="shared" ref="AK346" si="3107">AB346-AE346-AH346</f>
        <v>524</v>
      </c>
      <c r="AL346">
        <v>2</v>
      </c>
      <c r="AM346">
        <v>2</v>
      </c>
      <c r="AN346">
        <v>16</v>
      </c>
      <c r="AT346">
        <f t="shared" ref="AT346" si="3108">BN346-BN345</f>
        <v>17644</v>
      </c>
      <c r="AU346">
        <f t="shared" ref="AU346" si="3109">BO346-BO345</f>
        <v>690</v>
      </c>
      <c r="AV346">
        <f t="shared" ref="AV346" si="3110">AU346/AT346</f>
        <v>3.9106778508274764E-2</v>
      </c>
      <c r="AW346">
        <f t="shared" ref="AW346" si="3111">BV346-BV345</f>
        <v>131</v>
      </c>
      <c r="AX346">
        <f t="shared" ref="AX346" si="3112">BW346-BW345</f>
        <v>0</v>
      </c>
      <c r="AY346">
        <f t="shared" ref="AY346" si="3113">CL346-CL345</f>
        <v>0</v>
      </c>
      <c r="AZ346">
        <f t="shared" ref="AZ346" si="3114">CM346-CM345</f>
        <v>27</v>
      </c>
      <c r="BA346">
        <f t="shared" ref="BA346" si="3115">CD346-CD345</f>
        <v>96</v>
      </c>
      <c r="BB346">
        <f t="shared" ref="BB346" si="3116">CE346-CE345</f>
        <v>5</v>
      </c>
      <c r="BC346">
        <f t="shared" ref="BC346" si="3117">AX346/AW346</f>
        <v>0</v>
      </c>
      <c r="BD346" t="e">
        <f t="shared" ref="BD346" si="3118">AZ346/AY346</f>
        <v>#DIV/0!</v>
      </c>
      <c r="BE346">
        <f t="shared" si="1929"/>
        <v>5.2083333333333336E-2</v>
      </c>
      <c r="BF346">
        <f t="shared" ref="BF346" si="3119">SUM(AU340:AU346)/SUM(AT340:AT346)</f>
        <v>4.0960237015391796E-2</v>
      </c>
      <c r="BG346">
        <f t="shared" ref="BG346" si="3120">SUM(AU333:AU346)/SUM(AT333:AT346)</f>
        <v>3.8319412101013764E-2</v>
      </c>
      <c r="BH346">
        <f t="shared" ref="BH346" si="3121">SUM(AX340:AX346)/SUM(AW340:AW346)</f>
        <v>1.9165727170236752E-2</v>
      </c>
      <c r="BI346">
        <f t="shared" ref="BI346" si="3122">SUM(AZ340:AZ346)/SUM(AY340:AY346)</f>
        <v>-6.8015739179314223E-4</v>
      </c>
      <c r="BJ346">
        <f t="shared" ref="BJ346" si="3123">SUM(BB340:BB346)/SUM(BA340:BA346)</f>
        <v>1.0432190760059613E-2</v>
      </c>
      <c r="BN346" s="20">
        <v>4012548</v>
      </c>
      <c r="BO346" s="20">
        <v>361764</v>
      </c>
      <c r="BP346" s="20">
        <v>1310549</v>
      </c>
      <c r="BQ346" s="20">
        <v>239474</v>
      </c>
      <c r="BR346" s="20">
        <v>278817</v>
      </c>
      <c r="BS346" s="20">
        <v>55942</v>
      </c>
      <c r="BT346" s="21">
        <f t="shared" si="2990"/>
        <v>1550023</v>
      </c>
      <c r="BU346" s="21">
        <f t="shared" si="2991"/>
        <v>334759</v>
      </c>
      <c r="BV346" s="20">
        <v>31477</v>
      </c>
      <c r="BW346" s="20">
        <v>2765</v>
      </c>
      <c r="BX346" s="20">
        <v>8794</v>
      </c>
      <c r="BY346" s="20">
        <v>2597</v>
      </c>
      <c r="BZ346" s="20">
        <v>2046</v>
      </c>
      <c r="CA346" s="20">
        <v>595</v>
      </c>
      <c r="CB346" s="21">
        <f t="shared" si="2992"/>
        <v>11391</v>
      </c>
      <c r="CC346" s="21">
        <f t="shared" si="2993"/>
        <v>2641</v>
      </c>
      <c r="CD346" s="20">
        <v>24710</v>
      </c>
      <c r="CE346" s="20">
        <v>1659</v>
      </c>
      <c r="CF346" s="20">
        <v>4952</v>
      </c>
      <c r="CG346" s="20">
        <v>1657</v>
      </c>
      <c r="CH346" s="20">
        <v>1137</v>
      </c>
      <c r="CI346" s="20">
        <v>438</v>
      </c>
      <c r="CJ346" s="21">
        <f t="shared" si="2994"/>
        <v>6609</v>
      </c>
      <c r="CK346" s="21">
        <f t="shared" si="2995"/>
        <v>1575</v>
      </c>
      <c r="CL346" s="20"/>
      <c r="CM346" s="20">
        <v>16188</v>
      </c>
      <c r="CN346" s="20">
        <v>61483</v>
      </c>
      <c r="CO346" s="20">
        <v>4530</v>
      </c>
      <c r="CP346" s="20">
        <v>14081</v>
      </c>
      <c r="CQ346" s="20">
        <v>757</v>
      </c>
      <c r="CR346" s="21">
        <f t="shared" si="2996"/>
        <v>66013</v>
      </c>
      <c r="CS346" s="21">
        <f t="shared" si="2997"/>
        <v>14838</v>
      </c>
    </row>
    <row r="347" spans="1:97" x14ac:dyDescent="0.35">
      <c r="A347" s="14">
        <f t="shared" si="2761"/>
        <v>44253</v>
      </c>
      <c r="B347" s="9">
        <f t="shared" si="2963"/>
        <v>1553027</v>
      </c>
      <c r="C347">
        <f t="shared" ref="C347" si="3124">BU347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125">-(J347-J346)+L347</f>
        <v>11</v>
      </c>
      <c r="N347" s="7">
        <f t="shared" si="2999"/>
        <v>1217623</v>
      </c>
      <c r="O347" s="4">
        <f t="shared" ref="O347" si="3126">C347/B347</f>
        <v>0.21596791298541493</v>
      </c>
      <c r="R347">
        <f t="shared" ref="R347" si="3127">C347-C346</f>
        <v>645</v>
      </c>
      <c r="S347">
        <f t="shared" ref="S347" si="3128">N347-N346</f>
        <v>2359</v>
      </c>
      <c r="T347" s="8">
        <f t="shared" ref="T347" si="3129">R347/V347</f>
        <v>0.21471371504660453</v>
      </c>
      <c r="U347" s="8">
        <f t="shared" ref="U347" si="3130">SUM(R341:R347)/SUM(V341:V347)</f>
        <v>0.20270197823406422</v>
      </c>
      <c r="V347">
        <f t="shared" ref="V347" si="3131">B347-B346</f>
        <v>3004</v>
      </c>
      <c r="W347">
        <f t="shared" ref="W347" si="3132">C347-D347-E347</f>
        <v>16189</v>
      </c>
      <c r="X347" s="3">
        <f t="shared" ref="X347" si="3133">F347/W347</f>
        <v>1.2106986225214653E-2</v>
      </c>
      <c r="Y347">
        <f t="shared" si="3079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134">Z347-AC347-AF347</f>
        <v>112</v>
      </c>
      <c r="AJ347">
        <f t="shared" ref="AJ347" si="3135">AA347-AD347-AG347</f>
        <v>43</v>
      </c>
      <c r="AK347">
        <f t="shared" ref="AK347" si="3136">AB347-AE347-AH347</f>
        <v>497</v>
      </c>
      <c r="AL347">
        <v>2</v>
      </c>
      <c r="AM347">
        <v>2</v>
      </c>
      <c r="AN347">
        <v>16</v>
      </c>
      <c r="AT347">
        <f t="shared" ref="AT347" si="3137">BN347-BN346</f>
        <v>16326</v>
      </c>
      <c r="AU347">
        <f t="shared" ref="AU347" si="3138">BO347-BO346</f>
        <v>727</v>
      </c>
      <c r="AV347">
        <f t="shared" ref="AV347" si="3139">AU347/AT347</f>
        <v>4.4530197231410024E-2</v>
      </c>
      <c r="AW347">
        <f t="shared" ref="AW347" si="3140">BV347-BV346</f>
        <v>130</v>
      </c>
      <c r="AX347">
        <f t="shared" ref="AX347" si="3141">BW347-BW346</f>
        <v>7</v>
      </c>
      <c r="AY347">
        <f t="shared" ref="AY347" si="3142">CL347-CL346</f>
        <v>182927</v>
      </c>
      <c r="AZ347">
        <f t="shared" ref="AZ347" si="3143">CM347-CM346</f>
        <v>22</v>
      </c>
      <c r="BA347">
        <f t="shared" ref="BA347" si="3144">CD347-CD346</f>
        <v>76</v>
      </c>
      <c r="BB347">
        <f t="shared" ref="BB347" si="3145">CE347-CE346</f>
        <v>-1</v>
      </c>
      <c r="BC347">
        <f t="shared" ref="BC347" si="3146">AX347/AW347</f>
        <v>5.3846153846153849E-2</v>
      </c>
      <c r="BD347">
        <f t="shared" ref="BD347" si="3147">AZ347/AY347</f>
        <v>1.2026655441788254E-4</v>
      </c>
      <c r="BE347">
        <f t="shared" si="1929"/>
        <v>-1.3157894736842105E-2</v>
      </c>
      <c r="BF347">
        <f t="shared" ref="BF347" si="3148">SUM(AU341:AU347)/SUM(AT341:AT347)</f>
        <v>4.2799102666156663E-2</v>
      </c>
      <c r="BG347">
        <f t="shared" ref="BG347" si="3149">SUM(AU334:AU347)/SUM(AT334:AT347)</f>
        <v>3.8603219696969698E-2</v>
      </c>
      <c r="BH347">
        <f t="shared" ref="BH347" si="3150">SUM(AX341:AX347)/SUM(AW341:AW347)</f>
        <v>2.591283863368669E-2</v>
      </c>
      <c r="BI347">
        <f t="shared" ref="BI347" si="3151">SUM(AZ341:AZ347)/SUM(AY341:AY347)</f>
        <v>2.796725784447476E-2</v>
      </c>
      <c r="BJ347">
        <f t="shared" ref="BJ347" si="3152">SUM(BB341:BB347)/SUM(BA341:BA347)</f>
        <v>1.2480499219968799E-2</v>
      </c>
      <c r="BN347" s="20">
        <v>4028874</v>
      </c>
      <c r="BO347" s="20">
        <v>362491</v>
      </c>
      <c r="BP347" s="20">
        <v>1312415</v>
      </c>
      <c r="BQ347" s="20">
        <v>240612</v>
      </c>
      <c r="BR347" s="20">
        <v>279296</v>
      </c>
      <c r="BS347" s="20">
        <v>56108</v>
      </c>
      <c r="BT347" s="21">
        <f t="shared" si="2990"/>
        <v>1553027</v>
      </c>
      <c r="BU347" s="21">
        <f t="shared" si="2991"/>
        <v>335404</v>
      </c>
      <c r="BV347" s="20">
        <v>31607</v>
      </c>
      <c r="BW347" s="20">
        <v>2772</v>
      </c>
      <c r="BX347" s="20">
        <v>8809</v>
      </c>
      <c r="BY347" s="20">
        <v>2601</v>
      </c>
      <c r="BZ347" s="20">
        <v>2052</v>
      </c>
      <c r="CA347" s="20">
        <v>596</v>
      </c>
      <c r="CB347" s="21">
        <f t="shared" si="2992"/>
        <v>11410</v>
      </c>
      <c r="CC347" s="21">
        <f t="shared" si="2993"/>
        <v>2648</v>
      </c>
      <c r="CD347" s="20">
        <v>24786</v>
      </c>
      <c r="CE347" s="20">
        <v>1658</v>
      </c>
      <c r="CF347" s="20">
        <v>4951</v>
      </c>
      <c r="CG347" s="20">
        <v>1666</v>
      </c>
      <c r="CH347" s="20">
        <v>1138</v>
      </c>
      <c r="CI347" s="20">
        <v>438</v>
      </c>
      <c r="CJ347" s="21">
        <f t="shared" si="2994"/>
        <v>6617</v>
      </c>
      <c r="CK347" s="21">
        <f t="shared" si="2995"/>
        <v>1576</v>
      </c>
      <c r="CL347" s="20">
        <v>182927</v>
      </c>
      <c r="CM347" s="20">
        <v>16210</v>
      </c>
      <c r="CN347" s="20">
        <v>61574</v>
      </c>
      <c r="CO347" s="20">
        <v>4553</v>
      </c>
      <c r="CP347" s="20">
        <v>14097</v>
      </c>
      <c r="CQ347" s="20">
        <v>759</v>
      </c>
      <c r="CR347" s="21">
        <f t="shared" si="2996"/>
        <v>66127</v>
      </c>
      <c r="CS347" s="21">
        <f t="shared" si="2997"/>
        <v>14856</v>
      </c>
    </row>
    <row r="348" spans="1:97" x14ac:dyDescent="0.35">
      <c r="A348" s="14">
        <f t="shared" si="2761"/>
        <v>44254</v>
      </c>
      <c r="B348" s="9">
        <f t="shared" si="2963"/>
        <v>1555811</v>
      </c>
      <c r="C348">
        <f t="shared" ref="C348" si="3153">BU348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154">-(J348-J347)+L348</f>
        <v>11</v>
      </c>
      <c r="N348" s="7">
        <f t="shared" ref="N348" si="3155">B348-C348</f>
        <v>1219847</v>
      </c>
      <c r="O348" s="4">
        <f t="shared" ref="O348" si="3156">C348/B348</f>
        <v>0.21594139648067792</v>
      </c>
      <c r="R348">
        <f t="shared" ref="R348" si="3157">C348-C347</f>
        <v>560</v>
      </c>
      <c r="S348">
        <f t="shared" ref="S348" si="3158">N348-N347</f>
        <v>2224</v>
      </c>
      <c r="T348" s="8">
        <f t="shared" ref="T348" si="3159">R348/V348</f>
        <v>0.20114942528735633</v>
      </c>
      <c r="U348" s="8">
        <f t="shared" ref="U348" si="3160">SUM(R342:R348)/SUM(V342:V348)</f>
        <v>0.19588643663869029</v>
      </c>
      <c r="V348">
        <f t="shared" ref="V348" si="3161">B348-B347</f>
        <v>2784</v>
      </c>
      <c r="W348">
        <f t="shared" ref="W348" si="3162">C348-D348-E348</f>
        <v>15748</v>
      </c>
      <c r="X348" s="3">
        <f t="shared" ref="X348" si="3163">F348/W348</f>
        <v>1.1493522987045974E-2</v>
      </c>
      <c r="Y348">
        <f t="shared" si="3079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164">Z348-AC348-AF348</f>
        <v>110</v>
      </c>
      <c r="AJ348">
        <f t="shared" ref="AJ348" si="3165">AA348-AD348-AG348</f>
        <v>41</v>
      </c>
      <c r="AK348">
        <f t="shared" ref="AK348" si="3166">AB348-AE348-AH348</f>
        <v>471</v>
      </c>
      <c r="AL348">
        <v>3</v>
      </c>
      <c r="AM348">
        <v>3</v>
      </c>
      <c r="AN348">
        <v>11</v>
      </c>
      <c r="AT348">
        <f t="shared" ref="AT348" si="3167">BN348-BN347</f>
        <v>13988</v>
      </c>
      <c r="AU348">
        <f t="shared" ref="AU348" si="3168">BO348-BO347</f>
        <v>586</v>
      </c>
      <c r="AV348">
        <f t="shared" ref="AV348" si="3169">AU348/AT348</f>
        <v>4.1893051186731485E-2</v>
      </c>
      <c r="AW348">
        <f t="shared" ref="AW348" si="3170">BV348-BV347</f>
        <v>388</v>
      </c>
      <c r="AX348">
        <f t="shared" ref="AX348" si="3171">BW348-BW347</f>
        <v>14</v>
      </c>
      <c r="AY348">
        <f t="shared" ref="AY348" si="3172">CL348-CL347</f>
        <v>500</v>
      </c>
      <c r="AZ348">
        <f t="shared" ref="AZ348" si="3173">CM348-CM347</f>
        <v>6</v>
      </c>
      <c r="BA348">
        <f t="shared" ref="BA348" si="3174">CD348-CD347</f>
        <v>135</v>
      </c>
      <c r="BB348">
        <f t="shared" ref="BB348" si="3175">CE348-CE347</f>
        <v>3</v>
      </c>
      <c r="BC348">
        <f t="shared" ref="BC348" si="3176">AX348/AW348</f>
        <v>3.608247422680412E-2</v>
      </c>
      <c r="BD348">
        <f t="shared" ref="BD348" si="3177">AZ348/AY348</f>
        <v>1.2E-2</v>
      </c>
      <c r="BE348">
        <f t="shared" si="1929"/>
        <v>2.2222222222222223E-2</v>
      </c>
      <c r="BF348">
        <f t="shared" ref="BF348" si="3178">SUM(AU342:AU348)/SUM(AT342:AT348)</f>
        <v>4.2807810766247366E-2</v>
      </c>
      <c r="BG348">
        <f t="shared" ref="BG348" si="3179">SUM(AU335:AU348)/SUM(AT335:AT348)</f>
        <v>3.840652848799108E-2</v>
      </c>
      <c r="BH348">
        <f t="shared" ref="BH348" si="3180">SUM(AX342:AX348)/SUM(AW342:AW348)</f>
        <v>3.1971580817051509E-2</v>
      </c>
      <c r="BI348">
        <f t="shared" ref="BI348" si="3181">SUM(AZ342:AZ348)/SUM(AY342:AY348)</f>
        <v>2.5900635742877324E-2</v>
      </c>
      <c r="BJ348">
        <f t="shared" ref="BJ348" si="3182">SUM(BB342:BB348)/SUM(BA342:BA348)</f>
        <v>1.10062893081761E-2</v>
      </c>
      <c r="BN348" s="20">
        <v>4042862</v>
      </c>
      <c r="BO348" s="20">
        <v>363077</v>
      </c>
      <c r="BP348" s="20">
        <v>1314203</v>
      </c>
      <c r="BQ348" s="20">
        <v>241608</v>
      </c>
      <c r="BR348" s="20">
        <v>279731</v>
      </c>
      <c r="BS348" s="20">
        <v>56233</v>
      </c>
      <c r="BT348" s="21">
        <f t="shared" si="2990"/>
        <v>1555811</v>
      </c>
      <c r="BU348" s="21">
        <f t="shared" si="2991"/>
        <v>335964</v>
      </c>
      <c r="BV348" s="20">
        <v>31995</v>
      </c>
      <c r="BW348" s="20">
        <v>2786</v>
      </c>
      <c r="BX348" s="20">
        <v>8776</v>
      </c>
      <c r="BY348" s="20">
        <v>2667</v>
      </c>
      <c r="BZ348" s="20">
        <v>2062</v>
      </c>
      <c r="CA348" s="20">
        <v>600</v>
      </c>
      <c r="CB348" s="21">
        <f t="shared" si="2992"/>
        <v>11443</v>
      </c>
      <c r="CC348" s="21">
        <f t="shared" si="2993"/>
        <v>2662</v>
      </c>
      <c r="CD348" s="20">
        <v>24921</v>
      </c>
      <c r="CE348" s="20">
        <v>1661</v>
      </c>
      <c r="CF348" s="20">
        <v>4956</v>
      </c>
      <c r="CG348" s="20">
        <v>1669</v>
      </c>
      <c r="CH348" s="20">
        <v>1138</v>
      </c>
      <c r="CI348" s="20">
        <v>438</v>
      </c>
      <c r="CJ348" s="21">
        <f t="shared" si="2994"/>
        <v>6625</v>
      </c>
      <c r="CK348" s="21">
        <f t="shared" si="2995"/>
        <v>1576</v>
      </c>
      <c r="CL348" s="20">
        <v>183427</v>
      </c>
      <c r="CM348" s="20">
        <v>16216</v>
      </c>
      <c r="CN348" s="20">
        <v>61640</v>
      </c>
      <c r="CO348" s="20">
        <v>4569</v>
      </c>
      <c r="CP348" s="20">
        <v>14105</v>
      </c>
      <c r="CQ348" s="20">
        <v>758</v>
      </c>
      <c r="CR348" s="21">
        <f t="shared" si="2996"/>
        <v>66209</v>
      </c>
      <c r="CS348" s="21">
        <f t="shared" si="2997"/>
        <v>14863</v>
      </c>
    </row>
    <row r="349" spans="1:97" x14ac:dyDescent="0.35">
      <c r="A349" s="14">
        <f t="shared" si="2761"/>
        <v>44255</v>
      </c>
      <c r="B349" s="9">
        <f t="shared" si="2963"/>
        <v>1557901</v>
      </c>
      <c r="C349">
        <f t="shared" ref="C349" si="3183">BU349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184">-(J349-J348)+L349</f>
        <v>5</v>
      </c>
      <c r="N349" s="7">
        <f t="shared" ref="N349" si="3185">B349-C349</f>
        <v>1221591</v>
      </c>
      <c r="O349" s="4">
        <f t="shared" ref="O349" si="3186">C349/B349</f>
        <v>0.21587379429116485</v>
      </c>
      <c r="R349">
        <f t="shared" ref="R349" si="3187">C349-C348</f>
        <v>346</v>
      </c>
      <c r="S349">
        <f t="shared" ref="S349" si="3188">N349-N348</f>
        <v>1744</v>
      </c>
      <c r="T349" s="8">
        <f t="shared" ref="T349" si="3189">R349/V349</f>
        <v>0.16555023923444975</v>
      </c>
      <c r="U349" s="8">
        <f t="shared" ref="U349" si="3190">SUM(R343:R349)/SUM(V343:V349)</f>
        <v>0.19223051196295343</v>
      </c>
      <c r="V349">
        <f t="shared" ref="V349" si="3191">B349-B348</f>
        <v>2090</v>
      </c>
      <c r="W349">
        <f t="shared" ref="W349" si="3192">C349-D349-E349</f>
        <v>15707</v>
      </c>
      <c r="X349" s="3">
        <f t="shared" ref="X349" si="3193">F349/W349</f>
        <v>1.2478512765009232E-2</v>
      </c>
      <c r="Y349">
        <f t="shared" si="3079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194">Z349-AC349-AF349</f>
        <v>120</v>
      </c>
      <c r="AJ349">
        <f t="shared" ref="AJ349" si="3195">AA349-AD349-AG349</f>
        <v>41</v>
      </c>
      <c r="AK349">
        <f t="shared" ref="AK349" si="3196">AB349-AE349-AH349</f>
        <v>474</v>
      </c>
      <c r="AL349">
        <v>4</v>
      </c>
      <c r="AM349">
        <v>4</v>
      </c>
      <c r="AN349">
        <v>14</v>
      </c>
      <c r="AT349">
        <f t="shared" ref="AT349" si="3197">BN349-BN348</f>
        <v>6630</v>
      </c>
      <c r="AU349">
        <f t="shared" ref="AU349" si="3198">BO349-BO348</f>
        <v>390</v>
      </c>
      <c r="AV349">
        <f t="shared" ref="AV349" si="3199">AU349/AT349</f>
        <v>5.8823529411764705E-2</v>
      </c>
      <c r="AW349">
        <f t="shared" ref="AW349" si="3200">BV349-BV348</f>
        <v>41</v>
      </c>
      <c r="AX349">
        <f t="shared" ref="AX349" si="3201">BW349-BW348</f>
        <v>7</v>
      </c>
      <c r="AY349">
        <f t="shared" ref="AY349" si="3202">CL349-CL348</f>
        <v>280</v>
      </c>
      <c r="AZ349">
        <f t="shared" ref="AZ349" si="3203">CM349-CM348</f>
        <v>7</v>
      </c>
      <c r="BA349">
        <f t="shared" ref="BA349" si="3204">CD349-CD348</f>
        <v>60</v>
      </c>
      <c r="BB349">
        <f t="shared" ref="BB349" si="3205">CE349-CE348</f>
        <v>2</v>
      </c>
      <c r="BC349">
        <f t="shared" ref="BC349" si="3206">AX349/AW349</f>
        <v>0.17073170731707318</v>
      </c>
      <c r="BD349">
        <f t="shared" ref="BD349" si="3207">AZ349/AY349</f>
        <v>2.5000000000000001E-2</v>
      </c>
      <c r="BE349">
        <f t="shared" si="1929"/>
        <v>3.3333333333333333E-2</v>
      </c>
      <c r="BF349">
        <f t="shared" ref="BF349" si="3208">SUM(AU343:AU349)/SUM(AT343:AT349)</f>
        <v>4.2226487523992322E-2</v>
      </c>
      <c r="BG349">
        <f t="shared" ref="BG349" si="3209">SUM(AU336:AU349)/SUM(AT336:AT349)</f>
        <v>3.7838070258416824E-2</v>
      </c>
      <c r="BH349">
        <f t="shared" ref="BH349" si="3210">SUM(AX343:AX349)/SUM(AW343:AW349)</f>
        <v>3.7785588752196834E-2</v>
      </c>
      <c r="BI349">
        <f t="shared" ref="BI349" si="3211">SUM(AZ343:AZ349)/SUM(AY343:AY349)</f>
        <v>2.5114706592610482E-2</v>
      </c>
      <c r="BJ349">
        <f t="shared" ref="BJ349" si="3212">SUM(BB343:BB349)/SUM(BA343:BA349)</f>
        <v>1.4903129657228018E-2</v>
      </c>
      <c r="BN349" s="20">
        <v>4049492</v>
      </c>
      <c r="BO349" s="20">
        <v>363467</v>
      </c>
      <c r="BP349" s="20">
        <v>1315987</v>
      </c>
      <c r="BQ349" s="20">
        <v>241914</v>
      </c>
      <c r="BR349" s="20">
        <v>280019</v>
      </c>
      <c r="BS349" s="20">
        <v>56291</v>
      </c>
      <c r="BT349" s="21">
        <f t="shared" si="2990"/>
        <v>1557901</v>
      </c>
      <c r="BU349" s="21">
        <f t="shared" si="2991"/>
        <v>336310</v>
      </c>
      <c r="BV349" s="20">
        <v>32036</v>
      </c>
      <c r="BW349" s="20">
        <v>2793</v>
      </c>
      <c r="BX349" s="20">
        <v>8788</v>
      </c>
      <c r="BY349" s="20">
        <v>2669</v>
      </c>
      <c r="BZ349" s="20">
        <v>2066</v>
      </c>
      <c r="CA349" s="20">
        <v>600</v>
      </c>
      <c r="CB349" s="21">
        <f t="shared" si="2992"/>
        <v>11457</v>
      </c>
      <c r="CC349" s="21">
        <f t="shared" si="2993"/>
        <v>2666</v>
      </c>
      <c r="CD349" s="20">
        <v>24981</v>
      </c>
      <c r="CE349" s="20">
        <v>1663</v>
      </c>
      <c r="CF349" s="20">
        <v>4965</v>
      </c>
      <c r="CG349" s="20">
        <v>1669</v>
      </c>
      <c r="CH349" s="20">
        <v>1140</v>
      </c>
      <c r="CI349" s="20">
        <v>438</v>
      </c>
      <c r="CJ349" s="21">
        <f t="shared" si="2994"/>
        <v>6634</v>
      </c>
      <c r="CK349" s="21">
        <f t="shared" si="2995"/>
        <v>1578</v>
      </c>
      <c r="CL349" s="20">
        <v>183707</v>
      </c>
      <c r="CM349" s="20">
        <v>16223</v>
      </c>
      <c r="CN349" s="20">
        <v>61679</v>
      </c>
      <c r="CO349" s="20">
        <v>4598</v>
      </c>
      <c r="CP349" s="20">
        <v>14114</v>
      </c>
      <c r="CQ349" s="20">
        <v>759</v>
      </c>
      <c r="CR349" s="21">
        <f t="shared" si="2996"/>
        <v>66277</v>
      </c>
      <c r="CS349" s="21">
        <f t="shared" si="2997"/>
        <v>14873</v>
      </c>
    </row>
    <row r="350" spans="1:97" x14ac:dyDescent="0.35">
      <c r="A350" s="14">
        <f t="shared" si="2761"/>
        <v>44256</v>
      </c>
      <c r="B350" s="9">
        <f t="shared" si="2963"/>
        <v>1559180</v>
      </c>
      <c r="C350">
        <f t="shared" ref="C350" si="3213">BU350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14">-(J350-J349)+L350</f>
        <v>7</v>
      </c>
      <c r="N350" s="7">
        <f t="shared" ref="N350" si="3215">B350-C350</f>
        <v>1222676</v>
      </c>
      <c r="O350" s="4">
        <f t="shared" ref="O350" si="3216">C350/B350</f>
        <v>0.2158211367513693</v>
      </c>
      <c r="R350">
        <f t="shared" ref="R350" si="3217">C350-C349</f>
        <v>194</v>
      </c>
      <c r="S350">
        <f t="shared" ref="S350" si="3218">N350-N349</f>
        <v>1085</v>
      </c>
      <c r="T350" s="8">
        <f t="shared" ref="T350" si="3219">R350/V350</f>
        <v>0.15168100078186084</v>
      </c>
      <c r="U350" s="8">
        <f t="shared" ref="U350" si="3220">SUM(R344:R350)/SUM(V344:V350)</f>
        <v>0.18972675485179105</v>
      </c>
      <c r="V350">
        <f t="shared" ref="V350" si="3221">B350-B349</f>
        <v>1279</v>
      </c>
      <c r="W350">
        <f t="shared" ref="W350" si="3222">C350-D350-E350</f>
        <v>15588</v>
      </c>
      <c r="X350" s="3">
        <f t="shared" ref="X350" si="3223">F350/W350</f>
        <v>1.2637926610212985E-2</v>
      </c>
      <c r="Y350">
        <f t="shared" si="3079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224">Z350-AC350-AF350</f>
        <v>120</v>
      </c>
      <c r="AJ350">
        <f t="shared" ref="AJ350" si="3225">AA350-AD350-AG350</f>
        <v>43</v>
      </c>
      <c r="AK350">
        <f t="shared" ref="AK350" si="3226">AB350-AE350-AH350</f>
        <v>477</v>
      </c>
      <c r="AL350">
        <v>4</v>
      </c>
      <c r="AM350">
        <v>4</v>
      </c>
      <c r="AN350">
        <v>15</v>
      </c>
      <c r="AT350">
        <f t="shared" ref="AT350" si="3227">BN350-BN349</f>
        <v>4734</v>
      </c>
      <c r="AU350">
        <f t="shared" ref="AU350" si="3228">BO350-BO349</f>
        <v>203</v>
      </c>
      <c r="AV350">
        <f t="shared" ref="AV350" si="3229">AU350/AT350</f>
        <v>4.2881284326151244E-2</v>
      </c>
      <c r="AW350">
        <f t="shared" ref="AW350" si="3230">BV350-BV349</f>
        <v>36</v>
      </c>
      <c r="AX350">
        <f t="shared" ref="AX350" si="3231">BW350-BW349</f>
        <v>0</v>
      </c>
      <c r="AY350">
        <f t="shared" ref="AY350" si="3232">CL350-CL349</f>
        <v>255</v>
      </c>
      <c r="AZ350">
        <f t="shared" ref="AZ350" si="3233">CM350-CM349</f>
        <v>12</v>
      </c>
      <c r="BA350">
        <f t="shared" ref="BA350" si="3234">CD350-CD349</f>
        <v>27</v>
      </c>
      <c r="BB350">
        <f t="shared" ref="BB350" si="3235">CE350-CE349</f>
        <v>1</v>
      </c>
      <c r="BC350">
        <f t="shared" ref="BC350" si="3236">AX350/AW350</f>
        <v>0</v>
      </c>
      <c r="BD350">
        <f t="shared" ref="BD350" si="3237">AZ350/AY350</f>
        <v>4.7058823529411764E-2</v>
      </c>
      <c r="BE350">
        <f t="shared" si="1929"/>
        <v>3.7037037037037035E-2</v>
      </c>
      <c r="BF350">
        <f t="shared" ref="BF350" si="3238">SUM(AU344:AU350)/SUM(AT344:AT350)</f>
        <v>4.2257142574590331E-2</v>
      </c>
      <c r="BG350">
        <f t="shared" ref="BG350" si="3239">SUM(AU337:AU350)/SUM(AT337:AT350)</f>
        <v>3.7776112206462945E-2</v>
      </c>
      <c r="BH350">
        <f t="shared" ref="BH350" si="3240">SUM(AX344:AX350)/SUM(AW344:AW350)</f>
        <v>3.8360941586748042E-2</v>
      </c>
      <c r="BI350">
        <f t="shared" ref="BI350" si="3241">SUM(AZ344:AZ350)/SUM(AY344:AY350)</f>
        <v>2.7309427689384946E-2</v>
      </c>
      <c r="BJ350">
        <f t="shared" ref="BJ350" si="3242">SUM(BB344:BB350)/SUM(BA344:BA350)</f>
        <v>1.3372956909361069E-2</v>
      </c>
      <c r="BN350" s="20">
        <v>4054226</v>
      </c>
      <c r="BO350" s="20">
        <v>363670</v>
      </c>
      <c r="BP350" s="20">
        <v>1317257</v>
      </c>
      <c r="BQ350" s="20">
        <v>241923</v>
      </c>
      <c r="BR350" s="20">
        <v>280195</v>
      </c>
      <c r="BS350" s="20">
        <v>56309</v>
      </c>
      <c r="BT350" s="21">
        <f t="shared" si="2990"/>
        <v>1559180</v>
      </c>
      <c r="BU350" s="21">
        <f t="shared" si="2991"/>
        <v>336504</v>
      </c>
      <c r="BV350" s="20">
        <v>32072</v>
      </c>
      <c r="BW350" s="20">
        <v>2793</v>
      </c>
      <c r="BX350" s="20">
        <v>8797</v>
      </c>
      <c r="BY350" s="20">
        <v>2667</v>
      </c>
      <c r="BZ350" s="20">
        <v>2070</v>
      </c>
      <c r="CA350" s="20">
        <v>600</v>
      </c>
      <c r="CB350" s="21">
        <f t="shared" si="2992"/>
        <v>11464</v>
      </c>
      <c r="CC350" s="21">
        <f t="shared" si="2993"/>
        <v>2670</v>
      </c>
      <c r="CD350" s="20">
        <v>25008</v>
      </c>
      <c r="CE350" s="20">
        <v>1664</v>
      </c>
      <c r="CF350" s="20">
        <v>4976</v>
      </c>
      <c r="CG350" s="20">
        <v>1666</v>
      </c>
      <c r="CH350" s="20">
        <v>1141</v>
      </c>
      <c r="CI350" s="20">
        <v>438</v>
      </c>
      <c r="CJ350" s="21">
        <f t="shared" si="2994"/>
        <v>6642</v>
      </c>
      <c r="CK350" s="21">
        <f t="shared" si="2995"/>
        <v>1579</v>
      </c>
      <c r="CL350" s="20">
        <v>183962</v>
      </c>
      <c r="CM350" s="20">
        <v>16235</v>
      </c>
      <c r="CN350" s="20">
        <v>61757</v>
      </c>
      <c r="CO350" s="20">
        <v>4577</v>
      </c>
      <c r="CP350" s="20">
        <v>14119</v>
      </c>
      <c r="CQ350" s="20">
        <v>759</v>
      </c>
      <c r="CR350" s="21">
        <f t="shared" si="2996"/>
        <v>66334</v>
      </c>
      <c r="CS350" s="21">
        <f t="shared" si="2997"/>
        <v>14878</v>
      </c>
    </row>
    <row r="351" spans="1:97" x14ac:dyDescent="0.35">
      <c r="A351" s="14">
        <f t="shared" si="2761"/>
        <v>44257</v>
      </c>
      <c r="B351" s="9">
        <f t="shared" si="2963"/>
        <v>1561859</v>
      </c>
      <c r="C351">
        <f t="shared" ref="C351" si="3243">BU351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244">-(J351-J350)+L351</f>
        <v>4</v>
      </c>
      <c r="N351" s="7">
        <f t="shared" ref="N351" si="3245">B351-C351</f>
        <v>1224893</v>
      </c>
      <c r="O351" s="4">
        <f t="shared" ref="O351" si="3246">C351/B351</f>
        <v>0.21574674794587731</v>
      </c>
      <c r="R351">
        <f t="shared" ref="R351" si="3247">C351-C350</f>
        <v>462</v>
      </c>
      <c r="S351">
        <f t="shared" ref="S351" si="3248">N351-N350</f>
        <v>2217</v>
      </c>
      <c r="T351" s="8">
        <f t="shared" ref="T351" si="3249">R351/V351</f>
        <v>0.17245240761478164</v>
      </c>
      <c r="U351" s="8">
        <f t="shared" ref="U351" si="3250">SUM(R345:R351)/SUM(V345:V351)</f>
        <v>0.18831236897274634</v>
      </c>
      <c r="V351">
        <f t="shared" ref="V351" si="3251">B351-B350</f>
        <v>2679</v>
      </c>
      <c r="W351">
        <f t="shared" ref="W351" si="3252">C351-D351-E351</f>
        <v>14652</v>
      </c>
      <c r="X351" s="3">
        <f t="shared" ref="X351" si="3253">F351/W351</f>
        <v>1.4264264264264264E-2</v>
      </c>
      <c r="Y351">
        <f t="shared" ref="Y351" si="3254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255">AA351-AD351-AG351</f>
        <v>37</v>
      </c>
      <c r="AK351">
        <f t="shared" ref="AK351" si="3256">AB351-AE351-AH351</f>
        <v>429</v>
      </c>
      <c r="AL351">
        <v>6</v>
      </c>
      <c r="AM351">
        <v>6</v>
      </c>
      <c r="AN351">
        <v>19</v>
      </c>
      <c r="AT351">
        <f t="shared" ref="AT351" si="3257">BN351-BN350</f>
        <v>14602</v>
      </c>
      <c r="AU351">
        <f t="shared" ref="AU351" si="3258">BO351-BO350</f>
        <v>522</v>
      </c>
      <c r="AV351">
        <f t="shared" ref="AV351" si="3259">AU351/AT351</f>
        <v>3.5748527598959044E-2</v>
      </c>
      <c r="AW351">
        <f t="shared" ref="AW351" si="3260">BV351-BV350</f>
        <v>239</v>
      </c>
      <c r="AX351">
        <f t="shared" ref="AX351" si="3261">BW351-BW350</f>
        <v>9</v>
      </c>
      <c r="AY351">
        <f t="shared" ref="AY351" si="3262">CL351-CL350</f>
        <v>811</v>
      </c>
      <c r="AZ351">
        <f t="shared" ref="AZ351" si="3263">CM351-CM350</f>
        <v>11</v>
      </c>
      <c r="BA351">
        <f t="shared" ref="BA351" si="3264">CD351-CD350</f>
        <v>69</v>
      </c>
      <c r="BB351">
        <f t="shared" ref="BB351" si="3265">CE351-CE350</f>
        <v>4</v>
      </c>
      <c r="BC351">
        <f t="shared" ref="BC351" si="3266">AX351/AW351</f>
        <v>3.7656903765690378E-2</v>
      </c>
      <c r="BD351">
        <f t="shared" ref="BD351" si="3267">AZ351/AY351</f>
        <v>1.3563501849568433E-2</v>
      </c>
      <c r="BE351">
        <f t="shared" si="1929"/>
        <v>5.7971014492753624E-2</v>
      </c>
      <c r="BF351">
        <f t="shared" ref="BF351" si="3268">SUM(AU345:AU351)/SUM(AT345:AT351)</f>
        <v>4.2165757272463113E-2</v>
      </c>
      <c r="BG351">
        <f t="shared" ref="BG351" si="3269">SUM(AU338:AU351)/SUM(AT338:AT351)</f>
        <v>4.1700216129168965E-2</v>
      </c>
      <c r="BH351">
        <f t="shared" ref="BH351" si="3270">SUM(AX345:AX351)/SUM(AW345:AW351)</f>
        <v>4.0412725709372314E-2</v>
      </c>
      <c r="BI351">
        <f t="shared" ref="BI351" si="3271">SUM(AZ345:AZ351)/SUM(AY345:AY351)</f>
        <v>2.4766355140186914E-2</v>
      </c>
      <c r="BJ351">
        <f t="shared" ref="BJ351" si="3272">SUM(BB345:BB351)/SUM(BA345:BA351)</f>
        <v>2.3510971786833857E-2</v>
      </c>
      <c r="BN351" s="20">
        <v>4068828</v>
      </c>
      <c r="BO351" s="20">
        <v>364192</v>
      </c>
      <c r="BP351" s="20">
        <v>1318664</v>
      </c>
      <c r="BQ351" s="20">
        <v>243195</v>
      </c>
      <c r="BR351" s="20">
        <v>280467</v>
      </c>
      <c r="BS351" s="20">
        <v>56499</v>
      </c>
      <c r="BT351" s="21">
        <f t="shared" si="2990"/>
        <v>1561859</v>
      </c>
      <c r="BU351" s="21">
        <f t="shared" si="2991"/>
        <v>336966</v>
      </c>
      <c r="BV351" s="20">
        <v>32311</v>
      </c>
      <c r="BW351" s="20">
        <v>2802</v>
      </c>
      <c r="BX351" s="20">
        <v>8745</v>
      </c>
      <c r="BY351" s="20">
        <v>2748</v>
      </c>
      <c r="BZ351" s="20">
        <v>2074</v>
      </c>
      <c r="CA351" s="20">
        <v>601</v>
      </c>
      <c r="CB351" s="21">
        <f t="shared" si="2992"/>
        <v>11493</v>
      </c>
      <c r="CC351" s="21">
        <f t="shared" si="2993"/>
        <v>2675</v>
      </c>
      <c r="CD351" s="20">
        <v>25077</v>
      </c>
      <c r="CE351" s="20">
        <v>1668</v>
      </c>
      <c r="CF351" s="20">
        <v>4980</v>
      </c>
      <c r="CG351" s="20">
        <v>1670</v>
      </c>
      <c r="CH351" s="20">
        <v>1143</v>
      </c>
      <c r="CI351" s="20">
        <v>440</v>
      </c>
      <c r="CJ351" s="21">
        <f t="shared" si="2994"/>
        <v>6650</v>
      </c>
      <c r="CK351" s="21">
        <f t="shared" si="2995"/>
        <v>1583</v>
      </c>
      <c r="CL351" s="20">
        <v>184773</v>
      </c>
      <c r="CM351" s="20">
        <v>16246</v>
      </c>
      <c r="CN351" s="20">
        <v>61844</v>
      </c>
      <c r="CO351" s="20">
        <v>4630</v>
      </c>
      <c r="CP351" s="20">
        <v>14134</v>
      </c>
      <c r="CQ351" s="20">
        <v>769</v>
      </c>
      <c r="CR351" s="21">
        <f t="shared" si="2996"/>
        <v>66474</v>
      </c>
      <c r="CS351" s="21">
        <f t="shared" si="2997"/>
        <v>14903</v>
      </c>
    </row>
    <row r="352" spans="1:97" x14ac:dyDescent="0.35">
      <c r="A352" s="14">
        <f t="shared" si="2761"/>
        <v>44258</v>
      </c>
      <c r="B352" s="9">
        <f t="shared" si="2963"/>
        <v>1565414</v>
      </c>
      <c r="C352">
        <f t="shared" ref="C352" si="3273">BU352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274">-(J352-J351)+L352</f>
        <v>12</v>
      </c>
      <c r="N352" s="7">
        <f t="shared" ref="N352" si="3275">B352-C352</f>
        <v>1227820</v>
      </c>
      <c r="O352" s="4">
        <f t="shared" ref="O352" si="3276">C352/B352</f>
        <v>0.21565796651876118</v>
      </c>
      <c r="R352">
        <f t="shared" ref="R352" si="3277">C352-C351</f>
        <v>628</v>
      </c>
      <c r="S352">
        <f t="shared" ref="S352" si="3278">N352-N351</f>
        <v>2927</v>
      </c>
      <c r="T352" s="8">
        <f t="shared" ref="T352" si="3279">R352/V352</f>
        <v>0.17665260196905766</v>
      </c>
      <c r="U352" s="8">
        <f t="shared" ref="U352" si="3280">SUM(R346:R352)/SUM(V346:V352)</f>
        <v>0.18358860992683826</v>
      </c>
      <c r="V352">
        <f t="shared" ref="V352" si="3281">B352-B351</f>
        <v>3555</v>
      </c>
      <c r="W352">
        <f t="shared" ref="W352" si="3282">C352-D352-E352</f>
        <v>14358</v>
      </c>
      <c r="X352" s="3">
        <f t="shared" ref="X352" si="3283">F352/W352</f>
        <v>1.3302688396712633E-2</v>
      </c>
      <c r="Y352">
        <f t="shared" ref="Y352" si="3284">E352-E351</f>
        <v>26</v>
      </c>
      <c r="Z352">
        <f t="shared" ref="Z352:Z353" si="3285">BZ351+600</f>
        <v>2674</v>
      </c>
      <c r="AA352">
        <f t="shared" ref="AA352:AA353" si="3286">CK351</f>
        <v>1583</v>
      </c>
      <c r="AB352">
        <f t="shared" ref="AB352:AB353" si="3287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288">Z352-AC352-AF352</f>
        <v>115</v>
      </c>
      <c r="AJ352">
        <f t="shared" ref="AJ352" si="3289">AA352-AD352-AG352</f>
        <v>38</v>
      </c>
      <c r="AK352">
        <f t="shared" ref="AK352" si="3290">AB352-AE352-AH352</f>
        <v>421</v>
      </c>
      <c r="AL352">
        <v>7</v>
      </c>
      <c r="AM352">
        <v>7</v>
      </c>
      <c r="AN352">
        <v>23</v>
      </c>
      <c r="AT352">
        <f t="shared" ref="AT352" si="3291">BN352-BN351</f>
        <v>19392</v>
      </c>
      <c r="AU352">
        <f t="shared" ref="AU352" si="3292">BO352-BO351</f>
        <v>700</v>
      </c>
      <c r="AV352">
        <f t="shared" ref="AV352" si="3293">AU352/AT352</f>
        <v>3.6097359735973597E-2</v>
      </c>
      <c r="AW352">
        <f t="shared" ref="AW352" si="3294">BV352-BV351</f>
        <v>202</v>
      </c>
      <c r="AX352">
        <f t="shared" ref="AX352" si="3295">BW352-BW351</f>
        <v>6</v>
      </c>
      <c r="AY352">
        <f t="shared" ref="AY352" si="3296">CL352-CL351</f>
        <v>766</v>
      </c>
      <c r="AZ352">
        <f t="shared" ref="AZ352" si="3297">CM352-CM351</f>
        <v>15</v>
      </c>
      <c r="BA352">
        <f t="shared" ref="BA352" si="3298">CD352-CD351</f>
        <v>113</v>
      </c>
      <c r="BB352">
        <f t="shared" ref="BB352" si="3299">CE352-CE351</f>
        <v>4</v>
      </c>
      <c r="BC352">
        <f t="shared" ref="BC352" si="3300">AX352/AW352</f>
        <v>2.9702970297029702E-2</v>
      </c>
      <c r="BD352">
        <f t="shared" ref="BD352" si="3301">AZ352/AY352</f>
        <v>1.95822454308094E-2</v>
      </c>
      <c r="BE352">
        <f t="shared" si="1929"/>
        <v>3.5398230088495575E-2</v>
      </c>
      <c r="BF352">
        <f t="shared" ref="BF352" si="3302">SUM(AU346:AU352)/SUM(AT346:AT352)</f>
        <v>4.0914741309100264E-2</v>
      </c>
      <c r="BG352">
        <f t="shared" ref="BG352" si="3303">SUM(AU339:AU352)/SUM(AT339:AT352)</f>
        <v>4.1426351689447208E-2</v>
      </c>
      <c r="BH352">
        <f t="shared" ref="BH352" si="3304">SUM(AX346:AX352)/SUM(AW346:AW352)</f>
        <v>3.6846615252784917E-2</v>
      </c>
      <c r="BI352">
        <f t="shared" ref="BI352" si="3305">SUM(AZ346:AZ352)/SUM(AY346:AY352)</f>
        <v>5.3897024345285894E-4</v>
      </c>
      <c r="BJ352">
        <f t="shared" ref="BJ352" si="3306">SUM(BB346:BB352)/SUM(BA346:BA352)</f>
        <v>3.125E-2</v>
      </c>
      <c r="BN352" s="20">
        <v>4088220</v>
      </c>
      <c r="BO352" s="20">
        <v>364892</v>
      </c>
      <c r="BP352" s="20">
        <v>1321134</v>
      </c>
      <c r="BQ352" s="20">
        <v>244280</v>
      </c>
      <c r="BR352" s="20">
        <v>280943</v>
      </c>
      <c r="BS352" s="20">
        <v>56651</v>
      </c>
      <c r="BT352" s="21">
        <f t="shared" si="2990"/>
        <v>1565414</v>
      </c>
      <c r="BU352" s="21">
        <f t="shared" si="2991"/>
        <v>337594</v>
      </c>
      <c r="BV352" s="20">
        <v>32513</v>
      </c>
      <c r="BW352" s="20">
        <v>2808</v>
      </c>
      <c r="BX352" s="20">
        <v>8762</v>
      </c>
      <c r="BY352" s="20">
        <v>2755</v>
      </c>
      <c r="BZ352" s="20">
        <v>2081</v>
      </c>
      <c r="CA352" s="20">
        <v>603</v>
      </c>
      <c r="CB352" s="21">
        <f t="shared" si="2992"/>
        <v>11517</v>
      </c>
      <c r="CC352" s="21">
        <f t="shared" si="2993"/>
        <v>2684</v>
      </c>
      <c r="CD352" s="20">
        <v>25190</v>
      </c>
      <c r="CE352" s="20">
        <v>1672</v>
      </c>
      <c r="CF352" s="20">
        <v>4986</v>
      </c>
      <c r="CG352" s="20">
        <v>1674</v>
      </c>
      <c r="CH352" s="20">
        <v>1146</v>
      </c>
      <c r="CI352" s="20">
        <v>440</v>
      </c>
      <c r="CJ352" s="21">
        <f t="shared" si="2994"/>
        <v>6660</v>
      </c>
      <c r="CK352" s="21">
        <f t="shared" si="2995"/>
        <v>1586</v>
      </c>
      <c r="CL352" s="20">
        <v>185539</v>
      </c>
      <c r="CM352" s="20">
        <v>16261</v>
      </c>
      <c r="CN352" s="20">
        <v>61929</v>
      </c>
      <c r="CO352" s="20">
        <v>4650</v>
      </c>
      <c r="CP352" s="20">
        <v>14144</v>
      </c>
      <c r="CQ352" s="20">
        <v>762</v>
      </c>
      <c r="CR352" s="21">
        <f t="shared" si="2996"/>
        <v>66579</v>
      </c>
      <c r="CS352" s="21">
        <f t="shared" si="2997"/>
        <v>14906</v>
      </c>
    </row>
    <row r="353" spans="1:97" x14ac:dyDescent="0.35">
      <c r="A353" s="14">
        <f t="shared" si="2761"/>
        <v>44259</v>
      </c>
      <c r="B353" s="9">
        <f t="shared" si="2963"/>
        <v>1568803</v>
      </c>
      <c r="C353">
        <f t="shared" ref="C353" si="3307">BU353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08">-(J353-J352)+L353</f>
        <v>8</v>
      </c>
      <c r="N353" s="7">
        <f t="shared" ref="N353" si="3309">B353-C353</f>
        <v>1230642</v>
      </c>
      <c r="O353" s="4">
        <f t="shared" ref="O353" si="3310">C353/B353</f>
        <v>0.21555351436732337</v>
      </c>
      <c r="R353">
        <f t="shared" ref="R353" si="3311">C353-C352</f>
        <v>567</v>
      </c>
      <c r="S353">
        <f t="shared" ref="S353" si="3312">N353-N352</f>
        <v>2822</v>
      </c>
      <c r="T353" s="8">
        <f t="shared" ref="T353" si="3313">R353/V353</f>
        <v>0.16730598996754203</v>
      </c>
      <c r="U353" s="8">
        <f t="shared" ref="U353" si="3314">SUM(R347:R353)/SUM(V347:V353)</f>
        <v>0.18115015974440896</v>
      </c>
      <c r="V353">
        <f t="shared" ref="V353" si="3315">B353-B352</f>
        <v>3389</v>
      </c>
      <c r="W353">
        <f t="shared" ref="W353" si="3316">C353-D353-E353</f>
        <v>14086</v>
      </c>
      <c r="X353" s="3">
        <f t="shared" ref="X353" si="3317">F353/W353</f>
        <v>1.3062615362771547E-2</v>
      </c>
      <c r="Y353">
        <f t="shared" ref="Y353" si="3318">E353-E352</f>
        <v>3</v>
      </c>
      <c r="Z353">
        <f t="shared" si="3285"/>
        <v>2681</v>
      </c>
      <c r="AA353">
        <f t="shared" si="3286"/>
        <v>1586</v>
      </c>
      <c r="AB353">
        <f t="shared" si="3287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319">Z353-AC353-AF353</f>
        <v>122</v>
      </c>
      <c r="AJ353">
        <f t="shared" ref="AJ353" si="3320">AA353-AD353-AG353</f>
        <v>41</v>
      </c>
      <c r="AK353">
        <f t="shared" ref="AK353" si="3321">AB353-AE353-AH353</f>
        <v>424</v>
      </c>
      <c r="AL353">
        <v>7</v>
      </c>
      <c r="AM353">
        <v>7</v>
      </c>
      <c r="AN353">
        <v>23</v>
      </c>
      <c r="AT353">
        <f t="shared" ref="AT353" si="3322">BN353-BN352</f>
        <v>16963</v>
      </c>
      <c r="AU353">
        <f t="shared" ref="AU353" si="3323">BO353-BO352</f>
        <v>603</v>
      </c>
      <c r="AV353">
        <f t="shared" ref="AV353" si="3324">AU353/AT353</f>
        <v>3.5547957318870484E-2</v>
      </c>
      <c r="AW353">
        <f t="shared" ref="AW353" si="3325">BV353-BV352</f>
        <v>214</v>
      </c>
      <c r="AX353">
        <f t="shared" ref="AX353" si="3326">BW353-BW352</f>
        <v>5</v>
      </c>
      <c r="AY353">
        <f t="shared" ref="AY353" si="3327">CL353-CL352</f>
        <v>870</v>
      </c>
      <c r="AZ353">
        <f t="shared" ref="AZ353" si="3328">CM353-CM352</f>
        <v>32</v>
      </c>
      <c r="BA353">
        <f t="shared" ref="BA353" si="3329">CD353-CD352</f>
        <v>136</v>
      </c>
      <c r="BB353">
        <f t="shared" ref="BB353" si="3330">CE353-CE352</f>
        <v>1</v>
      </c>
      <c r="BC353">
        <f t="shared" ref="BC353" si="3331">AX353/AW353</f>
        <v>2.336448598130841E-2</v>
      </c>
      <c r="BD353">
        <f t="shared" ref="BD353" si="3332">AZ353/AY353</f>
        <v>3.6781609195402298E-2</v>
      </c>
      <c r="BE353">
        <f t="shared" si="1929"/>
        <v>7.3529411764705881E-3</v>
      </c>
      <c r="BF353">
        <f t="shared" ref="BF353" si="3333">SUM(AU347:AU353)/SUM(AT347:AT353)</f>
        <v>4.0276353430129003E-2</v>
      </c>
      <c r="BG353">
        <f t="shared" ref="BG353" si="3334">SUM(AU340:AU353)/SUM(AT340:AT353)</f>
        <v>4.062889002792975E-2</v>
      </c>
      <c r="BH353">
        <f t="shared" ref="BH353" si="3335">SUM(AX347:AX353)/SUM(AW347:AW353)</f>
        <v>3.8399999999999997E-2</v>
      </c>
      <c r="BI353">
        <f t="shared" ref="BI353" si="3336">SUM(AZ347:AZ353)/SUM(AY347:AY353)</f>
        <v>5.6327752415387671E-4</v>
      </c>
      <c r="BJ353">
        <f t="shared" ref="BJ353" si="3337">SUM(BB347:BB353)/SUM(BA347:BA353)</f>
        <v>2.2727272727272728E-2</v>
      </c>
      <c r="BN353" s="20">
        <v>4105183</v>
      </c>
      <c r="BO353" s="20">
        <v>365495</v>
      </c>
      <c r="BP353" s="20">
        <v>1323490</v>
      </c>
      <c r="BQ353" s="20">
        <v>245313</v>
      </c>
      <c r="BR353" s="20">
        <v>281328</v>
      </c>
      <c r="BS353" s="20">
        <v>56833</v>
      </c>
      <c r="BT353" s="21">
        <f t="shared" si="2990"/>
        <v>1568803</v>
      </c>
      <c r="BU353" s="21">
        <f t="shared" si="2991"/>
        <v>338161</v>
      </c>
      <c r="BV353" s="20">
        <v>32727</v>
      </c>
      <c r="BW353" s="20">
        <v>2813</v>
      </c>
      <c r="BX353" s="20">
        <v>8753</v>
      </c>
      <c r="BY353" s="20">
        <v>2792</v>
      </c>
      <c r="BZ353" s="20">
        <v>2083</v>
      </c>
      <c r="CA353" s="20">
        <v>606</v>
      </c>
      <c r="CB353" s="21">
        <f t="shared" si="2992"/>
        <v>11545</v>
      </c>
      <c r="CC353" s="21">
        <f t="shared" si="2993"/>
        <v>2689</v>
      </c>
      <c r="CD353" s="20">
        <v>25326</v>
      </c>
      <c r="CE353" s="20">
        <v>1673</v>
      </c>
      <c r="CF353" s="20">
        <v>4998</v>
      </c>
      <c r="CG353" s="20">
        <v>1679</v>
      </c>
      <c r="CH353" s="20">
        <v>1148</v>
      </c>
      <c r="CI353" s="20">
        <v>440</v>
      </c>
      <c r="CJ353" s="21">
        <f t="shared" si="2994"/>
        <v>6677</v>
      </c>
      <c r="CK353" s="21">
        <f t="shared" si="2995"/>
        <v>1588</v>
      </c>
      <c r="CL353" s="20">
        <v>186409</v>
      </c>
      <c r="CM353" s="20">
        <v>16293</v>
      </c>
      <c r="CN353" s="20">
        <v>62039</v>
      </c>
      <c r="CO353" s="20">
        <v>4647</v>
      </c>
      <c r="CP353" s="20">
        <v>14163</v>
      </c>
      <c r="CQ353" s="20">
        <v>765</v>
      </c>
      <c r="CR353" s="21">
        <f t="shared" si="2996"/>
        <v>66686</v>
      </c>
      <c r="CS353" s="21">
        <f t="shared" si="2997"/>
        <v>14928</v>
      </c>
    </row>
    <row r="354" spans="1:97" x14ac:dyDescent="0.35">
      <c r="A354" s="14">
        <f t="shared" si="2761"/>
        <v>44260</v>
      </c>
      <c r="B354" s="9">
        <f t="shared" si="2963"/>
        <v>1572001</v>
      </c>
      <c r="C354">
        <f t="shared" ref="C354" si="3338">BU354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339">-(J354-J353)+L354</f>
        <v>9</v>
      </c>
      <c r="N354" s="7">
        <f t="shared" ref="N354" si="3340">B354-C354</f>
        <v>1233330</v>
      </c>
      <c r="O354" s="4">
        <f t="shared" ref="O354" si="3341">C354/B354</f>
        <v>0.21543943038204175</v>
      </c>
      <c r="R354">
        <f t="shared" ref="R354" si="3342">C354-C353</f>
        <v>510</v>
      </c>
      <c r="S354">
        <f t="shared" ref="S354" si="3343">N354-N353</f>
        <v>2688</v>
      </c>
      <c r="T354" s="8">
        <f t="shared" ref="T354" si="3344">R354/V354</f>
        <v>0.15947467166979362</v>
      </c>
      <c r="U354" s="8">
        <f t="shared" ref="U354" si="3345">SUM(R348:R354)/SUM(V348:V354)</f>
        <v>0.17218298724570466</v>
      </c>
      <c r="V354">
        <f t="shared" ref="V354" si="3346">B354-B353</f>
        <v>3198</v>
      </c>
      <c r="W354">
        <f t="shared" ref="W354" si="3347">C354-D354-E354</f>
        <v>14129</v>
      </c>
      <c r="X354" s="3">
        <f t="shared" ref="X354" si="3348">F354/W354</f>
        <v>1.2456649444405124E-2</v>
      </c>
      <c r="Y354">
        <f t="shared" ref="Y354" si="3349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350">Z354-AC354-AF354</f>
        <v>121</v>
      </c>
      <c r="AJ354">
        <f t="shared" ref="AJ354" si="3351">AA354-AD354-AG354</f>
        <v>40</v>
      </c>
      <c r="AK354">
        <f t="shared" ref="AK354" si="3352">AB354-AE354-AH354</f>
        <v>401</v>
      </c>
      <c r="AL354">
        <v>7</v>
      </c>
      <c r="AM354">
        <v>7</v>
      </c>
      <c r="AN354">
        <v>25</v>
      </c>
      <c r="AT354">
        <f t="shared" ref="AT354" si="3353">BN354-BN353</f>
        <v>16237</v>
      </c>
      <c r="AU354">
        <f t="shared" ref="AU354" si="3354">BO354-BO353</f>
        <v>557</v>
      </c>
      <c r="AV354">
        <f t="shared" ref="AV354" si="3355">AU354/AT354</f>
        <v>3.4304366570179219E-2</v>
      </c>
      <c r="AW354">
        <f t="shared" ref="AW354" si="3356">BV354-BV353</f>
        <v>263</v>
      </c>
      <c r="AX354">
        <f t="shared" ref="AX354" si="3357">BW354-BW353</f>
        <v>12</v>
      </c>
      <c r="AY354">
        <f t="shared" ref="AY354" si="3358">CL354-CL353</f>
        <v>408</v>
      </c>
      <c r="AZ354">
        <f t="shared" ref="AZ354" si="3359">CM354-CM353</f>
        <v>9</v>
      </c>
      <c r="BA354">
        <f t="shared" ref="BA354" si="3360">CD354-CD353</f>
        <v>167</v>
      </c>
      <c r="BB354">
        <f t="shared" ref="BB354" si="3361">CE354-CE353</f>
        <v>1</v>
      </c>
      <c r="BC354">
        <f t="shared" ref="BC354" si="3362">AX354/AW354</f>
        <v>4.5627376425855515E-2</v>
      </c>
      <c r="BD354">
        <f t="shared" ref="BD354" si="3363">AZ354/AY354</f>
        <v>2.2058823529411766E-2</v>
      </c>
      <c r="BE354">
        <f t="shared" si="1929"/>
        <v>5.9880239520958087E-3</v>
      </c>
      <c r="BF354">
        <f t="shared" ref="BF354" si="3364">SUM(AU348:AU354)/SUM(AT348:AT354)</f>
        <v>3.8478162211224687E-2</v>
      </c>
      <c r="BG354">
        <f t="shared" ref="BG354" si="3365">SUM(AU341:AU354)/SUM(AT341:AT354)</f>
        <v>4.0686401411687632E-2</v>
      </c>
      <c r="BH354">
        <f t="shared" ref="BH354" si="3366">SUM(AX348:AX354)/SUM(AW348:AW354)</f>
        <v>3.8322487346348515E-2</v>
      </c>
      <c r="BI354">
        <f t="shared" ref="BI354" si="3367">SUM(AZ348:AZ354)/SUM(AY348:AY354)</f>
        <v>2.365038560411311E-2</v>
      </c>
      <c r="BJ354">
        <f t="shared" ref="BJ354" si="3368">SUM(BB348:BB354)/SUM(BA348:BA354)</f>
        <v>2.2630834512022632E-2</v>
      </c>
      <c r="BN354" s="20">
        <v>4121420</v>
      </c>
      <c r="BO354" s="20">
        <v>366052</v>
      </c>
      <c r="BP354" s="20">
        <v>1325485</v>
      </c>
      <c r="BQ354" s="20">
        <v>246516</v>
      </c>
      <c r="BR354" s="20">
        <v>281706</v>
      </c>
      <c r="BS354" s="20">
        <v>56965</v>
      </c>
      <c r="BT354" s="21">
        <f t="shared" si="2990"/>
        <v>1572001</v>
      </c>
      <c r="BU354" s="21">
        <f t="shared" si="2991"/>
        <v>338671</v>
      </c>
      <c r="BV354" s="20">
        <v>32990</v>
      </c>
      <c r="BW354" s="20">
        <v>2825</v>
      </c>
      <c r="BX354" s="20">
        <v>8755</v>
      </c>
      <c r="BY354" s="20">
        <v>2818</v>
      </c>
      <c r="BZ354" s="20">
        <v>2087</v>
      </c>
      <c r="CA354" s="20">
        <v>611</v>
      </c>
      <c r="CB354" s="21">
        <f t="shared" si="2992"/>
        <v>11573</v>
      </c>
      <c r="CC354" s="21">
        <f t="shared" si="2993"/>
        <v>2698</v>
      </c>
      <c r="CD354" s="20">
        <v>25493</v>
      </c>
      <c r="CE354" s="20">
        <v>1674</v>
      </c>
      <c r="CF354" s="20">
        <v>5014</v>
      </c>
      <c r="CG354" s="20">
        <v>1680</v>
      </c>
      <c r="CH354" s="20">
        <v>1148</v>
      </c>
      <c r="CI354" s="20">
        <v>442</v>
      </c>
      <c r="CJ354" s="21">
        <f t="shared" si="2994"/>
        <v>6694</v>
      </c>
      <c r="CK354" s="21">
        <f t="shared" si="2995"/>
        <v>1590</v>
      </c>
      <c r="CL354" s="20">
        <v>186817</v>
      </c>
      <c r="CM354" s="20">
        <v>16302</v>
      </c>
      <c r="CN354" s="20">
        <v>62110</v>
      </c>
      <c r="CO354" s="20">
        <v>4666</v>
      </c>
      <c r="CP354" s="20">
        <v>14180</v>
      </c>
      <c r="CQ354" s="20">
        <v>765</v>
      </c>
      <c r="CR354" s="21">
        <f t="shared" si="2996"/>
        <v>66776</v>
      </c>
      <c r="CS354" s="21">
        <f t="shared" si="2997"/>
        <v>14945</v>
      </c>
    </row>
    <row r="355" spans="1:97" x14ac:dyDescent="0.35">
      <c r="A355" s="14">
        <f t="shared" si="2761"/>
        <v>44261</v>
      </c>
      <c r="B355" s="9">
        <f t="shared" si="2963"/>
        <v>1575066</v>
      </c>
      <c r="C355">
        <f t="shared" ref="C355" si="3369">BU355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370">-(J355-J354)+L355</f>
        <v>6</v>
      </c>
      <c r="N355" s="7">
        <f t="shared" ref="N355" si="3371">B355-C355</f>
        <v>1235857</v>
      </c>
      <c r="O355" s="4">
        <f t="shared" ref="O355" si="3372">C355/B355</f>
        <v>0.21536176896714168</v>
      </c>
      <c r="R355">
        <f t="shared" ref="R355" si="3373">C355-C354</f>
        <v>538</v>
      </c>
      <c r="S355">
        <f t="shared" ref="S355" si="3374">N355-N354</f>
        <v>2527</v>
      </c>
      <c r="T355" s="8">
        <f t="shared" ref="T355" si="3375">R355/V355</f>
        <v>0.17553017944535074</v>
      </c>
      <c r="U355" s="8">
        <f t="shared" ref="U355" si="3376">SUM(R349:R355)/SUM(V349:V355)</f>
        <v>0.16852765515450532</v>
      </c>
      <c r="V355">
        <f t="shared" ref="V355" si="3377">B355-B354</f>
        <v>3065</v>
      </c>
      <c r="W355">
        <f t="shared" ref="W355" si="3378">C355-D355-E355</f>
        <v>13878</v>
      </c>
      <c r="X355" s="3">
        <f t="shared" ref="X355" si="3379">F355/W355</f>
        <v>1.2249603689292406E-2</v>
      </c>
      <c r="Y355">
        <f t="shared" ref="Y355" si="3380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381">Z355-AC355-AF355</f>
        <v>121</v>
      </c>
      <c r="AJ355">
        <f t="shared" ref="AJ355" si="3382">AA355-AD355-AG355</f>
        <v>40</v>
      </c>
      <c r="AK355">
        <f t="shared" ref="AK355" si="3383">AB355-AE355-AH355</f>
        <v>393</v>
      </c>
      <c r="AL355">
        <v>7</v>
      </c>
      <c r="AM355">
        <v>7</v>
      </c>
      <c r="AN355">
        <v>27</v>
      </c>
      <c r="AT355">
        <f t="shared" ref="AT355" si="3384">BN355-BN354</f>
        <v>15104</v>
      </c>
      <c r="AU355">
        <f t="shared" ref="AU355" si="3385">BO355-BO354</f>
        <v>578</v>
      </c>
      <c r="AV355">
        <f t="shared" ref="AV355" si="3386">AU355/AT355</f>
        <v>3.8268008474576273E-2</v>
      </c>
      <c r="AW355">
        <f t="shared" ref="AW355" si="3387">BV355-BV354</f>
        <v>167</v>
      </c>
      <c r="AX355">
        <f t="shared" ref="AX355" si="3388">BW355-BW354</f>
        <v>7</v>
      </c>
      <c r="AY355">
        <f t="shared" ref="AY355" si="3389">CL355-CL354</f>
        <v>902</v>
      </c>
      <c r="AZ355">
        <f t="shared" ref="AZ355" si="3390">CM355-CM354</f>
        <v>17</v>
      </c>
      <c r="BA355">
        <f t="shared" ref="BA355" si="3391">CD355-CD354</f>
        <v>161</v>
      </c>
      <c r="BB355">
        <f t="shared" ref="BB355" si="3392">CE355-CE354</f>
        <v>3</v>
      </c>
      <c r="BC355">
        <f t="shared" ref="BC355" si="3393">AX355/AW355</f>
        <v>4.1916167664670656E-2</v>
      </c>
      <c r="BD355">
        <f t="shared" ref="BD355" si="3394">AZ355/AY355</f>
        <v>1.8847006651884702E-2</v>
      </c>
      <c r="BE355">
        <f t="shared" si="1929"/>
        <v>1.8633540372670808E-2</v>
      </c>
      <c r="BF355">
        <f t="shared" ref="BF355" si="3395">SUM(AU349:AU355)/SUM(AT349:AT355)</f>
        <v>3.7934274305481415E-2</v>
      </c>
      <c r="BG355">
        <f t="shared" ref="BG355" si="3396">SUM(AU342:AU355)/SUM(AT342:AT355)</f>
        <v>4.0406537852524814E-2</v>
      </c>
      <c r="BH355">
        <f t="shared" ref="BH355" si="3397">SUM(AX349:AX355)/SUM(AW349:AW355)</f>
        <v>3.9586919104991396E-2</v>
      </c>
      <c r="BI355">
        <f t="shared" ref="BI355" si="3398">SUM(AZ349:AZ355)/SUM(AY349:AY355)</f>
        <v>2.3998136067101584E-2</v>
      </c>
      <c r="BJ355">
        <f t="shared" ref="BJ355" si="3399">SUM(BB349:BB355)/SUM(BA349:BA355)</f>
        <v>2.1828103683492497E-2</v>
      </c>
      <c r="BN355" s="20">
        <v>4136524</v>
      </c>
      <c r="BO355" s="20">
        <v>366630</v>
      </c>
      <c r="BP355" s="20">
        <v>1327323</v>
      </c>
      <c r="BQ355" s="20">
        <v>247743</v>
      </c>
      <c r="BR355" s="20">
        <v>282082</v>
      </c>
      <c r="BS355" s="20">
        <v>57127</v>
      </c>
      <c r="BT355" s="21">
        <f t="shared" si="2990"/>
        <v>1575066</v>
      </c>
      <c r="BU355" s="21">
        <f t="shared" si="2991"/>
        <v>339209</v>
      </c>
      <c r="BV355" s="20">
        <v>33157</v>
      </c>
      <c r="BW355" s="20">
        <v>2832</v>
      </c>
      <c r="BX355" s="20">
        <v>8768</v>
      </c>
      <c r="BY355" s="20">
        <v>2831</v>
      </c>
      <c r="BZ355" s="20">
        <v>2092</v>
      </c>
      <c r="CA355" s="20">
        <v>612</v>
      </c>
      <c r="CB355" s="21">
        <f t="shared" si="2992"/>
        <v>11599</v>
      </c>
      <c r="CC355" s="21">
        <f t="shared" si="2993"/>
        <v>2704</v>
      </c>
      <c r="CD355" s="20">
        <v>25654</v>
      </c>
      <c r="CE355" s="20">
        <v>1677</v>
      </c>
      <c r="CF355" s="20">
        <v>5015</v>
      </c>
      <c r="CG355" s="20">
        <v>1694</v>
      </c>
      <c r="CH355" s="20">
        <v>1149</v>
      </c>
      <c r="CI355" s="20">
        <v>444</v>
      </c>
      <c r="CJ355" s="21">
        <f t="shared" si="2994"/>
        <v>6709</v>
      </c>
      <c r="CK355" s="21">
        <f t="shared" si="2995"/>
        <v>1593</v>
      </c>
      <c r="CL355" s="20">
        <v>187719</v>
      </c>
      <c r="CM355" s="20">
        <v>16319</v>
      </c>
      <c r="CN355" s="20">
        <v>62120</v>
      </c>
      <c r="CO355" s="20">
        <v>4688</v>
      </c>
      <c r="CP355" s="20">
        <v>14194</v>
      </c>
      <c r="CQ355" s="20">
        <v>768</v>
      </c>
      <c r="CR355" s="21">
        <f t="shared" si="2996"/>
        <v>66808</v>
      </c>
      <c r="CS355" s="21">
        <f t="shared" si="2997"/>
        <v>14962</v>
      </c>
    </row>
    <row r="356" spans="1:97" x14ac:dyDescent="0.35">
      <c r="A356" s="14">
        <f t="shared" si="2761"/>
        <v>44262</v>
      </c>
      <c r="B356" s="9">
        <f t="shared" si="2963"/>
        <v>1576999</v>
      </c>
      <c r="C356">
        <f t="shared" ref="C356" si="3400">BU356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01">-(J356-J355)+L356</f>
        <v>11</v>
      </c>
      <c r="N356" s="7">
        <f t="shared" ref="N356" si="3402">B356-C356</f>
        <v>1237453</v>
      </c>
      <c r="O356" s="4">
        <f t="shared" ref="O356" si="3403">C356/B356</f>
        <v>0.21531148719815293</v>
      </c>
      <c r="R356">
        <f t="shared" ref="R356" si="3404">C356-C355</f>
        <v>337</v>
      </c>
      <c r="S356">
        <f t="shared" ref="S356" si="3405">N356-N355</f>
        <v>1596</v>
      </c>
      <c r="T356" s="8">
        <f t="shared" ref="T356" si="3406">R356/V356</f>
        <v>0.17434040351784791</v>
      </c>
      <c r="U356" s="8">
        <f t="shared" ref="U356" si="3407">SUM(R350:R356)/SUM(V350:V356)</f>
        <v>0.16944182636925331</v>
      </c>
      <c r="V356">
        <f t="shared" ref="V356" si="3408">B356-B355</f>
        <v>1933</v>
      </c>
      <c r="W356">
        <f t="shared" ref="W356" si="3409">C356-D356-E356</f>
        <v>13939</v>
      </c>
      <c r="X356" s="3">
        <f t="shared" ref="X356" si="3410">F356/W356</f>
        <v>1.1980773369682186E-2</v>
      </c>
      <c r="Y356">
        <f t="shared" ref="Y356" si="3411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412">Z356-AC356-AF356</f>
        <v>118</v>
      </c>
      <c r="AJ356">
        <f t="shared" ref="AJ356" si="3413">AA356-AD356-AG356</f>
        <v>38</v>
      </c>
      <c r="AK356">
        <f t="shared" ref="AK356" si="3414">AB356-AE356-AH356</f>
        <v>378</v>
      </c>
      <c r="AL356">
        <v>7</v>
      </c>
      <c r="AM356">
        <v>7</v>
      </c>
      <c r="AN356">
        <v>27</v>
      </c>
      <c r="AT356">
        <f t="shared" ref="AT356" si="3415">BN356-BN355</f>
        <v>6877</v>
      </c>
      <c r="AU356">
        <f t="shared" ref="AU356" si="3416">BO356-BO355</f>
        <v>418</v>
      </c>
      <c r="AV356">
        <f t="shared" ref="AV356" si="3417">AU356/AT356</f>
        <v>6.0782317871164754E-2</v>
      </c>
      <c r="AW356">
        <f t="shared" ref="AW356" si="3418">BV356-BV355</f>
        <v>44</v>
      </c>
      <c r="AX356">
        <f t="shared" ref="AX356" si="3419">BW356-BW355</f>
        <v>4</v>
      </c>
      <c r="AY356">
        <f t="shared" ref="AY356" si="3420">CL356-CL355</f>
        <v>281</v>
      </c>
      <c r="AZ356">
        <f t="shared" ref="AZ356" si="3421">CM356-CM355</f>
        <v>13</v>
      </c>
      <c r="BA356">
        <f t="shared" ref="BA356" si="3422">CD356-CD355</f>
        <v>19</v>
      </c>
      <c r="BB356">
        <f t="shared" ref="BB356" si="3423">CE356-CE355</f>
        <v>0</v>
      </c>
      <c r="BC356">
        <f t="shared" ref="BC356" si="3424">AX356/AW356</f>
        <v>9.0909090909090912E-2</v>
      </c>
      <c r="BD356">
        <f t="shared" ref="BD356" si="3425">AZ356/AY356</f>
        <v>4.6263345195729534E-2</v>
      </c>
      <c r="BE356">
        <f t="shared" si="1929"/>
        <v>0</v>
      </c>
      <c r="BF356">
        <f t="shared" ref="BF356" si="3426">SUM(AU350:AU356)/SUM(AT350:AT356)</f>
        <v>3.8132660341394328E-2</v>
      </c>
      <c r="BG356">
        <f t="shared" ref="BG356" si="3427">SUM(AU343:AU356)/SUM(AT343:AT356)</f>
        <v>4.0206207237222402E-2</v>
      </c>
      <c r="BH356">
        <f t="shared" ref="BH356" si="3428">SUM(AX350:AX356)/SUM(AW350:AW356)</f>
        <v>3.6909871244635191E-2</v>
      </c>
      <c r="BI356">
        <f t="shared" ref="BI356" si="3429">SUM(AZ350:AZ356)/SUM(AY350:AY356)</f>
        <v>2.5390170044258094E-2</v>
      </c>
      <c r="BJ356">
        <f t="shared" ref="BJ356" si="3430">SUM(BB350:BB356)/SUM(BA350:BA356)</f>
        <v>2.023121387283237E-2</v>
      </c>
      <c r="BN356" s="20">
        <v>4143401</v>
      </c>
      <c r="BO356" s="20">
        <v>367048</v>
      </c>
      <c r="BP356" s="20">
        <v>1329005</v>
      </c>
      <c r="BQ356" s="20">
        <v>247994</v>
      </c>
      <c r="BR356" s="20">
        <v>282361</v>
      </c>
      <c r="BS356" s="20">
        <v>57185</v>
      </c>
      <c r="BT356" s="21">
        <f t="shared" si="2990"/>
        <v>1576999</v>
      </c>
      <c r="BU356" s="21">
        <f t="shared" si="2991"/>
        <v>339546</v>
      </c>
      <c r="BV356" s="20">
        <v>33201</v>
      </c>
      <c r="BW356" s="20">
        <v>2836</v>
      </c>
      <c r="BX356" s="20">
        <v>8775</v>
      </c>
      <c r="BY356" s="20">
        <v>2832</v>
      </c>
      <c r="BZ356" s="20">
        <v>2093</v>
      </c>
      <c r="CA356" s="20">
        <v>612</v>
      </c>
      <c r="CB356" s="21">
        <f t="shared" si="2992"/>
        <v>11607</v>
      </c>
      <c r="CC356" s="21">
        <f t="shared" si="2993"/>
        <v>2705</v>
      </c>
      <c r="CD356" s="20">
        <v>25673</v>
      </c>
      <c r="CE356" s="20">
        <v>1677</v>
      </c>
      <c r="CF356" s="20">
        <v>5017</v>
      </c>
      <c r="CG356" s="20">
        <v>1693</v>
      </c>
      <c r="CH356" s="20">
        <v>1149</v>
      </c>
      <c r="CI356" s="20">
        <v>444</v>
      </c>
      <c r="CJ356" s="21">
        <f t="shared" si="2994"/>
        <v>6710</v>
      </c>
      <c r="CK356" s="21">
        <f t="shared" si="2995"/>
        <v>1593</v>
      </c>
      <c r="CL356" s="20">
        <v>188000</v>
      </c>
      <c r="CM356" s="20">
        <v>16332</v>
      </c>
      <c r="CN356" s="20">
        <v>62231</v>
      </c>
      <c r="CO356" s="20">
        <v>4699</v>
      </c>
      <c r="CP356" s="20">
        <v>14200</v>
      </c>
      <c r="CQ356" s="20">
        <v>771</v>
      </c>
      <c r="CR356" s="21">
        <f t="shared" si="2996"/>
        <v>66930</v>
      </c>
      <c r="CS356" s="21">
        <f t="shared" si="2997"/>
        <v>14971</v>
      </c>
    </row>
    <row r="357" spans="1:97" x14ac:dyDescent="0.35">
      <c r="A357" s="14">
        <f t="shared" si="2761"/>
        <v>44263</v>
      </c>
      <c r="B357" s="9">
        <f t="shared" si="2963"/>
        <v>1578111</v>
      </c>
      <c r="C357">
        <f t="shared" ref="C357" si="3431">BU357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432">-(J357-J356)+L357</f>
        <v>6</v>
      </c>
      <c r="N357" s="7">
        <f t="shared" ref="N357" si="3433">B357-C357</f>
        <v>1238417</v>
      </c>
      <c r="O357" s="4">
        <f t="shared" ref="O357" si="3434">C357/B357</f>
        <v>0.21525355314043182</v>
      </c>
      <c r="R357">
        <f t="shared" ref="R357" si="3435">C357-C356</f>
        <v>148</v>
      </c>
      <c r="S357">
        <f t="shared" ref="S357" si="3436">N357-N356</f>
        <v>964</v>
      </c>
      <c r="T357" s="8">
        <f t="shared" ref="T357" si="3437">R357/V357</f>
        <v>0.13309352517985612</v>
      </c>
      <c r="U357" s="8">
        <f t="shared" ref="U357" si="3438">SUM(R351:R357)/SUM(V351:V357)</f>
        <v>0.168506682161534</v>
      </c>
      <c r="V357">
        <f t="shared" ref="V357" si="3439">B357-B356</f>
        <v>1112</v>
      </c>
      <c r="W357">
        <f t="shared" ref="W357" si="3440">C357-D357-E357</f>
        <v>13818</v>
      </c>
      <c r="X357" s="3">
        <f t="shared" ref="X357" si="3441">F357/W357</f>
        <v>1.2158054711246201E-2</v>
      </c>
      <c r="Y357">
        <f t="shared" ref="Y357" si="3442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443">Z357-AC357-AF357</f>
        <v>121</v>
      </c>
      <c r="AJ357">
        <f t="shared" ref="AJ357" si="3444">AA357-AD357-AG357</f>
        <v>41</v>
      </c>
      <c r="AK357">
        <f t="shared" ref="AK357" si="3445">AB357-AE357-AH357</f>
        <v>392</v>
      </c>
      <c r="AL357">
        <v>7</v>
      </c>
      <c r="AM357">
        <v>7</v>
      </c>
      <c r="AN357">
        <v>27</v>
      </c>
      <c r="AT357">
        <f t="shared" ref="AT357" si="3446">BN357-BN356</f>
        <v>3809</v>
      </c>
      <c r="AU357">
        <f t="shared" ref="AU357" si="3447">BO357-BO356</f>
        <v>119</v>
      </c>
      <c r="AV357">
        <f t="shared" ref="AV357" si="3448">AU357/AT357</f>
        <v>3.1241795746915199E-2</v>
      </c>
      <c r="AW357">
        <f t="shared" ref="AW357" si="3449">BV357-BV356</f>
        <v>27</v>
      </c>
      <c r="AX357">
        <f t="shared" ref="AX357" si="3450">BW357-BW356</f>
        <v>-3</v>
      </c>
      <c r="AY357">
        <f t="shared" ref="AY357" si="3451">CL357-CL356</f>
        <v>230</v>
      </c>
      <c r="AZ357">
        <f t="shared" ref="AZ357" si="3452">CM357-CM356</f>
        <v>4</v>
      </c>
      <c r="BA357">
        <f t="shared" ref="BA357" si="3453">CD357-CD356</f>
        <v>17</v>
      </c>
      <c r="BB357">
        <f t="shared" ref="BB357" si="3454">CE357-CE356</f>
        <v>3</v>
      </c>
      <c r="BC357">
        <f t="shared" ref="BC357" si="3455">AX357/AW357</f>
        <v>-0.1111111111111111</v>
      </c>
      <c r="BD357">
        <f t="shared" ref="BD357" si="3456">AZ357/AY357</f>
        <v>1.7391304347826087E-2</v>
      </c>
      <c r="BE357">
        <f t="shared" si="1929"/>
        <v>0.17647058823529413</v>
      </c>
      <c r="BF357">
        <f t="shared" ref="BF357" si="3457">SUM(AU351:AU357)/SUM(AT351:AT357)</f>
        <v>3.7608620837993635E-2</v>
      </c>
      <c r="BG357">
        <f t="shared" ref="BG357" si="3458">SUM(AU344:AU357)/SUM(AT344:AT357)</f>
        <v>4.0030293194850158E-2</v>
      </c>
      <c r="BH357">
        <f t="shared" ref="BH357" si="3459">SUM(AX351:AX357)/SUM(AW351:AW357)</f>
        <v>3.4602076124567477E-2</v>
      </c>
      <c r="BI357">
        <f t="shared" ref="BI357" si="3460">SUM(AZ351:AZ357)/SUM(AY351:AY357)</f>
        <v>2.3664479850046861E-2</v>
      </c>
      <c r="BJ357">
        <f t="shared" ref="BJ357" si="3461">SUM(BB351:BB357)/SUM(BA351:BA357)</f>
        <v>2.3460410557184751E-2</v>
      </c>
      <c r="BN357" s="20">
        <v>4147210</v>
      </c>
      <c r="BO357" s="20">
        <v>367167</v>
      </c>
      <c r="BP357" s="20">
        <v>1330033</v>
      </c>
      <c r="BQ357" s="20">
        <v>248078</v>
      </c>
      <c r="BR357" s="20">
        <v>282487</v>
      </c>
      <c r="BS357" s="20">
        <v>57207</v>
      </c>
      <c r="BT357" s="21">
        <f t="shared" si="2990"/>
        <v>1578111</v>
      </c>
      <c r="BU357" s="21">
        <f t="shared" si="2991"/>
        <v>339694</v>
      </c>
      <c r="BV357" s="20">
        <v>33228</v>
      </c>
      <c r="BW357" s="20">
        <v>2833</v>
      </c>
      <c r="BX357" s="20">
        <v>8791</v>
      </c>
      <c r="BY357" s="20">
        <v>2830</v>
      </c>
      <c r="BZ357" s="20">
        <v>2094</v>
      </c>
      <c r="CA357" s="20">
        <v>612</v>
      </c>
      <c r="CB357" s="21">
        <f t="shared" si="2992"/>
        <v>11621</v>
      </c>
      <c r="CC357" s="21">
        <f t="shared" si="2993"/>
        <v>2706</v>
      </c>
      <c r="CD357" s="20">
        <v>25690</v>
      </c>
      <c r="CE357" s="20">
        <v>1680</v>
      </c>
      <c r="CF357" s="20">
        <v>5022</v>
      </c>
      <c r="CG357" s="20">
        <v>1692</v>
      </c>
      <c r="CH357" s="20">
        <v>1149</v>
      </c>
      <c r="CI357" s="20">
        <v>444</v>
      </c>
      <c r="CJ357" s="21">
        <f t="shared" si="2994"/>
        <v>6714</v>
      </c>
      <c r="CK357" s="21">
        <f t="shared" si="2995"/>
        <v>1593</v>
      </c>
      <c r="CL357" s="20">
        <v>188230</v>
      </c>
      <c r="CM357" s="20">
        <v>16336</v>
      </c>
      <c r="CN357" s="20">
        <v>62281</v>
      </c>
      <c r="CO357" s="20">
        <v>4699</v>
      </c>
      <c r="CP357" s="20">
        <v>14203</v>
      </c>
      <c r="CQ357" s="20">
        <v>770</v>
      </c>
      <c r="CR357" s="21">
        <f t="shared" si="2996"/>
        <v>66980</v>
      </c>
      <c r="CS357" s="21">
        <f t="shared" si="2997"/>
        <v>14973</v>
      </c>
    </row>
    <row r="358" spans="1:97" x14ac:dyDescent="0.35">
      <c r="A358" s="14">
        <f t="shared" si="2761"/>
        <v>44264</v>
      </c>
      <c r="B358" s="9">
        <f t="shared" si="2963"/>
        <v>1580961</v>
      </c>
      <c r="C358">
        <f t="shared" ref="C358" si="3462">BU358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463">-(J358-J357)+L358</f>
        <v>1</v>
      </c>
      <c r="N358" s="7">
        <f t="shared" ref="N358" si="3464">B358-C358</f>
        <v>1240753</v>
      </c>
      <c r="O358" s="4">
        <f t="shared" ref="O358" si="3465">C358/B358</f>
        <v>0.21519063405106134</v>
      </c>
      <c r="R358">
        <f t="shared" ref="R358" si="3466">C358-C357</f>
        <v>514</v>
      </c>
      <c r="S358">
        <f t="shared" ref="S358" si="3467">N358-N357</f>
        <v>2336</v>
      </c>
      <c r="T358" s="8">
        <f t="shared" ref="T358" si="3468">R358/V358</f>
        <v>0.18035087719298246</v>
      </c>
      <c r="U358" s="8">
        <f t="shared" ref="U358" si="3469">SUM(R352:R358)/SUM(V352:V358)</f>
        <v>0.16972044812061565</v>
      </c>
      <c r="V358">
        <f t="shared" ref="V358" si="3470">B358-B357</f>
        <v>2850</v>
      </c>
      <c r="W358">
        <f t="shared" ref="W358" si="3471">C358-D358-E358</f>
        <v>13118</v>
      </c>
      <c r="X358" s="3">
        <f t="shared" ref="X358" si="3472">F358/W358</f>
        <v>1.3645372770239366E-2</v>
      </c>
      <c r="Y358">
        <f t="shared" ref="Y358" si="3473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474">Z358-AC358-AF358</f>
        <v>112</v>
      </c>
      <c r="AJ358">
        <f t="shared" ref="AJ358" si="3475">AA358-AD358-AG358</f>
        <v>39</v>
      </c>
      <c r="AK358">
        <f t="shared" ref="AK358" si="3476">AB358-AE358-AH358</f>
        <v>366</v>
      </c>
      <c r="AL358">
        <v>4</v>
      </c>
      <c r="AM358">
        <v>4</v>
      </c>
      <c r="AN358">
        <v>46</v>
      </c>
      <c r="AT358">
        <f t="shared" ref="AT358" si="3477">BN358-BN357</f>
        <v>19809</v>
      </c>
      <c r="AU358">
        <f t="shared" ref="AU358" si="3478">BO358-BO357</f>
        <v>584</v>
      </c>
      <c r="AV358">
        <f t="shared" ref="AV358" si="3479">AU358/AT358</f>
        <v>2.9481548790953608E-2</v>
      </c>
      <c r="AW358">
        <f t="shared" ref="AW358" si="3480">BV358-BV357</f>
        <v>228</v>
      </c>
      <c r="AX358">
        <f t="shared" ref="AX358" si="3481">BW358-BW357</f>
        <v>7</v>
      </c>
      <c r="AY358">
        <f t="shared" ref="AY358" si="3482">CL358-CL357</f>
        <v>658</v>
      </c>
      <c r="AZ358">
        <f t="shared" ref="AZ358" si="3483">CM358-CM357</f>
        <v>11</v>
      </c>
      <c r="BA358">
        <f t="shared" ref="BA358" si="3484">CD358-CD357</f>
        <v>129</v>
      </c>
      <c r="BB358">
        <f t="shared" ref="BB358" si="3485">CE358-CE357</f>
        <v>1</v>
      </c>
      <c r="BC358">
        <f t="shared" ref="BC358" si="3486">AX358/AW358</f>
        <v>3.0701754385964911E-2</v>
      </c>
      <c r="BD358">
        <f t="shared" ref="BD358" si="3487">AZ358/AY358</f>
        <v>1.6717325227963525E-2</v>
      </c>
      <c r="BE358">
        <f t="shared" si="1929"/>
        <v>7.7519379844961239E-3</v>
      </c>
      <c r="BF358">
        <f t="shared" ref="BF358" si="3488">SUM(AU352:AU358)/SUM(AT352:AT358)</f>
        <v>3.6245684431363362E-2</v>
      </c>
      <c r="BG358">
        <f t="shared" ref="BG358" si="3489">SUM(AU345:AU358)/SUM(AT345:AT358)</f>
        <v>3.9124064674794623E-2</v>
      </c>
      <c r="BH358">
        <f t="shared" ref="BH358" si="3490">SUM(AX352:AX358)/SUM(AW352:AW358)</f>
        <v>3.3187772925764192E-2</v>
      </c>
      <c r="BI358">
        <f t="shared" ref="BI358" si="3491">SUM(AZ352:AZ358)/SUM(AY352:AY358)</f>
        <v>2.454434993924666E-2</v>
      </c>
      <c r="BJ358">
        <f t="shared" ref="BJ358" si="3492">SUM(BB352:BB358)/SUM(BA352:BA358)</f>
        <v>1.7520215633423181E-2</v>
      </c>
      <c r="BN358" s="20">
        <v>4167019</v>
      </c>
      <c r="BO358" s="20">
        <v>367751</v>
      </c>
      <c r="BP358" s="20">
        <v>1331706</v>
      </c>
      <c r="BQ358" s="20">
        <v>249255</v>
      </c>
      <c r="BR358" s="20">
        <v>282872</v>
      </c>
      <c r="BS358" s="20">
        <v>57336</v>
      </c>
      <c r="BT358" s="21">
        <f t="shared" si="2990"/>
        <v>1580961</v>
      </c>
      <c r="BU358" s="21">
        <f t="shared" si="2991"/>
        <v>340208</v>
      </c>
      <c r="BV358" s="20">
        <v>33456</v>
      </c>
      <c r="BW358" s="20">
        <v>2840</v>
      </c>
      <c r="BX358" s="20">
        <v>8819</v>
      </c>
      <c r="BY358" s="20">
        <v>2836</v>
      </c>
      <c r="BZ358" s="20">
        <v>2100</v>
      </c>
      <c r="CA358" s="20">
        <v>613</v>
      </c>
      <c r="CB358" s="21">
        <f t="shared" si="2992"/>
        <v>11655</v>
      </c>
      <c r="CC358" s="21">
        <f t="shared" si="2993"/>
        <v>2713</v>
      </c>
      <c r="CD358" s="20">
        <v>25819</v>
      </c>
      <c r="CE358" s="20">
        <v>1681</v>
      </c>
      <c r="CF358" s="20">
        <v>5028</v>
      </c>
      <c r="CG358" s="20">
        <v>1697</v>
      </c>
      <c r="CH358" s="20">
        <v>1149</v>
      </c>
      <c r="CI358" s="20">
        <v>444</v>
      </c>
      <c r="CJ358" s="21">
        <f t="shared" si="2994"/>
        <v>6725</v>
      </c>
      <c r="CK358" s="21">
        <f t="shared" si="2995"/>
        <v>1593</v>
      </c>
      <c r="CL358" s="20">
        <v>188888</v>
      </c>
      <c r="CM358" s="20">
        <v>16347</v>
      </c>
      <c r="CN358" s="20">
        <v>62346</v>
      </c>
      <c r="CO358" s="20">
        <v>4745</v>
      </c>
      <c r="CP358" s="20">
        <v>14212</v>
      </c>
      <c r="CQ358" s="20">
        <v>771</v>
      </c>
      <c r="CR358" s="21">
        <f t="shared" si="2996"/>
        <v>67091</v>
      </c>
      <c r="CS358" s="21">
        <f t="shared" si="2997"/>
        <v>14983</v>
      </c>
    </row>
    <row r="359" spans="1:97" x14ac:dyDescent="0.35">
      <c r="A359" s="14">
        <f t="shared" si="2761"/>
        <v>44265</v>
      </c>
      <c r="B359" s="9">
        <f t="shared" si="2963"/>
        <v>1585012</v>
      </c>
      <c r="C359">
        <f t="shared" ref="C359" si="3493">BU359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494">-(J359-J358)+L359</f>
        <v>8</v>
      </c>
      <c r="N359" s="7">
        <f t="shared" ref="N359" si="3495">B359-C359</f>
        <v>1244005</v>
      </c>
      <c r="O359" s="4">
        <f t="shared" ref="O359" si="3496">C359/B359</f>
        <v>0.21514474338364631</v>
      </c>
      <c r="R359">
        <f t="shared" ref="R359" si="3497">C359-C358</f>
        <v>799</v>
      </c>
      <c r="S359">
        <f t="shared" ref="S359" si="3498">N359-N358</f>
        <v>3252</v>
      </c>
      <c r="T359" s="8">
        <f t="shared" ref="T359" si="3499">R359/V359</f>
        <v>0.19723525055541841</v>
      </c>
      <c r="U359" s="8">
        <f t="shared" ref="U359" si="3500">SUM(R353:R359)/SUM(V353:V359)</f>
        <v>0.17415042351260332</v>
      </c>
      <c r="V359">
        <f t="shared" ref="V359" si="3501">B359-B358</f>
        <v>4051</v>
      </c>
      <c r="W359">
        <f t="shared" ref="W359" si="3502">C359-D359-E359</f>
        <v>13157</v>
      </c>
      <c r="X359" s="3">
        <f t="shared" ref="X359" si="3503">F359/W359</f>
        <v>1.3148894124800487E-2</v>
      </c>
      <c r="Y359">
        <f t="shared" ref="Y359" si="3504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505">Z359-AC359-AF359</f>
        <v>119</v>
      </c>
      <c r="AJ359">
        <f t="shared" ref="AJ359" si="3506">AA359-AD359-AG359</f>
        <v>37</v>
      </c>
      <c r="AK359">
        <f t="shared" ref="AK359" si="3507">AB359-AE359-AH359</f>
        <v>346</v>
      </c>
      <c r="AL359">
        <v>4</v>
      </c>
      <c r="AM359">
        <v>4</v>
      </c>
      <c r="AN359">
        <v>45</v>
      </c>
      <c r="AT359">
        <f t="shared" ref="AT359" si="3508">BN359-BN358</f>
        <v>19136</v>
      </c>
      <c r="AU359">
        <f t="shared" ref="AU359" si="3509">BO359-BO358</f>
        <v>884</v>
      </c>
      <c r="AV359">
        <f t="shared" ref="AV359" si="3510">AU359/AT359</f>
        <v>4.619565217391304E-2</v>
      </c>
      <c r="AW359">
        <f t="shared" ref="AW359" si="3511">BV359-BV358</f>
        <v>202</v>
      </c>
      <c r="AX359">
        <f t="shared" ref="AX359" si="3512">BW359-BW358</f>
        <v>6</v>
      </c>
      <c r="AY359">
        <f t="shared" ref="AY359" si="3513">CL359-CL358</f>
        <v>1141</v>
      </c>
      <c r="AZ359">
        <f t="shared" ref="AZ359" si="3514">CM359-CM358</f>
        <v>35</v>
      </c>
      <c r="BA359">
        <f t="shared" ref="BA359" si="3515">CD359-CD358</f>
        <v>153</v>
      </c>
      <c r="BB359">
        <f t="shared" ref="BB359" si="3516">CE359-CE358</f>
        <v>0</v>
      </c>
      <c r="BC359">
        <f t="shared" ref="BC359" si="3517">AX359/AW359</f>
        <v>2.9702970297029702E-2</v>
      </c>
      <c r="BD359">
        <f t="shared" ref="BD359" si="3518">AZ359/AY359</f>
        <v>3.0674846625766871E-2</v>
      </c>
      <c r="BE359">
        <f t="shared" si="1929"/>
        <v>0</v>
      </c>
      <c r="BF359">
        <f t="shared" ref="BF359" si="3519">SUM(AU353:AU359)/SUM(AT353:AT359)</f>
        <v>3.8219227038341755E-2</v>
      </c>
      <c r="BG359">
        <f t="shared" ref="BG359" si="3520">SUM(AU346:AU359)/SUM(AT346:AT359)</f>
        <v>3.9534433806882055E-2</v>
      </c>
      <c r="BH359">
        <f t="shared" ref="BH359" si="3521">SUM(AX353:AX359)/SUM(AW353:AW359)</f>
        <v>3.3187772925764192E-2</v>
      </c>
      <c r="BI359">
        <f t="shared" ref="BI359" si="3522">SUM(AZ353:AZ359)/SUM(AY353:AY359)</f>
        <v>2.6948775055679289E-2</v>
      </c>
      <c r="BJ359">
        <f t="shared" ref="BJ359" si="3523">SUM(BB353:BB359)/SUM(BA353:BA359)</f>
        <v>1.1508951406649617E-2</v>
      </c>
      <c r="BN359" s="20">
        <v>4186155</v>
      </c>
      <c r="BO359" s="20">
        <v>368635</v>
      </c>
      <c r="BP359" s="20">
        <v>1334117</v>
      </c>
      <c r="BQ359" s="20">
        <v>250895</v>
      </c>
      <c r="BR359" s="20">
        <v>283392</v>
      </c>
      <c r="BS359" s="20">
        <v>57615</v>
      </c>
      <c r="BT359" s="21">
        <f t="shared" si="2990"/>
        <v>1585012</v>
      </c>
      <c r="BU359" s="21">
        <f t="shared" si="2991"/>
        <v>341007</v>
      </c>
      <c r="BV359" s="20">
        <v>33658</v>
      </c>
      <c r="BW359" s="20">
        <v>2846</v>
      </c>
      <c r="BX359" s="20">
        <v>8840</v>
      </c>
      <c r="BY359" s="20">
        <v>2842</v>
      </c>
      <c r="BZ359" s="20">
        <v>2103</v>
      </c>
      <c r="CA359" s="20">
        <v>613</v>
      </c>
      <c r="CB359" s="21">
        <f t="shared" si="2992"/>
        <v>11682</v>
      </c>
      <c r="CC359" s="21">
        <f t="shared" si="2993"/>
        <v>2716</v>
      </c>
      <c r="CD359" s="20">
        <v>25972</v>
      </c>
      <c r="CE359" s="20">
        <v>1681</v>
      </c>
      <c r="CF359" s="20">
        <v>5037</v>
      </c>
      <c r="CG359" s="20">
        <v>1700</v>
      </c>
      <c r="CH359" s="20">
        <v>1149</v>
      </c>
      <c r="CI359" s="20">
        <v>444</v>
      </c>
      <c r="CJ359" s="21">
        <f t="shared" si="2994"/>
        <v>6737</v>
      </c>
      <c r="CK359" s="21">
        <f t="shared" si="2995"/>
        <v>1593</v>
      </c>
      <c r="CL359" s="20">
        <v>190029</v>
      </c>
      <c r="CM359" s="20">
        <v>16382</v>
      </c>
      <c r="CN359" s="20">
        <v>62415</v>
      </c>
      <c r="CO359" s="20">
        <v>4805</v>
      </c>
      <c r="CP359" s="20">
        <v>14241</v>
      </c>
      <c r="CQ359" s="20">
        <v>774</v>
      </c>
      <c r="CR359" s="21">
        <f t="shared" si="2996"/>
        <v>67220</v>
      </c>
      <c r="CS359" s="21">
        <f t="shared" si="2997"/>
        <v>15015</v>
      </c>
    </row>
    <row r="360" spans="1:97" x14ac:dyDescent="0.35">
      <c r="A360" s="14">
        <f t="shared" si="2761"/>
        <v>44266</v>
      </c>
      <c r="B360" s="9">
        <f t="shared" si="2963"/>
        <v>1587918</v>
      </c>
      <c r="C360">
        <f t="shared" ref="C360" si="3524">BU360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525">-(J360-J359)+L360</f>
        <v>9</v>
      </c>
      <c r="N360" s="7">
        <f t="shared" ref="N360" si="3526">B360-C360</f>
        <v>1246496</v>
      </c>
      <c r="O360" s="4">
        <f t="shared" ref="O360" si="3527">C360/B360</f>
        <v>0.21501236209930236</v>
      </c>
      <c r="R360">
        <f t="shared" ref="R360" si="3528">C360-C359</f>
        <v>415</v>
      </c>
      <c r="S360">
        <f t="shared" ref="S360" si="3529">N360-N359</f>
        <v>2491</v>
      </c>
      <c r="T360" s="8">
        <f t="shared" ref="T360" si="3530">R360/V360</f>
        <v>0.14280798348245011</v>
      </c>
      <c r="U360" s="8">
        <f t="shared" ref="U360" si="3531">SUM(R354:R360)/SUM(V354:V360)</f>
        <v>0.17059900601621764</v>
      </c>
      <c r="V360">
        <f t="shared" ref="V360" si="3532">B360-B359</f>
        <v>2906</v>
      </c>
      <c r="W360">
        <f t="shared" ref="W360" si="3533">C360-D360-E360</f>
        <v>12825</v>
      </c>
      <c r="X360" s="3">
        <f t="shared" ref="X360" si="3534">F360/W360</f>
        <v>1.2943469785575049E-2</v>
      </c>
      <c r="Y360">
        <f t="shared" ref="Y360" si="3535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536">Z360-AC360-AF360</f>
        <v>114</v>
      </c>
      <c r="AJ360">
        <f t="shared" ref="AJ360" si="3537">AA360-AD360-AG360</f>
        <v>34</v>
      </c>
      <c r="AK360">
        <f t="shared" ref="AK360" si="3538">AB360-AE360-AH360</f>
        <v>356</v>
      </c>
      <c r="AL360">
        <v>5</v>
      </c>
      <c r="AM360">
        <v>5</v>
      </c>
      <c r="AN360">
        <v>45</v>
      </c>
      <c r="AT360">
        <f t="shared" ref="AT360" si="3539">BN360-BN359</f>
        <v>16087</v>
      </c>
      <c r="AU360">
        <f t="shared" ref="AU360" si="3540">BO360-BO359</f>
        <v>447</v>
      </c>
      <c r="AV360">
        <f t="shared" ref="AV360" si="3541">AU360/AT360</f>
        <v>2.7786411388077331E-2</v>
      </c>
      <c r="AW360">
        <f t="shared" ref="AW360" si="3542">BV360-BV359</f>
        <v>208</v>
      </c>
      <c r="AX360">
        <f t="shared" ref="AX360" si="3543">BW360-BW359</f>
        <v>6</v>
      </c>
      <c r="AY360">
        <f t="shared" ref="AY360" si="3544">CL360-CL359</f>
        <v>738</v>
      </c>
      <c r="AZ360">
        <f t="shared" ref="AZ360" si="3545">CM360-CM359</f>
        <v>10</v>
      </c>
      <c r="BA360">
        <f t="shared" ref="BA360" si="3546">CD360-CD359</f>
        <v>99</v>
      </c>
      <c r="BB360">
        <f t="shared" ref="BB360" si="3547">CE360-CE359</f>
        <v>1</v>
      </c>
      <c r="BC360">
        <f t="shared" ref="BC360" si="3548">AX360/AW360</f>
        <v>2.8846153846153848E-2</v>
      </c>
      <c r="BD360">
        <f t="shared" ref="BD360" si="3549">AZ360/AY360</f>
        <v>1.3550135501355014E-2</v>
      </c>
      <c r="BE360">
        <f t="shared" si="1929"/>
        <v>1.0101010101010102E-2</v>
      </c>
      <c r="BF360">
        <f t="shared" ref="BF360" si="3550">SUM(AU354:AU360)/SUM(AT354:AT360)</f>
        <v>3.6956902502601509E-2</v>
      </c>
      <c r="BG360">
        <f t="shared" ref="BG360" si="3551">SUM(AU347:AU360)/SUM(AT347:AT360)</f>
        <v>3.8577920229422122E-2</v>
      </c>
      <c r="BH360">
        <f t="shared" ref="BH360" si="3552">SUM(AX354:AX360)/SUM(AW354:AW360)</f>
        <v>3.4240561896400352E-2</v>
      </c>
      <c r="BI360">
        <f t="shared" ref="BI360" si="3553">SUM(AZ354:AZ360)/SUM(AY354:AY360)</f>
        <v>2.2716842588343278E-2</v>
      </c>
      <c r="BJ360">
        <f t="shared" ref="BJ360" si="3554">SUM(BB354:BB360)/SUM(BA354:BA360)</f>
        <v>1.2080536912751677E-2</v>
      </c>
      <c r="BN360" s="20">
        <v>4202242</v>
      </c>
      <c r="BO360" s="20">
        <v>369082</v>
      </c>
      <c r="BP360" s="20">
        <v>1336430</v>
      </c>
      <c r="BQ360" s="20">
        <v>251488</v>
      </c>
      <c r="BR360" s="20">
        <v>283690</v>
      </c>
      <c r="BS360" s="20">
        <v>57732</v>
      </c>
      <c r="BT360" s="21">
        <f t="shared" si="2990"/>
        <v>1587918</v>
      </c>
      <c r="BU360" s="21">
        <f t="shared" si="2991"/>
        <v>341422</v>
      </c>
      <c r="BV360" s="20">
        <v>33866</v>
      </c>
      <c r="BW360" s="20">
        <v>2852</v>
      </c>
      <c r="BX360" s="20">
        <v>8843</v>
      </c>
      <c r="BY360" s="20">
        <v>2863</v>
      </c>
      <c r="BZ360" s="20">
        <v>2104</v>
      </c>
      <c r="CA360" s="20">
        <v>616</v>
      </c>
      <c r="CB360" s="21">
        <f t="shared" si="2992"/>
        <v>11706</v>
      </c>
      <c r="CC360" s="21">
        <f t="shared" si="2993"/>
        <v>2720</v>
      </c>
      <c r="CD360" s="20">
        <v>26071</v>
      </c>
      <c r="CE360" s="20">
        <v>1682</v>
      </c>
      <c r="CF360" s="20">
        <v>5041</v>
      </c>
      <c r="CG360" s="20">
        <v>1710</v>
      </c>
      <c r="CH360" s="20">
        <v>1150</v>
      </c>
      <c r="CI360" s="20">
        <v>444</v>
      </c>
      <c r="CJ360" s="21">
        <f t="shared" si="2994"/>
        <v>6751</v>
      </c>
      <c r="CK360" s="21">
        <f t="shared" si="2995"/>
        <v>1594</v>
      </c>
      <c r="CL360" s="20">
        <v>190767</v>
      </c>
      <c r="CM360" s="20">
        <v>16392</v>
      </c>
      <c r="CN360" s="20">
        <v>62563</v>
      </c>
      <c r="CO360" s="20">
        <v>4784</v>
      </c>
      <c r="CP360" s="20">
        <v>14254</v>
      </c>
      <c r="CQ360" s="20">
        <v>775</v>
      </c>
      <c r="CR360" s="21">
        <f t="shared" si="2996"/>
        <v>67347</v>
      </c>
      <c r="CS360" s="21">
        <f t="shared" si="2997"/>
        <v>15029</v>
      </c>
    </row>
    <row r="361" spans="1:97" x14ac:dyDescent="0.35">
      <c r="A361" s="14">
        <f t="shared" si="2761"/>
        <v>44267</v>
      </c>
      <c r="B361" s="9">
        <f t="shared" si="2963"/>
        <v>1591292</v>
      </c>
      <c r="C361">
        <f t="shared" ref="C361" si="3555">BU361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556">-(J361-J360)+L361</f>
        <v>3</v>
      </c>
      <c r="N361" s="7">
        <f t="shared" ref="N361" si="3557">B361-C361</f>
        <v>1249382</v>
      </c>
      <c r="O361" s="4">
        <f t="shared" ref="O361" si="3558">C361/B361</f>
        <v>0.21486314265389381</v>
      </c>
      <c r="R361">
        <f t="shared" ref="R361" si="3559">C361-C360</f>
        <v>488</v>
      </c>
      <c r="S361">
        <f t="shared" ref="S361" si="3560">N361-N360</f>
        <v>2886</v>
      </c>
      <c r="T361" s="8">
        <f t="shared" ref="T361" si="3561">R361/V361</f>
        <v>0.14463544754001187</v>
      </c>
      <c r="U361" s="8">
        <f t="shared" ref="U361" si="3562">SUM(R355:R361)/SUM(V355:V361)</f>
        <v>0.16790213052718883</v>
      </c>
      <c r="V361">
        <f t="shared" ref="V361" si="3563">B361-B360</f>
        <v>3374</v>
      </c>
      <c r="W361">
        <f t="shared" ref="W361" si="3564">C361-D361-E361</f>
        <v>12656</v>
      </c>
      <c r="X361" s="3">
        <f t="shared" ref="X361" si="3565">F361/W361</f>
        <v>1.3274336283185841E-2</v>
      </c>
      <c r="Y361">
        <f t="shared" ref="Y361" si="3566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567">Z361-AC361-AF361</f>
        <v>117</v>
      </c>
      <c r="AJ361">
        <f t="shared" ref="AJ361" si="3568">AA361-AD361-AG361</f>
        <v>35</v>
      </c>
      <c r="AK361">
        <f t="shared" ref="AK361" si="3569">AB361-AE361-AH361</f>
        <v>343</v>
      </c>
      <c r="AL361">
        <v>5</v>
      </c>
      <c r="AM361">
        <v>5</v>
      </c>
      <c r="AN361">
        <v>41</v>
      </c>
      <c r="AT361">
        <f t="shared" ref="AT361" si="3570">BN361-BN360</f>
        <v>15933</v>
      </c>
      <c r="AU361">
        <f t="shared" ref="AU361" si="3571">BO361-BO360</f>
        <v>546</v>
      </c>
      <c r="AV361">
        <f t="shared" ref="AV361" si="3572">AU361/AT361</f>
        <v>3.4268499340990397E-2</v>
      </c>
      <c r="AW361">
        <f t="shared" ref="AW361" si="3573">BV361-BV360</f>
        <v>226</v>
      </c>
      <c r="AX361">
        <f t="shared" ref="AX361" si="3574">BW361-BW360</f>
        <v>2</v>
      </c>
      <c r="AY361">
        <f t="shared" ref="AY361" si="3575">CL361-CL360</f>
        <v>512</v>
      </c>
      <c r="AZ361">
        <f t="shared" ref="AZ361" si="3576">CM361-CM360</f>
        <v>18</v>
      </c>
      <c r="BA361">
        <f t="shared" ref="BA361" si="3577">CD361-CD360</f>
        <v>155</v>
      </c>
      <c r="BB361">
        <f t="shared" ref="BB361" si="3578">CE361-CE360</f>
        <v>2</v>
      </c>
      <c r="BC361">
        <f t="shared" ref="BC361" si="3579">AX361/AW361</f>
        <v>8.8495575221238937E-3</v>
      </c>
      <c r="BD361">
        <f t="shared" ref="BD361" si="3580">AZ361/AY361</f>
        <v>3.515625E-2</v>
      </c>
      <c r="BE361">
        <f t="shared" si="1929"/>
        <v>1.2903225806451613E-2</v>
      </c>
      <c r="BF361">
        <f t="shared" ref="BF361" si="3581">SUM(AU355:AU361)/SUM(AT355:AT361)</f>
        <v>3.6959330267169653E-2</v>
      </c>
      <c r="BG361">
        <f t="shared" ref="BG361" si="3582">SUM(AU348:AU361)/SUM(AT348:AT361)</f>
        <v>3.7701861057258021E-2</v>
      </c>
      <c r="BH361">
        <f t="shared" ref="BH361" si="3583">SUM(AX355:AX361)/SUM(AW355:AW361)</f>
        <v>2.6315789473684209E-2</v>
      </c>
      <c r="BI361">
        <f t="shared" ref="BI361" si="3584">SUM(AZ355:AZ361)/SUM(AY355:AY361)</f>
        <v>2.4204392649036306E-2</v>
      </c>
      <c r="BJ361">
        <f t="shared" ref="BJ361" si="3585">SUM(BB355:BB361)/SUM(BA355:BA361)</f>
        <v>1.3642564802182811E-2</v>
      </c>
      <c r="BN361" s="20">
        <v>4218175</v>
      </c>
      <c r="BO361" s="20">
        <v>369628</v>
      </c>
      <c r="BP361" s="20">
        <v>1338339</v>
      </c>
      <c r="BQ361" s="20">
        <v>252953</v>
      </c>
      <c r="BR361" s="20">
        <v>284006</v>
      </c>
      <c r="BS361" s="20">
        <v>57904</v>
      </c>
      <c r="BT361" s="21">
        <f t="shared" si="2990"/>
        <v>1591292</v>
      </c>
      <c r="BU361" s="21">
        <f t="shared" si="2991"/>
        <v>341910</v>
      </c>
      <c r="BV361" s="20">
        <v>34092</v>
      </c>
      <c r="BW361" s="20">
        <v>2854</v>
      </c>
      <c r="BX361" s="20">
        <v>8853</v>
      </c>
      <c r="BY361" s="20">
        <v>2881</v>
      </c>
      <c r="BZ361" s="20">
        <v>2105</v>
      </c>
      <c r="CA361" s="20">
        <v>616</v>
      </c>
      <c r="CB361" s="21">
        <f t="shared" si="2992"/>
        <v>11734</v>
      </c>
      <c r="CC361" s="21">
        <f t="shared" si="2993"/>
        <v>2721</v>
      </c>
      <c r="CD361" s="20">
        <v>26226</v>
      </c>
      <c r="CE361" s="20">
        <v>1684</v>
      </c>
      <c r="CF361" s="20">
        <v>5061</v>
      </c>
      <c r="CG361" s="20">
        <v>1706</v>
      </c>
      <c r="CH361" s="20">
        <v>1150</v>
      </c>
      <c r="CI361" s="20">
        <v>446</v>
      </c>
      <c r="CJ361" s="21">
        <f t="shared" si="2994"/>
        <v>6767</v>
      </c>
      <c r="CK361" s="21">
        <f t="shared" si="2995"/>
        <v>1596</v>
      </c>
      <c r="CL361" s="20">
        <v>191279</v>
      </c>
      <c r="CM361" s="20">
        <v>16410</v>
      </c>
      <c r="CN361" s="20">
        <v>62628</v>
      </c>
      <c r="CO361" s="20">
        <v>4821</v>
      </c>
      <c r="CP361" s="20">
        <v>14265</v>
      </c>
      <c r="CQ361" s="20">
        <v>777</v>
      </c>
      <c r="CR361" s="21">
        <f t="shared" si="2996"/>
        <v>67449</v>
      </c>
      <c r="CS361" s="21">
        <f t="shared" si="2997"/>
        <v>15042</v>
      </c>
    </row>
    <row r="362" spans="1:97" x14ac:dyDescent="0.35">
      <c r="A362" s="14">
        <f t="shared" si="2761"/>
        <v>44268</v>
      </c>
      <c r="B362" s="9">
        <f t="shared" si="2963"/>
        <v>1594766</v>
      </c>
      <c r="C362">
        <f t="shared" ref="C362" si="3586">BU362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587">-(J362-J361)+L362</f>
        <v>5</v>
      </c>
      <c r="N362" s="7">
        <f t="shared" ref="N362" si="3588">B362-C362</f>
        <v>1252304</v>
      </c>
      <c r="O362" s="4">
        <f t="shared" ref="O362" si="3589">C362/B362</f>
        <v>0.21474122222319764</v>
      </c>
      <c r="R362">
        <f t="shared" ref="R362" si="3590">C362-C361</f>
        <v>552</v>
      </c>
      <c r="S362">
        <f t="shared" ref="S362" si="3591">N362-N361</f>
        <v>2922</v>
      </c>
      <c r="T362" s="8">
        <f t="shared" ref="T362" si="3592">R362/V362</f>
        <v>0.15889464594127806</v>
      </c>
      <c r="U362" s="8">
        <f t="shared" ref="U362" si="3593">SUM(R356:R362)/SUM(V356:V362)</f>
        <v>0.16512690355329948</v>
      </c>
      <c r="V362">
        <f t="shared" ref="V362" si="3594">B362-B361</f>
        <v>3474</v>
      </c>
      <c r="W362">
        <f t="shared" ref="W362" si="3595">C362-D362-E362</f>
        <v>12611</v>
      </c>
      <c r="X362" s="3">
        <f t="shared" ref="X362" si="3596">F362/W362</f>
        <v>1.4431845214495281E-2</v>
      </c>
      <c r="Y362">
        <f t="shared" ref="Y362" si="3597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598">Z362-AC362-AF362</f>
        <v>116</v>
      </c>
      <c r="AJ362">
        <f t="shared" ref="AJ362" si="3599">AA362-AD362-AG362</f>
        <v>35</v>
      </c>
      <c r="AK362">
        <f t="shared" ref="AK362" si="3600">AB362-AE362-AH362</f>
        <v>337</v>
      </c>
      <c r="AL362">
        <v>5</v>
      </c>
      <c r="AM362">
        <v>5</v>
      </c>
      <c r="AN362">
        <v>42</v>
      </c>
      <c r="AT362">
        <f t="shared" ref="AT362" si="3601">BN362-BN361</f>
        <v>16718</v>
      </c>
      <c r="AU362">
        <f t="shared" ref="AU362" si="3602">BO362-BO361</f>
        <v>592</v>
      </c>
      <c r="AV362">
        <f t="shared" ref="AV362" si="3603">AU362/AT362</f>
        <v>3.5410934322287355E-2</v>
      </c>
      <c r="AW362">
        <f t="shared" ref="AW362" si="3604">BV362-BV361</f>
        <v>257</v>
      </c>
      <c r="AX362">
        <f t="shared" ref="AX362" si="3605">BW362-BW361</f>
        <v>6</v>
      </c>
      <c r="AY362">
        <f t="shared" ref="AY362" si="3606">CL362-CL361</f>
        <v>975</v>
      </c>
      <c r="AZ362">
        <f t="shared" ref="AZ362" si="3607">CM362-CM361</f>
        <v>25</v>
      </c>
      <c r="BA362">
        <f t="shared" ref="BA362" si="3608">CD362-CD361</f>
        <v>176</v>
      </c>
      <c r="BB362">
        <f t="shared" ref="BB362" si="3609">CE362-CE361</f>
        <v>1</v>
      </c>
      <c r="BC362">
        <f t="shared" ref="BC362" si="3610">AX362/AW362</f>
        <v>2.3346303501945526E-2</v>
      </c>
      <c r="BD362">
        <f t="shared" ref="BD362" si="3611">AZ362/AY362</f>
        <v>2.564102564102564E-2</v>
      </c>
      <c r="BE362">
        <f t="shared" si="1929"/>
        <v>5.681818181818182E-3</v>
      </c>
      <c r="BF362">
        <f t="shared" ref="BF362" si="3612">SUM(AU356:AU362)/SUM(AT356:AT362)</f>
        <v>3.6495237320700626E-2</v>
      </c>
      <c r="BG362">
        <f t="shared" ref="BG362" si="3613">SUM(AU349:AU362)/SUM(AT349:AT362)</f>
        <v>3.7197119215126723E-2</v>
      </c>
      <c r="BH362">
        <f t="shared" ref="BH362" si="3614">SUM(AX356:AX362)/SUM(AW356:AW362)</f>
        <v>2.3489932885906041E-2</v>
      </c>
      <c r="BI362">
        <f t="shared" ref="BI362" si="3615">SUM(AZ356:AZ362)/SUM(AY356:AY362)</f>
        <v>2.5578831312017641E-2</v>
      </c>
      <c r="BJ362">
        <f t="shared" ref="BJ362" si="3616">SUM(BB356:BB362)/SUM(BA356:BA362)</f>
        <v>1.06951871657754E-2</v>
      </c>
      <c r="BN362" s="20">
        <v>4234893</v>
      </c>
      <c r="BO362" s="20">
        <v>370220</v>
      </c>
      <c r="BP362" s="20">
        <v>1340959</v>
      </c>
      <c r="BQ362" s="20">
        <v>253807</v>
      </c>
      <c r="BR362" s="20">
        <v>284438</v>
      </c>
      <c r="BS362" s="20">
        <v>58024</v>
      </c>
      <c r="BT362" s="21">
        <f t="shared" si="2990"/>
        <v>1594766</v>
      </c>
      <c r="BU362" s="21">
        <f t="shared" si="2991"/>
        <v>342462</v>
      </c>
      <c r="BV362" s="20">
        <v>34349</v>
      </c>
      <c r="BW362" s="20">
        <v>2860</v>
      </c>
      <c r="BX362" s="20">
        <v>8874</v>
      </c>
      <c r="BY362" s="20">
        <v>2896</v>
      </c>
      <c r="BZ362" s="20">
        <v>2110</v>
      </c>
      <c r="CA362" s="20">
        <v>619</v>
      </c>
      <c r="CB362" s="21">
        <f t="shared" si="2992"/>
        <v>11770</v>
      </c>
      <c r="CC362" s="21">
        <f t="shared" si="2993"/>
        <v>2729</v>
      </c>
      <c r="CD362" s="20">
        <v>26402</v>
      </c>
      <c r="CE362" s="20">
        <v>1685</v>
      </c>
      <c r="CF362" s="20">
        <v>5068</v>
      </c>
      <c r="CG362" s="20">
        <v>1716</v>
      </c>
      <c r="CH362" s="20">
        <v>1151</v>
      </c>
      <c r="CI362" s="20">
        <v>447</v>
      </c>
      <c r="CJ362" s="21">
        <f t="shared" si="2994"/>
        <v>6784</v>
      </c>
      <c r="CK362" s="21">
        <f t="shared" si="2995"/>
        <v>1598</v>
      </c>
      <c r="CL362" s="20">
        <v>192254</v>
      </c>
      <c r="CM362" s="20">
        <v>16435</v>
      </c>
      <c r="CN362" s="20">
        <v>62780</v>
      </c>
      <c r="CO362" s="20">
        <v>4834</v>
      </c>
      <c r="CP362" s="20">
        <v>14285</v>
      </c>
      <c r="CQ362" s="20">
        <v>779</v>
      </c>
      <c r="CR362" s="21">
        <f t="shared" si="2996"/>
        <v>67614</v>
      </c>
      <c r="CS362" s="21">
        <f t="shared" si="2997"/>
        <v>15064</v>
      </c>
    </row>
    <row r="363" spans="1:97" x14ac:dyDescent="0.35">
      <c r="A363" s="14">
        <f t="shared" si="2761"/>
        <v>44269</v>
      </c>
      <c r="B363" s="9">
        <f t="shared" si="2963"/>
        <v>1596312</v>
      </c>
      <c r="C363">
        <f t="shared" ref="C363" si="3617">BU363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618">-(J363-J362)+L363</f>
        <v>8</v>
      </c>
      <c r="N363" s="7">
        <f t="shared" ref="N363" si="3619">B363-C363</f>
        <v>1253569</v>
      </c>
      <c r="O363" s="4">
        <f t="shared" ref="O363" si="3620">C363/B363</f>
        <v>0.21470927989014679</v>
      </c>
      <c r="R363">
        <f t="shared" ref="R363" si="3621">C363-C362</f>
        <v>281</v>
      </c>
      <c r="S363">
        <f t="shared" ref="S363" si="3622">N363-N362</f>
        <v>1265</v>
      </c>
      <c r="T363" s="8">
        <f t="shared" ref="T363" si="3623">R363/V363</f>
        <v>0.18175937904269082</v>
      </c>
      <c r="U363" s="8">
        <f t="shared" ref="U363" si="3624">SUM(R357:R363)/SUM(V357:V363)</f>
        <v>0.16553616734841817</v>
      </c>
      <c r="V363">
        <f t="shared" ref="V363" si="3625">B363-B362</f>
        <v>1546</v>
      </c>
      <c r="W363">
        <f t="shared" ref="W363" si="3626">C363-D363-E363</f>
        <v>12681</v>
      </c>
      <c r="X363" s="3">
        <f t="shared" ref="X363" si="3627">F363/W363</f>
        <v>1.2617301474647111E-2</v>
      </c>
      <c r="Y363">
        <f t="shared" ref="Y363" si="3628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629">Z363-AC363-AF363</f>
        <v>122</v>
      </c>
      <c r="AJ363">
        <f t="shared" ref="AJ363" si="3630">AA363-AD363-AG363</f>
        <v>37</v>
      </c>
      <c r="AK363">
        <f t="shared" ref="AK363" si="3631">AB363-AE363-AH363</f>
        <v>358</v>
      </c>
      <c r="AL363">
        <v>5</v>
      </c>
      <c r="AM363">
        <v>5</v>
      </c>
      <c r="AN363">
        <v>42</v>
      </c>
      <c r="AT363">
        <f t="shared" ref="AT363" si="3632">BN363-BN362</f>
        <v>5150</v>
      </c>
      <c r="AU363">
        <f t="shared" ref="AU363" si="3633">BO363-BO362</f>
        <v>309</v>
      </c>
      <c r="AV363">
        <f t="shared" ref="AV363" si="3634">AU363/AT363</f>
        <v>0.06</v>
      </c>
      <c r="AW363">
        <f t="shared" ref="AW363" si="3635">BV363-BV362</f>
        <v>27</v>
      </c>
      <c r="AX363">
        <f t="shared" ref="AX363" si="3636">BW363-BW362</f>
        <v>1</v>
      </c>
      <c r="AY363">
        <f t="shared" ref="AY363" si="3637">CL363-CL362</f>
        <v>129</v>
      </c>
      <c r="AZ363">
        <f t="shared" ref="AZ363" si="3638">CM363-CM362</f>
        <v>13</v>
      </c>
      <c r="BA363">
        <f t="shared" ref="BA363" si="3639">CD363-CD362</f>
        <v>15</v>
      </c>
      <c r="BB363">
        <f t="shared" ref="BB363" si="3640">CE363-CE362</f>
        <v>0</v>
      </c>
      <c r="BC363">
        <f t="shared" ref="BC363" si="3641">AX363/AW363</f>
        <v>3.7037037037037035E-2</v>
      </c>
      <c r="BD363">
        <f t="shared" ref="BD363" si="3642">AZ363/AY363</f>
        <v>0.10077519379844961</v>
      </c>
      <c r="BE363">
        <f t="shared" si="1929"/>
        <v>0</v>
      </c>
      <c r="BF363">
        <f t="shared" ref="BF363" si="3643">SUM(AU357:AU363)/SUM(AT357:AT363)</f>
        <v>3.6019536019536016E-2</v>
      </c>
      <c r="BG363">
        <f t="shared" ref="BG363" si="3644">SUM(AU350:AU363)/SUM(AT350:AT363)</f>
        <v>3.7060944314120631E-2</v>
      </c>
      <c r="BH363">
        <f t="shared" ref="BH363" si="3645">SUM(AX357:AX363)/SUM(AW357:AW363)</f>
        <v>2.1276595744680851E-2</v>
      </c>
      <c r="BI363">
        <f t="shared" ref="BI363" si="3646">SUM(AZ357:AZ363)/SUM(AY357:AY363)</f>
        <v>2.6465890942276978E-2</v>
      </c>
      <c r="BJ363">
        <f t="shared" ref="BJ363" si="3647">SUM(BB357:BB363)/SUM(BA357:BA363)</f>
        <v>1.0752688172043012E-2</v>
      </c>
      <c r="BN363" s="20">
        <v>4240043</v>
      </c>
      <c r="BO363" s="20">
        <v>370529</v>
      </c>
      <c r="BP363" s="20">
        <v>1342286</v>
      </c>
      <c r="BQ363" s="20">
        <v>254026</v>
      </c>
      <c r="BR363" s="20">
        <v>284682</v>
      </c>
      <c r="BS363" s="20">
        <v>58061</v>
      </c>
      <c r="BT363" s="21">
        <f t="shared" si="2990"/>
        <v>1596312</v>
      </c>
      <c r="BU363" s="21">
        <f t="shared" si="2991"/>
        <v>342743</v>
      </c>
      <c r="BV363" s="20">
        <v>34376</v>
      </c>
      <c r="BW363" s="20">
        <v>2861</v>
      </c>
      <c r="BX363" s="20">
        <v>8880</v>
      </c>
      <c r="BY363" s="20">
        <v>2894</v>
      </c>
      <c r="BZ363" s="20">
        <v>2109</v>
      </c>
      <c r="CA363" s="20">
        <v>619</v>
      </c>
      <c r="CB363" s="21">
        <f t="shared" si="2992"/>
        <v>11774</v>
      </c>
      <c r="CC363" s="21">
        <f t="shared" si="2993"/>
        <v>2728</v>
      </c>
      <c r="CD363" s="20">
        <v>26417</v>
      </c>
      <c r="CE363" s="20">
        <v>1685</v>
      </c>
      <c r="CF363" s="20">
        <v>5072</v>
      </c>
      <c r="CG363" s="20">
        <v>1717</v>
      </c>
      <c r="CH363" s="20">
        <v>1151</v>
      </c>
      <c r="CI363" s="20">
        <v>447</v>
      </c>
      <c r="CJ363" s="21">
        <f t="shared" si="2994"/>
        <v>6789</v>
      </c>
      <c r="CK363" s="21">
        <f t="shared" si="2995"/>
        <v>1598</v>
      </c>
      <c r="CL363" s="20">
        <v>192383</v>
      </c>
      <c r="CM363" s="20">
        <v>16448</v>
      </c>
      <c r="CN363" s="20">
        <v>62812</v>
      </c>
      <c r="CO363" s="20">
        <v>4838</v>
      </c>
      <c r="CP363" s="20">
        <v>14298</v>
      </c>
      <c r="CQ363" s="20">
        <v>779</v>
      </c>
      <c r="CR363" s="21">
        <f t="shared" si="2996"/>
        <v>67650</v>
      </c>
      <c r="CS363" s="21">
        <f t="shared" si="2997"/>
        <v>15077</v>
      </c>
    </row>
    <row r="364" spans="1:97" x14ac:dyDescent="0.35">
      <c r="A364" s="14">
        <f t="shared" si="2761"/>
        <v>44270</v>
      </c>
      <c r="B364" s="9">
        <f t="shared" si="2963"/>
        <v>1596500</v>
      </c>
      <c r="C364">
        <f t="shared" ref="C364" si="3648">BU364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649">-(J364-J363)+L364</f>
        <v>5</v>
      </c>
      <c r="N364" s="7">
        <f t="shared" ref="N364" si="3650">B364-C364</f>
        <v>1253723</v>
      </c>
      <c r="O364" s="4">
        <f t="shared" ref="O364" si="3651">C364/B364</f>
        <v>0.21470529282806139</v>
      </c>
      <c r="R364">
        <f t="shared" ref="R364" si="3652">C364-C363</f>
        <v>34</v>
      </c>
      <c r="S364">
        <f t="shared" ref="S364" si="3653">N364-N363</f>
        <v>154</v>
      </c>
      <c r="T364" s="8">
        <f t="shared" ref="T364" si="3654">R364/V364</f>
        <v>0.18085106382978725</v>
      </c>
      <c r="U364" s="8">
        <f t="shared" ref="U364" si="3655">SUM(R358:R364)/SUM(V358:V364)</f>
        <v>0.16765457610528034</v>
      </c>
      <c r="V364">
        <f t="shared" ref="V364" si="3656">B364-B363</f>
        <v>188</v>
      </c>
      <c r="W364">
        <f t="shared" ref="W364" si="3657">C364-D364-E364</f>
        <v>12520</v>
      </c>
      <c r="X364" s="3">
        <f t="shared" ref="X364" si="3658">F364/W364</f>
        <v>1.2859424920127796E-2</v>
      </c>
      <c r="Y364">
        <f t="shared" ref="Y364" si="3659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660">Z364-AC364-AF364</f>
        <v>116</v>
      </c>
      <c r="AJ364">
        <f t="shared" ref="AJ364" si="3661">AA364-AD364-AG364</f>
        <v>37</v>
      </c>
      <c r="AK364">
        <f t="shared" ref="AK364" si="3662">AB364-AE364-AH364</f>
        <v>364</v>
      </c>
      <c r="AL364">
        <v>5</v>
      </c>
      <c r="AM364">
        <v>5</v>
      </c>
      <c r="AN364">
        <v>42</v>
      </c>
      <c r="AT364">
        <f t="shared" ref="AT364" si="3663">BN364-BN363</f>
        <v>547</v>
      </c>
      <c r="AU364">
        <f t="shared" ref="AU364" si="3664">BO364-BO363</f>
        <v>47</v>
      </c>
      <c r="AV364">
        <f t="shared" ref="AV364" si="3665">AU364/AT364</f>
        <v>8.5923217550274225E-2</v>
      </c>
      <c r="AW364">
        <f t="shared" ref="AW364" si="3666">BV364-BV363</f>
        <v>24</v>
      </c>
      <c r="AX364">
        <f t="shared" ref="AX364" si="3667">BW364-BW363</f>
        <v>3</v>
      </c>
      <c r="AY364">
        <f t="shared" ref="AY364" si="3668">CL364-CL363</f>
        <v>144</v>
      </c>
      <c r="AZ364">
        <f t="shared" ref="AZ364" si="3669">CM364-CM363</f>
        <v>5</v>
      </c>
      <c r="BA364">
        <f t="shared" ref="BA364" si="3670">CD364-CD363</f>
        <v>15</v>
      </c>
      <c r="BB364">
        <f t="shared" ref="BB364" si="3671">CE364-CE363</f>
        <v>-4</v>
      </c>
      <c r="BC364">
        <f t="shared" ref="BC364" si="3672">AX364/AW364</f>
        <v>0.125</v>
      </c>
      <c r="BD364">
        <f t="shared" ref="BD364" si="3673">AZ364/AY364</f>
        <v>3.4722222222222224E-2</v>
      </c>
      <c r="BE364">
        <f t="shared" ref="BE364:BE427" si="3674">BB364/BA364</f>
        <v>-0.26666666666666666</v>
      </c>
      <c r="BF364">
        <f t="shared" ref="BF364" si="3675">SUM(AU358:AU364)/SUM(AT358:AT364)</f>
        <v>3.6506746626686654E-2</v>
      </c>
      <c r="BG364">
        <f t="shared" ref="BG364" si="3676">SUM(AU351:AU364)/SUM(AT351:AT364)</f>
        <v>3.7056513060462322E-2</v>
      </c>
      <c r="BH364">
        <f t="shared" ref="BH364" si="3677">SUM(AX358:AX364)/SUM(AW358:AW364)</f>
        <v>2.6450511945392493E-2</v>
      </c>
      <c r="BI364">
        <f t="shared" ref="BI364" si="3678">SUM(AZ358:AZ364)/SUM(AY358:AY364)</f>
        <v>2.7228298813125437E-2</v>
      </c>
      <c r="BJ364">
        <f t="shared" ref="BJ364" si="3679">SUM(BB358:BB364)/SUM(BA358:BA364)</f>
        <v>1.3477088948787063E-3</v>
      </c>
      <c r="BN364" s="20">
        <v>4240590</v>
      </c>
      <c r="BO364" s="20">
        <v>370576</v>
      </c>
      <c r="BP364" s="20">
        <v>1342462</v>
      </c>
      <c r="BQ364" s="20">
        <v>254038</v>
      </c>
      <c r="BR364" s="20">
        <v>284709</v>
      </c>
      <c r="BS364" s="20">
        <v>58068</v>
      </c>
      <c r="BT364" s="21">
        <f t="shared" si="2990"/>
        <v>1596500</v>
      </c>
      <c r="BU364" s="21">
        <f t="shared" si="2991"/>
        <v>342777</v>
      </c>
      <c r="BV364" s="20">
        <v>34400</v>
      </c>
      <c r="BW364" s="20">
        <v>2864</v>
      </c>
      <c r="BX364" s="20">
        <v>8887</v>
      </c>
      <c r="BY364" s="20">
        <v>2894</v>
      </c>
      <c r="BZ364" s="20">
        <v>2111</v>
      </c>
      <c r="CA364" s="20">
        <v>619</v>
      </c>
      <c r="CB364" s="21">
        <f t="shared" si="2992"/>
        <v>11781</v>
      </c>
      <c r="CC364" s="21">
        <f t="shared" si="2993"/>
        <v>2730</v>
      </c>
      <c r="CD364" s="20">
        <v>26432</v>
      </c>
      <c r="CE364" s="20">
        <v>1681</v>
      </c>
      <c r="CF364" s="20">
        <v>5074</v>
      </c>
      <c r="CG364" s="20">
        <v>1718</v>
      </c>
      <c r="CH364" s="20">
        <v>1151</v>
      </c>
      <c r="CI364" s="20">
        <v>447</v>
      </c>
      <c r="CJ364" s="21">
        <f t="shared" si="2994"/>
        <v>6792</v>
      </c>
      <c r="CK364" s="21">
        <f t="shared" si="2995"/>
        <v>1598</v>
      </c>
      <c r="CL364" s="20">
        <v>192527</v>
      </c>
      <c r="CM364" s="20">
        <v>16453</v>
      </c>
      <c r="CN364" s="20">
        <v>62832</v>
      </c>
      <c r="CO364" s="20">
        <v>4847</v>
      </c>
      <c r="CP364" s="20">
        <v>14301</v>
      </c>
      <c r="CQ364" s="20">
        <v>780</v>
      </c>
      <c r="CR364" s="21">
        <f t="shared" si="2996"/>
        <v>67679</v>
      </c>
      <c r="CS364" s="21">
        <f t="shared" si="2997"/>
        <v>15081</v>
      </c>
    </row>
    <row r="365" spans="1:97" x14ac:dyDescent="0.35">
      <c r="A365" s="14">
        <f t="shared" si="2761"/>
        <v>44271</v>
      </c>
      <c r="B365" s="9">
        <f t="shared" si="2963"/>
        <v>1600033</v>
      </c>
      <c r="C365">
        <f t="shared" ref="C365" si="3680">BU365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681">-(J365-J364)+L365</f>
        <v>6</v>
      </c>
      <c r="N365" s="7">
        <f t="shared" ref="N365" si="3682">B365-C365</f>
        <v>1256686</v>
      </c>
      <c r="O365" s="4">
        <f t="shared" ref="O365" si="3683">C365/B365</f>
        <v>0.2145874491338616</v>
      </c>
      <c r="R365">
        <f t="shared" ref="R365" si="3684">C365-C364</f>
        <v>570</v>
      </c>
      <c r="S365">
        <f t="shared" ref="S365" si="3685">N365-N364</f>
        <v>2963</v>
      </c>
      <c r="T365" s="8">
        <f t="shared" ref="T365" si="3686">R365/V365</f>
        <v>0.1613359750919898</v>
      </c>
      <c r="U365" s="8">
        <f t="shared" ref="U365" si="3687">SUM(R359:R365)/SUM(V359:V365)</f>
        <v>0.1645868288590604</v>
      </c>
      <c r="V365">
        <f t="shared" ref="V365" si="3688">B365-B364</f>
        <v>3533</v>
      </c>
      <c r="W365">
        <f t="shared" ref="W365" si="3689">C365-D365-E365</f>
        <v>12336</v>
      </c>
      <c r="X365" s="3">
        <f t="shared" ref="X365" si="3690">F365/W365</f>
        <v>1.3132295719844358E-2</v>
      </c>
      <c r="Y365">
        <f t="shared" ref="Y365" si="3691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692">Z365-AC365-AF365</f>
        <v>110</v>
      </c>
      <c r="AJ365">
        <f t="shared" ref="AJ365" si="3693">AA365-AD365-AG365</f>
        <v>34</v>
      </c>
      <c r="AK365">
        <f t="shared" ref="AK365" si="3694">AB365-AE365-AH365</f>
        <v>353</v>
      </c>
      <c r="AL365">
        <v>4</v>
      </c>
      <c r="AM365">
        <v>4</v>
      </c>
      <c r="AN365">
        <v>36</v>
      </c>
      <c r="AT365">
        <f t="shared" ref="AT365" si="3695">BN365-BN364</f>
        <v>18632</v>
      </c>
      <c r="AU365">
        <f t="shared" ref="AU365" si="3696">BO365-BO364</f>
        <v>606</v>
      </c>
      <c r="AV365">
        <f t="shared" ref="AV365" si="3697">AU365/AT365</f>
        <v>3.2524688707599829E-2</v>
      </c>
      <c r="AW365">
        <f t="shared" ref="AW365" si="3698">BV365-BV364</f>
        <v>92</v>
      </c>
      <c r="AX365">
        <f t="shared" ref="AX365" si="3699">BW365-BW364</f>
        <v>4</v>
      </c>
      <c r="AY365">
        <f t="shared" ref="AY365" si="3700">CL365-CL364</f>
        <v>502</v>
      </c>
      <c r="AZ365">
        <f t="shared" ref="AZ365" si="3701">CM365-CM364</f>
        <v>4</v>
      </c>
      <c r="BA365">
        <f t="shared" ref="BA365" si="3702">CD365-CD364</f>
        <v>75</v>
      </c>
      <c r="BB365">
        <f t="shared" ref="BB365" si="3703">CE365-CE364</f>
        <v>2</v>
      </c>
      <c r="BC365">
        <f t="shared" ref="BC365" si="3704">AX365/AW365</f>
        <v>4.3478260869565216E-2</v>
      </c>
      <c r="BD365">
        <f t="shared" ref="BD365" si="3705">AZ365/AY365</f>
        <v>7.9681274900398405E-3</v>
      </c>
      <c r="BE365">
        <f t="shared" si="3674"/>
        <v>2.6666666666666668E-2</v>
      </c>
      <c r="BF365">
        <f t="shared" ref="BF365" si="3706">SUM(AU359:AU365)/SUM(AT359:AT365)</f>
        <v>3.7211370562779955E-2</v>
      </c>
      <c r="BG365">
        <f t="shared" ref="BG365" si="3707">SUM(AU352:AU365)/SUM(AT352:AT365)</f>
        <v>3.6713341806989715E-2</v>
      </c>
      <c r="BH365">
        <f t="shared" ref="BH365" si="3708">SUM(AX359:AX365)/SUM(AW359:AW365)</f>
        <v>2.7027027027027029E-2</v>
      </c>
      <c r="BI365">
        <f t="shared" ref="BI365" si="3709">SUM(AZ359:AZ365)/SUM(AY359:AY365)</f>
        <v>2.6563631972953392E-2</v>
      </c>
      <c r="BJ365">
        <f t="shared" ref="BJ365" si="3710">SUM(BB359:BB365)/SUM(BA359:BA365)</f>
        <v>2.9069767441860465E-3</v>
      </c>
      <c r="BN365" s="20">
        <v>4259222</v>
      </c>
      <c r="BO365" s="20">
        <v>371182</v>
      </c>
      <c r="BP365" s="20">
        <v>1344762</v>
      </c>
      <c r="BQ365" s="20">
        <v>255271</v>
      </c>
      <c r="BR365" s="20">
        <v>285102</v>
      </c>
      <c r="BS365" s="20">
        <v>58245</v>
      </c>
      <c r="BT365" s="21">
        <f t="shared" si="2990"/>
        <v>1600033</v>
      </c>
      <c r="BU365" s="21">
        <f t="shared" si="2991"/>
        <v>343347</v>
      </c>
      <c r="BV365" s="20">
        <v>34492</v>
      </c>
      <c r="BW365" s="20">
        <v>2868</v>
      </c>
      <c r="BX365" s="20">
        <v>8894</v>
      </c>
      <c r="BY365" s="20">
        <v>2940</v>
      </c>
      <c r="BZ365" s="20">
        <v>2112</v>
      </c>
      <c r="CA365" s="20">
        <v>622</v>
      </c>
      <c r="CB365" s="21">
        <f t="shared" si="2992"/>
        <v>11834</v>
      </c>
      <c r="CC365" s="21">
        <f t="shared" si="2993"/>
        <v>2734</v>
      </c>
      <c r="CD365" s="20">
        <v>26507</v>
      </c>
      <c r="CE365" s="20">
        <v>1683</v>
      </c>
      <c r="CF365" s="20">
        <v>5077</v>
      </c>
      <c r="CG365" s="20">
        <v>1727</v>
      </c>
      <c r="CH365" s="20">
        <v>1151</v>
      </c>
      <c r="CI365" s="20">
        <v>447</v>
      </c>
      <c r="CJ365" s="21">
        <f t="shared" si="2994"/>
        <v>6804</v>
      </c>
      <c r="CK365" s="21">
        <f t="shared" si="2995"/>
        <v>1598</v>
      </c>
      <c r="CL365" s="20">
        <v>193029</v>
      </c>
      <c r="CM365" s="20">
        <v>16457</v>
      </c>
      <c r="CN365" s="20">
        <v>62912</v>
      </c>
      <c r="CO365" s="20">
        <v>4863</v>
      </c>
      <c r="CP365" s="20">
        <v>14308</v>
      </c>
      <c r="CQ365" s="20">
        <v>780</v>
      </c>
      <c r="CR365" s="21">
        <f t="shared" si="2996"/>
        <v>67775</v>
      </c>
      <c r="CS365" s="21">
        <f t="shared" si="2997"/>
        <v>15088</v>
      </c>
    </row>
    <row r="366" spans="1:97" x14ac:dyDescent="0.35">
      <c r="A366" s="14">
        <f t="shared" si="2761"/>
        <v>44272</v>
      </c>
      <c r="B366" s="9">
        <f t="shared" si="2963"/>
        <v>1602903</v>
      </c>
      <c r="C366">
        <f t="shared" ref="C366" si="3711">BU366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712">-(J366-J365)+L366</f>
        <v>6</v>
      </c>
      <c r="N366" s="7">
        <f t="shared" ref="N366" si="3713">B366-C366</f>
        <v>1258994</v>
      </c>
      <c r="O366" s="4">
        <f t="shared" ref="O366" si="3714">C366/B366</f>
        <v>0.21455384386952922</v>
      </c>
      <c r="R366">
        <f t="shared" ref="R366" si="3715">C366-C365</f>
        <v>562</v>
      </c>
      <c r="S366">
        <f t="shared" ref="S366" si="3716">N366-N365</f>
        <v>2308</v>
      </c>
      <c r="T366" s="8">
        <f t="shared" ref="T366" si="3717">R366/V366</f>
        <v>0.19581881533101045</v>
      </c>
      <c r="U366" s="8">
        <f t="shared" ref="U366" si="3718">SUM(R360:R366)/SUM(V360:V366)</f>
        <v>0.16220446034318931</v>
      </c>
      <c r="V366">
        <f t="shared" ref="V366" si="3719">B366-B365</f>
        <v>2870</v>
      </c>
      <c r="W366">
        <f t="shared" ref="W366" si="3720">C366-D366-E366</f>
        <v>12316</v>
      </c>
      <c r="X366" s="3">
        <f t="shared" ref="X366" si="3721">F366/W366</f>
        <v>1.3072426112374148E-2</v>
      </c>
      <c r="Y366">
        <f t="shared" ref="Y366" si="3722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723">Z366-AC366-AF366</f>
        <v>110</v>
      </c>
      <c r="AJ366">
        <f t="shared" ref="AJ366" si="3724">AA366-AD366-AG366</f>
        <v>30</v>
      </c>
      <c r="AK366">
        <f t="shared" ref="AK366" si="3725">AB366-AE366-AH366</f>
        <v>347</v>
      </c>
      <c r="AL366">
        <v>7</v>
      </c>
      <c r="AM366">
        <v>7</v>
      </c>
      <c r="AN366">
        <v>40</v>
      </c>
      <c r="AT366">
        <f t="shared" ref="AT366" si="3726">BN366-BN365</f>
        <v>15622</v>
      </c>
      <c r="AU366">
        <f t="shared" ref="AU366" si="3727">BO366-BO365</f>
        <v>588</v>
      </c>
      <c r="AV366">
        <f t="shared" ref="AV366" si="3728">AU366/AT366</f>
        <v>3.7639226731532457E-2</v>
      </c>
      <c r="AW366">
        <f t="shared" ref="AW366" si="3729">BV366-BV365</f>
        <v>95</v>
      </c>
      <c r="AX366">
        <f t="shared" ref="AX366" si="3730">BW366-BW365</f>
        <v>-2</v>
      </c>
      <c r="AY366">
        <f t="shared" ref="AY366" si="3731">CL366-CL365</f>
        <v>438</v>
      </c>
      <c r="AZ366">
        <f t="shared" ref="AZ366" si="3732">CM366-CM365</f>
        <v>11</v>
      </c>
      <c r="BA366">
        <f t="shared" ref="BA366" si="3733">CD366-CD365</f>
        <v>40</v>
      </c>
      <c r="BB366">
        <f t="shared" ref="BB366" si="3734">CE366-CE365</f>
        <v>2</v>
      </c>
      <c r="BC366">
        <f t="shared" ref="BC366" si="3735">AX366/AW366</f>
        <v>-2.1052631578947368E-2</v>
      </c>
      <c r="BD366">
        <f t="shared" ref="BD366" si="3736">AZ366/AY366</f>
        <v>2.5114155251141551E-2</v>
      </c>
      <c r="BE366">
        <f t="shared" si="3674"/>
        <v>0.05</v>
      </c>
      <c r="BF366">
        <f t="shared" ref="BF366" si="3737">SUM(AU360:AU366)/SUM(AT360:AT366)</f>
        <v>3.534823935324561E-2</v>
      </c>
      <c r="BG366">
        <f t="shared" ref="BG366" si="3738">SUM(AU353:AU366)/SUM(AT353:AT366)</f>
        <v>3.6854852537722908E-2</v>
      </c>
      <c r="BH366">
        <f t="shared" ref="BH366" si="3739">SUM(AX360:AX366)/SUM(AW360:AW366)</f>
        <v>2.1528525296017224E-2</v>
      </c>
      <c r="BI366">
        <f t="shared" ref="BI366" si="3740">SUM(AZ360:AZ366)/SUM(AY360:AY366)</f>
        <v>2.501454333915067E-2</v>
      </c>
      <c r="BJ366">
        <f t="shared" ref="BJ366" si="3741">SUM(BB360:BB366)/SUM(BA360:BA366)</f>
        <v>6.956521739130435E-3</v>
      </c>
      <c r="BN366" s="20">
        <v>4274844</v>
      </c>
      <c r="BO366" s="20">
        <v>371770</v>
      </c>
      <c r="BP366" s="20">
        <v>1346395</v>
      </c>
      <c r="BQ366" s="20">
        <v>256508</v>
      </c>
      <c r="BR366" s="20">
        <v>285482</v>
      </c>
      <c r="BS366" s="20">
        <v>58427</v>
      </c>
      <c r="BT366" s="21">
        <f t="shared" si="2990"/>
        <v>1602903</v>
      </c>
      <c r="BU366" s="21">
        <f t="shared" si="2991"/>
        <v>343909</v>
      </c>
      <c r="BV366" s="20">
        <v>34587</v>
      </c>
      <c r="BW366" s="20">
        <v>2866</v>
      </c>
      <c r="BX366" s="20">
        <v>8896</v>
      </c>
      <c r="BY366" s="20">
        <v>2914</v>
      </c>
      <c r="BZ366" s="20">
        <v>2113</v>
      </c>
      <c r="CA366" s="20">
        <v>623</v>
      </c>
      <c r="CB366" s="21">
        <f t="shared" si="2992"/>
        <v>11810</v>
      </c>
      <c r="CC366" s="21">
        <f t="shared" si="2993"/>
        <v>2736</v>
      </c>
      <c r="CD366" s="20">
        <v>26547</v>
      </c>
      <c r="CE366" s="20">
        <v>1685</v>
      </c>
      <c r="CF366" s="20">
        <v>5074</v>
      </c>
      <c r="CG366" s="20">
        <v>1736</v>
      </c>
      <c r="CH366" s="20">
        <v>1151</v>
      </c>
      <c r="CI366" s="20">
        <v>447</v>
      </c>
      <c r="CJ366" s="21">
        <f t="shared" si="2994"/>
        <v>6810</v>
      </c>
      <c r="CK366" s="21">
        <f t="shared" si="2995"/>
        <v>1598</v>
      </c>
      <c r="CL366" s="20">
        <v>193467</v>
      </c>
      <c r="CM366" s="20">
        <v>16468</v>
      </c>
      <c r="CN366" s="20">
        <v>62986</v>
      </c>
      <c r="CO366" s="20">
        <v>4871</v>
      </c>
      <c r="CP366" s="20">
        <v>14311</v>
      </c>
      <c r="CQ366" s="20">
        <v>783</v>
      </c>
      <c r="CR366" s="21">
        <f t="shared" si="2996"/>
        <v>67857</v>
      </c>
      <c r="CS366" s="21">
        <f t="shared" si="2997"/>
        <v>15094</v>
      </c>
    </row>
    <row r="367" spans="1:97" x14ac:dyDescent="0.35">
      <c r="A367" s="14">
        <f t="shared" si="2761"/>
        <v>44273</v>
      </c>
      <c r="B367" s="9">
        <f t="shared" si="2963"/>
        <v>1603434</v>
      </c>
      <c r="C367">
        <f t="shared" ref="C367" si="3742">BU367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743">-(J367-J366)+L367</f>
        <v>2</v>
      </c>
      <c r="N367" s="7">
        <f t="shared" ref="N367" si="3744">B367-C367</f>
        <v>1259430</v>
      </c>
      <c r="O367" s="4">
        <f t="shared" ref="O367" si="3745">C367/B367</f>
        <v>0.21454203914847758</v>
      </c>
      <c r="R367">
        <f t="shared" ref="R367" si="3746">C367-C366</f>
        <v>95</v>
      </c>
      <c r="S367">
        <f t="shared" ref="S367" si="3747">N367-N366</f>
        <v>436</v>
      </c>
      <c r="T367" s="8">
        <f t="shared" ref="T367" si="3748">R367/V367</f>
        <v>0.17890772128060264</v>
      </c>
      <c r="U367" s="8">
        <f t="shared" ref="U367" si="3749">SUM(R361:R367)/SUM(V361:V367)</f>
        <v>0.16640886826501675</v>
      </c>
      <c r="V367">
        <f t="shared" ref="V367" si="3750">B367-B366</f>
        <v>531</v>
      </c>
      <c r="W367">
        <f t="shared" ref="W367" si="3751">C367-D367-E367</f>
        <v>11818</v>
      </c>
      <c r="X367" s="3">
        <f t="shared" ref="X367" si="3752">F367/W367</f>
        <v>1.4469453376205787E-2</v>
      </c>
      <c r="Y367">
        <f t="shared" ref="Y367" si="3753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754">Z367-AC367-AF367</f>
        <v>108</v>
      </c>
      <c r="AJ367">
        <f t="shared" ref="AJ367" si="3755">AA367-AD367-AG367</f>
        <v>30</v>
      </c>
      <c r="AK367">
        <f t="shared" ref="AK367" si="3756">AB367-AE367-AH367</f>
        <v>325</v>
      </c>
      <c r="AL367">
        <v>5</v>
      </c>
      <c r="AM367">
        <v>5</v>
      </c>
      <c r="AN367">
        <v>42</v>
      </c>
      <c r="AT367">
        <f t="shared" ref="AT367" si="3757">BN367-BN366</f>
        <v>2406</v>
      </c>
      <c r="AU367">
        <f t="shared" ref="AU367" si="3758">BO367-BO366</f>
        <v>106</v>
      </c>
      <c r="AV367">
        <f t="shared" ref="AV367" si="3759">AU367/AT367</f>
        <v>4.4056525353283457E-2</v>
      </c>
      <c r="AW367">
        <f t="shared" ref="AW367" si="3760">BV367-BV366</f>
        <v>38</v>
      </c>
      <c r="AX367">
        <f t="shared" ref="AX367" si="3761">BW367-BW366</f>
        <v>4</v>
      </c>
      <c r="AY367">
        <f t="shared" ref="AY367" si="3762">CL367-CL366</f>
        <v>422</v>
      </c>
      <c r="AZ367">
        <f t="shared" ref="AZ367" si="3763">CM367-CM366</f>
        <v>9</v>
      </c>
      <c r="BA367">
        <f t="shared" ref="BA367" si="3764">CD367-CD366</f>
        <v>59</v>
      </c>
      <c r="BB367">
        <f t="shared" ref="BB367" si="3765">CE367-CE366</f>
        <v>2</v>
      </c>
      <c r="BC367">
        <f t="shared" ref="BC367" si="3766">AX367/AW367</f>
        <v>0.10526315789473684</v>
      </c>
      <c r="BD367">
        <f t="shared" ref="BD367" si="3767">AZ367/AY367</f>
        <v>2.132701421800948E-2</v>
      </c>
      <c r="BE367">
        <f t="shared" si="3674"/>
        <v>3.3898305084745763E-2</v>
      </c>
      <c r="BF367">
        <f t="shared" ref="BF367" si="3768">SUM(AU361:AU367)/SUM(AT361:AT367)</f>
        <v>3.7249360068259386E-2</v>
      </c>
      <c r="BG367">
        <f t="shared" ref="BG367" si="3769">SUM(AU354:AU367)/SUM(AT354:AT367)</f>
        <v>3.7084391545153923E-2</v>
      </c>
      <c r="BH367">
        <f t="shared" ref="BH367" si="3770">SUM(AX361:AX367)/SUM(AW361:AW367)</f>
        <v>2.3715415019762844E-2</v>
      </c>
      <c r="BI367">
        <f t="shared" ref="BI367" si="3771">SUM(AZ361:AZ367)/SUM(AY361:AY367)</f>
        <v>2.7226137091607944E-2</v>
      </c>
      <c r="BJ367">
        <f t="shared" ref="BJ367" si="3772">SUM(BB361:BB367)/SUM(BA361:BA367)</f>
        <v>9.3457943925233638E-3</v>
      </c>
      <c r="BN367" s="20">
        <v>4277250</v>
      </c>
      <c r="BO367" s="20">
        <v>371876</v>
      </c>
      <c r="BP367" s="20">
        <v>1346773</v>
      </c>
      <c r="BQ367" s="20">
        <v>256661</v>
      </c>
      <c r="BR367" s="20">
        <v>285546</v>
      </c>
      <c r="BS367" s="20">
        <v>58458</v>
      </c>
      <c r="BT367" s="21">
        <f t="shared" si="2990"/>
        <v>1603434</v>
      </c>
      <c r="BU367" s="21">
        <f t="shared" si="2991"/>
        <v>344004</v>
      </c>
      <c r="BV367" s="20">
        <v>34625</v>
      </c>
      <c r="BW367" s="20">
        <v>2870</v>
      </c>
      <c r="BX367" s="20">
        <v>8905</v>
      </c>
      <c r="BY367" s="20">
        <v>2915</v>
      </c>
      <c r="BZ367" s="20">
        <v>2113</v>
      </c>
      <c r="CA367" s="20">
        <v>624</v>
      </c>
      <c r="CB367" s="21">
        <f t="shared" si="2992"/>
        <v>11820</v>
      </c>
      <c r="CC367" s="21">
        <f t="shared" si="2993"/>
        <v>2737</v>
      </c>
      <c r="CD367" s="20">
        <v>26606</v>
      </c>
      <c r="CE367" s="20">
        <v>1687</v>
      </c>
      <c r="CF367" s="20">
        <v>5078</v>
      </c>
      <c r="CG367" s="20">
        <v>1736</v>
      </c>
      <c r="CH367" s="20">
        <v>1153</v>
      </c>
      <c r="CI367" s="20">
        <v>447</v>
      </c>
      <c r="CJ367" s="21">
        <f t="shared" si="2994"/>
        <v>6814</v>
      </c>
      <c r="CK367" s="21">
        <f t="shared" si="2995"/>
        <v>1600</v>
      </c>
      <c r="CL367" s="20">
        <v>193889</v>
      </c>
      <c r="CM367" s="20">
        <v>16477</v>
      </c>
      <c r="CN367" s="20">
        <v>62068</v>
      </c>
      <c r="CO367" s="20">
        <v>4845</v>
      </c>
      <c r="CP367" s="20">
        <v>14322</v>
      </c>
      <c r="CQ367" s="20">
        <v>784</v>
      </c>
      <c r="CR367" s="21">
        <f t="shared" si="2996"/>
        <v>66913</v>
      </c>
      <c r="CS367" s="21">
        <f t="shared" si="2997"/>
        <v>15106</v>
      </c>
    </row>
    <row r="368" spans="1:97" x14ac:dyDescent="0.35">
      <c r="A368" s="14">
        <f t="shared" si="2761"/>
        <v>44274</v>
      </c>
      <c r="B368" s="9">
        <f t="shared" si="2963"/>
        <v>1608290</v>
      </c>
      <c r="C368">
        <f t="shared" ref="C368" si="3773">BU368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774">-(J368-J367)+L368</f>
        <v>3</v>
      </c>
      <c r="N368" s="7">
        <f t="shared" ref="N368" si="3775">B368-C368</f>
        <v>1263380</v>
      </c>
      <c r="O368" s="4">
        <f t="shared" ref="O368" si="3776">C368/B368</f>
        <v>0.21445759160350433</v>
      </c>
      <c r="R368">
        <f t="shared" ref="R368" si="3777">C368-C367</f>
        <v>906</v>
      </c>
      <c r="S368">
        <f t="shared" ref="S368" si="3778">N368-N367</f>
        <v>3950</v>
      </c>
      <c r="T368" s="8">
        <f t="shared" ref="T368" si="3779">R368/V368</f>
        <v>0.18657331136738056</v>
      </c>
      <c r="U368" s="8">
        <f t="shared" ref="U368" si="3780">SUM(R362:R368)/SUM(V362:V368)</f>
        <v>0.17649135192375573</v>
      </c>
      <c r="V368">
        <f t="shared" ref="V368" si="3781">B368-B367</f>
        <v>4856</v>
      </c>
      <c r="W368">
        <f t="shared" ref="W368" si="3782">C368-D368-E368</f>
        <v>12108</v>
      </c>
      <c r="X368" s="3">
        <f t="shared" ref="X368" si="3783">F368/W368</f>
        <v>1.5609514370664023E-2</v>
      </c>
      <c r="Y368">
        <f t="shared" ref="Y368" si="3784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785">Z368-AC368-AF368</f>
        <v>110</v>
      </c>
      <c r="AJ368">
        <f t="shared" ref="AJ368" si="3786">AA368-AD368-AG368</f>
        <v>32</v>
      </c>
      <c r="AK368">
        <f t="shared" ref="AK368" si="3787">AB368-AE368-AH368</f>
        <v>325</v>
      </c>
      <c r="AL368">
        <v>5</v>
      </c>
      <c r="AM368">
        <v>5</v>
      </c>
      <c r="AN368">
        <v>42</v>
      </c>
      <c r="AT368">
        <f t="shared" ref="AT368" si="3788">BN368-BN367</f>
        <v>26715</v>
      </c>
      <c r="AU368">
        <f t="shared" ref="AU368" si="3789">BO368-BO367</f>
        <v>992</v>
      </c>
      <c r="AV368">
        <f t="shared" ref="AV368" si="3790">AU368/AT368</f>
        <v>3.7132696986711587E-2</v>
      </c>
      <c r="AW368">
        <f t="shared" ref="AW368" si="3791">BV368-BV367</f>
        <v>317</v>
      </c>
      <c r="AX368">
        <f t="shared" ref="AX368" si="3792">BW368-BW367</f>
        <v>3</v>
      </c>
      <c r="AY368">
        <f t="shared" ref="AY368" si="3793">CL368-CL367</f>
        <v>699</v>
      </c>
      <c r="AZ368">
        <f t="shared" ref="AZ368" si="3794">CM368-CM367</f>
        <v>22</v>
      </c>
      <c r="BA368">
        <f t="shared" ref="BA368" si="3795">CD368-CD367</f>
        <v>272</v>
      </c>
      <c r="BB368">
        <f t="shared" ref="BB368" si="3796">CE368-CE367</f>
        <v>1</v>
      </c>
      <c r="BC368">
        <f t="shared" ref="BC368" si="3797">AX368/AW368</f>
        <v>9.4637223974763408E-3</v>
      </c>
      <c r="BD368">
        <f t="shared" ref="BD368" si="3798">AZ368/AY368</f>
        <v>3.1473533619456366E-2</v>
      </c>
      <c r="BE368">
        <f t="shared" si="3674"/>
        <v>3.6764705882352941E-3</v>
      </c>
      <c r="BF368">
        <f t="shared" ref="BF368" si="3799">SUM(AU362:AU368)/SUM(AT362:AT368)</f>
        <v>3.7766639468469518E-2</v>
      </c>
      <c r="BG368">
        <f t="shared" ref="BG368" si="3800">SUM(AU355:AU368)/SUM(AT355:AT368)</f>
        <v>3.733873839327289E-2</v>
      </c>
      <c r="BH368">
        <f t="shared" ref="BH368" si="3801">SUM(AX362:AX368)/SUM(AW362:AW368)</f>
        <v>2.2352941176470589E-2</v>
      </c>
      <c r="BI368">
        <f t="shared" ref="BI368" si="3802">SUM(AZ362:AZ368)/SUM(AY362:AY368)</f>
        <v>2.6896343306134784E-2</v>
      </c>
      <c r="BJ368">
        <f t="shared" ref="BJ368" si="3803">SUM(BB362:BB368)/SUM(BA362:BA368)</f>
        <v>6.1349693251533744E-3</v>
      </c>
      <c r="BN368" s="20">
        <v>4303965</v>
      </c>
      <c r="BO368" s="20">
        <v>372868</v>
      </c>
      <c r="BP368" s="20">
        <v>1350247</v>
      </c>
      <c r="BQ368" s="20">
        <v>258043</v>
      </c>
      <c r="BR368" s="20">
        <v>286263</v>
      </c>
      <c r="BS368" s="20">
        <v>58647</v>
      </c>
      <c r="BT368" s="21">
        <f t="shared" si="2990"/>
        <v>1608290</v>
      </c>
      <c r="BU368" s="21">
        <f t="shared" si="2991"/>
        <v>344910</v>
      </c>
      <c r="BV368" s="20">
        <v>34942</v>
      </c>
      <c r="BW368" s="20">
        <v>2873</v>
      </c>
      <c r="BX368" s="20">
        <v>8925</v>
      </c>
      <c r="BY368" s="20">
        <v>2931</v>
      </c>
      <c r="BZ368" s="20">
        <v>2115</v>
      </c>
      <c r="CA368" s="20">
        <v>625</v>
      </c>
      <c r="CB368" s="21">
        <f t="shared" si="2992"/>
        <v>11856</v>
      </c>
      <c r="CC368" s="21">
        <f t="shared" si="2993"/>
        <v>2740</v>
      </c>
      <c r="CD368" s="20">
        <v>26878</v>
      </c>
      <c r="CE368" s="20">
        <v>1688</v>
      </c>
      <c r="CF368" s="20">
        <v>5091</v>
      </c>
      <c r="CG368" s="20">
        <v>1745</v>
      </c>
      <c r="CH368" s="20">
        <v>1154</v>
      </c>
      <c r="CI368" s="20">
        <v>450</v>
      </c>
      <c r="CJ368" s="21">
        <f t="shared" si="2994"/>
        <v>6836</v>
      </c>
      <c r="CK368" s="21">
        <f t="shared" si="2995"/>
        <v>1604</v>
      </c>
      <c r="CL368" s="20">
        <v>194588</v>
      </c>
      <c r="CM368" s="20">
        <v>16499</v>
      </c>
      <c r="CN368" s="20">
        <v>63198</v>
      </c>
      <c r="CO368" s="20">
        <v>4869</v>
      </c>
      <c r="CP368" s="20">
        <v>14340</v>
      </c>
      <c r="CQ368" s="20">
        <v>787</v>
      </c>
      <c r="CR368" s="21">
        <f t="shared" si="2996"/>
        <v>68067</v>
      </c>
      <c r="CS368" s="21">
        <f t="shared" si="2997"/>
        <v>15127</v>
      </c>
    </row>
    <row r="369" spans="1:97" x14ac:dyDescent="0.35">
      <c r="A369" s="14">
        <f t="shared" si="2761"/>
        <v>44275</v>
      </c>
      <c r="B369" s="9">
        <f t="shared" si="2963"/>
        <v>1610928</v>
      </c>
      <c r="C369">
        <f t="shared" ref="C369" si="3804">BU369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805">-(J369-J368)+L369</f>
        <v>10</v>
      </c>
      <c r="N369" s="7">
        <f t="shared" ref="N369" si="3806">B369-C369</f>
        <v>1265571</v>
      </c>
      <c r="O369" s="4">
        <f t="shared" ref="O369" si="3807">C369/B369</f>
        <v>0.21438388307857334</v>
      </c>
      <c r="R369">
        <f t="shared" ref="R369" si="3808">C369-C368</f>
        <v>447</v>
      </c>
      <c r="S369">
        <f t="shared" ref="S369" si="3809">N369-N368</f>
        <v>2191</v>
      </c>
      <c r="T369" s="8">
        <f t="shared" ref="T369" si="3810">R369/V369</f>
        <v>0.16944655041698256</v>
      </c>
      <c r="U369" s="8">
        <f t="shared" ref="U369" si="3811">SUM(R363:R369)/SUM(V363:V369)</f>
        <v>0.1791238708080683</v>
      </c>
      <c r="V369">
        <f t="shared" ref="V369" si="3812">B369-B368</f>
        <v>2638</v>
      </c>
      <c r="W369">
        <f t="shared" ref="W369" si="3813">C369-D369-E369</f>
        <v>12042</v>
      </c>
      <c r="X369" s="3">
        <f t="shared" ref="X369" si="3814">F369/W369</f>
        <v>1.4283341637601728E-2</v>
      </c>
      <c r="Y369">
        <f t="shared" ref="Y369" si="381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816">Z369-AC369-AF369</f>
        <v>109</v>
      </c>
      <c r="AJ369">
        <f t="shared" ref="AJ369" si="3817">AA369-AD369-AG369</f>
        <v>36</v>
      </c>
      <c r="AK369">
        <f t="shared" ref="AK369" si="3818">AB369-AE369-AH369</f>
        <v>326</v>
      </c>
      <c r="AL369">
        <v>6</v>
      </c>
      <c r="AM369">
        <v>6</v>
      </c>
      <c r="AN369">
        <v>44</v>
      </c>
      <c r="AT369">
        <f t="shared" ref="AT369" si="3819">BN369-BN368</f>
        <v>12165</v>
      </c>
      <c r="AU369">
        <f t="shared" ref="AU369" si="3820">BO369-BO368</f>
        <v>491</v>
      </c>
      <c r="AV369">
        <f t="shared" ref="AV369" si="3821">AU369/AT369</f>
        <v>4.0361693382655162E-2</v>
      </c>
      <c r="AW369">
        <f t="shared" ref="AW369" si="3822">BV369-BV368</f>
        <v>176</v>
      </c>
      <c r="AX369">
        <f t="shared" ref="AX369" si="3823">BW369-BW368</f>
        <v>-2</v>
      </c>
      <c r="AY369">
        <f t="shared" ref="AY369" si="3824">CL369-CL368</f>
        <v>493</v>
      </c>
      <c r="AZ369">
        <f t="shared" ref="AZ369" si="3825">CM369-CM368</f>
        <v>13</v>
      </c>
      <c r="BA369">
        <f t="shared" ref="BA369" si="3826">CD369-CD368</f>
        <v>56</v>
      </c>
      <c r="BB369">
        <f t="shared" ref="BB369" si="3827">CE369-CE368</f>
        <v>4</v>
      </c>
      <c r="BC369">
        <f t="shared" ref="BC369" si="3828">AX369/AW369</f>
        <v>-1.1363636363636364E-2</v>
      </c>
      <c r="BD369">
        <f t="shared" ref="BD369" si="3829">AZ369/AY369</f>
        <v>2.6369168356997971E-2</v>
      </c>
      <c r="BE369">
        <f t="shared" si="3674"/>
        <v>7.1428571428571425E-2</v>
      </c>
      <c r="BF369">
        <f t="shared" ref="BF369" si="3830">SUM(AU363:AU369)/SUM(AT363:AT369)</f>
        <v>3.8640028558415501E-2</v>
      </c>
      <c r="BG369">
        <f t="shared" ref="BG369" si="3831">SUM(AU356:AU369)/SUM(AT356:AT369)</f>
        <v>3.7465340801532243E-2</v>
      </c>
      <c r="BH369">
        <f t="shared" ref="BH369" si="3832">SUM(AX363:AX369)/SUM(AW363:AW369)</f>
        <v>1.4304291287386216E-2</v>
      </c>
      <c r="BI369">
        <f t="shared" ref="BI369" si="3833">SUM(AZ363:AZ369)/SUM(AY363:AY369)</f>
        <v>2.7237354085603113E-2</v>
      </c>
      <c r="BJ369">
        <f t="shared" ref="BJ369" si="3834">SUM(BB363:BB369)/SUM(BA363:BA369)</f>
        <v>1.3157894736842105E-2</v>
      </c>
      <c r="BN369" s="20">
        <v>4316130</v>
      </c>
      <c r="BO369" s="20">
        <v>373359</v>
      </c>
      <c r="BP369" s="20">
        <v>1351972</v>
      </c>
      <c r="BQ369" s="20">
        <v>258956</v>
      </c>
      <c r="BR369" s="20">
        <v>286567</v>
      </c>
      <c r="BS369" s="20">
        <v>58790</v>
      </c>
      <c r="BT369" s="21">
        <f t="shared" si="2990"/>
        <v>1610928</v>
      </c>
      <c r="BU369" s="21">
        <f t="shared" si="2991"/>
        <v>345357</v>
      </c>
      <c r="BV369" s="20">
        <v>35118</v>
      </c>
      <c r="BW369" s="20">
        <v>2871</v>
      </c>
      <c r="BX369" s="20">
        <v>8924</v>
      </c>
      <c r="BY369" s="20">
        <v>2974</v>
      </c>
      <c r="BZ369" s="20">
        <v>2115</v>
      </c>
      <c r="CA369" s="20">
        <v>625</v>
      </c>
      <c r="CB369" s="21">
        <f t="shared" si="2992"/>
        <v>11898</v>
      </c>
      <c r="CC369" s="21">
        <f t="shared" si="2993"/>
        <v>2740</v>
      </c>
      <c r="CD369" s="20">
        <v>26934</v>
      </c>
      <c r="CE369" s="20">
        <v>1692</v>
      </c>
      <c r="CF369" s="20">
        <v>5095</v>
      </c>
      <c r="CG369" s="20">
        <v>1749</v>
      </c>
      <c r="CH369" s="20">
        <v>1155</v>
      </c>
      <c r="CI369" s="20">
        <v>450</v>
      </c>
      <c r="CJ369" s="21">
        <f t="shared" si="2994"/>
        <v>6844</v>
      </c>
      <c r="CK369" s="21">
        <f t="shared" si="2995"/>
        <v>1605</v>
      </c>
      <c r="CL369" s="20">
        <v>195081</v>
      </c>
      <c r="CM369" s="20">
        <v>16512</v>
      </c>
      <c r="CN369" s="20">
        <v>63260</v>
      </c>
      <c r="CO369" s="20">
        <v>4886</v>
      </c>
      <c r="CP369" s="20">
        <v>14350</v>
      </c>
      <c r="CQ369" s="20">
        <v>787</v>
      </c>
      <c r="CR369" s="21">
        <f t="shared" si="2996"/>
        <v>68146</v>
      </c>
      <c r="CS369" s="21">
        <f t="shared" si="2997"/>
        <v>15137</v>
      </c>
    </row>
    <row r="370" spans="1:97" x14ac:dyDescent="0.35">
      <c r="A370" s="14">
        <f t="shared" si="2761"/>
        <v>44276</v>
      </c>
      <c r="B370" s="9">
        <f t="shared" si="2963"/>
        <v>1612715</v>
      </c>
      <c r="C370">
        <f t="shared" ref="C370" si="3835">BU370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836">-(J370-J369)+L370</f>
        <v>7</v>
      </c>
      <c r="N370" s="7">
        <f t="shared" ref="N370" si="3837">B370-C370</f>
        <v>1267041</v>
      </c>
      <c r="O370" s="4">
        <f t="shared" ref="O370" si="3838">C370/B370</f>
        <v>0.21434289381570829</v>
      </c>
      <c r="R370">
        <f t="shared" ref="R370" si="3839">C370-C369</f>
        <v>317</v>
      </c>
      <c r="S370">
        <f t="shared" ref="S370" si="3840">N370-N369</f>
        <v>1470</v>
      </c>
      <c r="T370" s="8">
        <f t="shared" ref="T370" si="3841">R370/V370</f>
        <v>0.17739227756015669</v>
      </c>
      <c r="U370" s="8">
        <f t="shared" ref="U370" si="3842">SUM(R364:R370)/SUM(V364:V370)</f>
        <v>0.17868682558068646</v>
      </c>
      <c r="V370">
        <f t="shared" ref="V370" si="3843">B370-B369</f>
        <v>1787</v>
      </c>
      <c r="W370">
        <f t="shared" ref="W370" si="3844">C370-D370-E370</f>
        <v>12142</v>
      </c>
      <c r="X370" s="3">
        <f t="shared" ref="X370" si="3845">F370/W370</f>
        <v>1.4330423323999341E-2</v>
      </c>
      <c r="Y370">
        <f t="shared" ref="Y370" si="3846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847">Z370-AC370-AF370</f>
        <v>108</v>
      </c>
      <c r="AJ370">
        <f t="shared" ref="AJ370" si="3848">AA370-AD370-AG370</f>
        <v>37</v>
      </c>
      <c r="AK370">
        <f t="shared" ref="AK370" si="3849">AB370-AE370-AH370</f>
        <v>331</v>
      </c>
      <c r="AL370">
        <v>6</v>
      </c>
      <c r="AM370">
        <v>6</v>
      </c>
      <c r="AN370">
        <v>44</v>
      </c>
      <c r="AT370">
        <f t="shared" ref="AT370" si="3850">BN370-BN369</f>
        <v>5818</v>
      </c>
      <c r="AU370">
        <f t="shared" ref="AU370" si="3851">BO370-BO369</f>
        <v>371</v>
      </c>
      <c r="AV370">
        <f t="shared" ref="AV370" si="3852">AU370/AT370</f>
        <v>6.3767617738054311E-2</v>
      </c>
      <c r="AW370">
        <f t="shared" ref="AW370" si="3853">BV370-BV369</f>
        <v>28</v>
      </c>
      <c r="AX370">
        <f t="shared" ref="AX370" si="3854">BW370-BW369</f>
        <v>3</v>
      </c>
      <c r="AY370">
        <f t="shared" ref="AY370" si="3855">CL370-CL369</f>
        <v>322</v>
      </c>
      <c r="AZ370">
        <f t="shared" ref="AZ370" si="3856">CM370-CM369</f>
        <v>9</v>
      </c>
      <c r="BA370">
        <f t="shared" ref="BA370" si="3857">CD370-CD369</f>
        <v>24</v>
      </c>
      <c r="BB370">
        <f t="shared" ref="BB370" si="3858">CE370-CE369</f>
        <v>-1</v>
      </c>
      <c r="BC370">
        <f t="shared" ref="BC370" si="3859">AX370/AW370</f>
        <v>0.10714285714285714</v>
      </c>
      <c r="BD370">
        <f t="shared" ref="BD370" si="3860">AZ370/AY370</f>
        <v>2.7950310559006212E-2</v>
      </c>
      <c r="BE370">
        <f t="shared" si="3674"/>
        <v>-4.1666666666666664E-2</v>
      </c>
      <c r="BF370">
        <f t="shared" ref="BF370" si="3861">SUM(AU364:AU370)/SUM(AT364:AT370)</f>
        <v>3.9081863134118794E-2</v>
      </c>
      <c r="BG370">
        <f t="shared" ref="BG370" si="3862">SUM(AU357:AU370)/SUM(AT357:AT370)</f>
        <v>3.7424319646927696E-2</v>
      </c>
      <c r="BH370">
        <f t="shared" ref="BH370" si="3863">SUM(AX364:AX370)/SUM(AW364:AW370)</f>
        <v>1.6883116883116882E-2</v>
      </c>
      <c r="BI370">
        <f t="shared" ref="BI370" si="3864">SUM(AZ364:AZ370)/SUM(AY364:AY370)</f>
        <v>2.4172185430463577E-2</v>
      </c>
      <c r="BJ370">
        <f t="shared" ref="BJ370" si="3865">SUM(BB364:BB370)/SUM(BA364:BA370)</f>
        <v>1.1090573012939002E-2</v>
      </c>
      <c r="BN370" s="20">
        <v>4321948</v>
      </c>
      <c r="BO370" s="20">
        <v>373730</v>
      </c>
      <c r="BP370" s="20">
        <v>1353469</v>
      </c>
      <c r="BQ370" s="20">
        <v>259246</v>
      </c>
      <c r="BR370" s="20">
        <v>286838</v>
      </c>
      <c r="BS370" s="20">
        <v>58836</v>
      </c>
      <c r="BT370" s="21">
        <f t="shared" si="2990"/>
        <v>1612715</v>
      </c>
      <c r="BU370" s="21">
        <f t="shared" si="2991"/>
        <v>345674</v>
      </c>
      <c r="BV370" s="20">
        <v>35146</v>
      </c>
      <c r="BW370" s="20">
        <v>2874</v>
      </c>
      <c r="BX370" s="20">
        <v>8940</v>
      </c>
      <c r="BY370" s="20">
        <v>2969</v>
      </c>
      <c r="BZ370" s="20">
        <v>2115</v>
      </c>
      <c r="CA370" s="20">
        <v>625</v>
      </c>
      <c r="CB370" s="21">
        <f t="shared" si="2992"/>
        <v>11909</v>
      </c>
      <c r="CC370" s="21">
        <f t="shared" si="2993"/>
        <v>2740</v>
      </c>
      <c r="CD370" s="20">
        <v>26958</v>
      </c>
      <c r="CE370" s="20">
        <v>1691</v>
      </c>
      <c r="CF370" s="20">
        <v>5100</v>
      </c>
      <c r="CG370" s="20">
        <v>1749</v>
      </c>
      <c r="CH370" s="20">
        <v>1155</v>
      </c>
      <c r="CI370" s="20">
        <v>450</v>
      </c>
      <c r="CJ370" s="21">
        <f t="shared" si="2994"/>
        <v>6849</v>
      </c>
      <c r="CK370" s="21">
        <f t="shared" si="2995"/>
        <v>1605</v>
      </c>
      <c r="CL370" s="20">
        <v>195403</v>
      </c>
      <c r="CM370" s="20">
        <v>16521</v>
      </c>
      <c r="CN370" s="20">
        <v>63311</v>
      </c>
      <c r="CO370" s="20">
        <v>4898</v>
      </c>
      <c r="CP370" s="20">
        <v>14357</v>
      </c>
      <c r="CQ370" s="20">
        <v>788</v>
      </c>
      <c r="CR370" s="21">
        <f t="shared" si="2996"/>
        <v>68209</v>
      </c>
      <c r="CS370" s="21">
        <f t="shared" si="2997"/>
        <v>15145</v>
      </c>
    </row>
    <row r="371" spans="1:97" x14ac:dyDescent="0.35">
      <c r="A371" s="14">
        <f t="shared" si="2761"/>
        <v>44277</v>
      </c>
      <c r="B371" s="9">
        <f t="shared" si="2963"/>
        <v>1613884</v>
      </c>
      <c r="C371">
        <f t="shared" ref="C371" si="3866">BU371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867">-(J371-J370)+L371</f>
        <v>3</v>
      </c>
      <c r="N371" s="7">
        <f t="shared" ref="N371" si="3868">B371-C371</f>
        <v>1268070</v>
      </c>
      <c r="O371" s="4">
        <f t="shared" ref="O371" si="3869">C371/B371</f>
        <v>0.21427438403255747</v>
      </c>
      <c r="R371">
        <f t="shared" ref="R371" si="3870">C371-C370</f>
        <v>140</v>
      </c>
      <c r="S371">
        <f t="shared" ref="S371" si="3871">N371-N370</f>
        <v>1029</v>
      </c>
      <c r="T371" s="8">
        <f t="shared" ref="T371" si="3872">R371/V371</f>
        <v>0.11976047904191617</v>
      </c>
      <c r="U371" s="8">
        <f t="shared" ref="U371" si="3873">SUM(R365:R371)/SUM(V365:V371)</f>
        <v>0.17470087436723425</v>
      </c>
      <c r="V371">
        <f t="shared" ref="V371" si="3874">B371-B370</f>
        <v>1169</v>
      </c>
      <c r="W371">
        <f t="shared" ref="W371" si="3875">C371-D371-E371</f>
        <v>12082</v>
      </c>
      <c r="X371" s="3">
        <f t="shared" ref="X371" si="3876">F371/W371</f>
        <v>1.4153285879821221E-2</v>
      </c>
      <c r="Y371">
        <f t="shared" ref="Y371" si="3877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878">Z371-AC371-AF371</f>
        <v>108</v>
      </c>
      <c r="AJ371">
        <f t="shared" ref="AJ371" si="3879">AA371-AD371-AG371</f>
        <v>36</v>
      </c>
      <c r="AK371">
        <f t="shared" ref="AK371" si="3880">AB371-AE371-AH371</f>
        <v>339</v>
      </c>
      <c r="AL371">
        <v>6</v>
      </c>
      <c r="AM371">
        <v>6</v>
      </c>
      <c r="AN371">
        <v>44</v>
      </c>
      <c r="AT371">
        <f t="shared" ref="AT371" si="3881">BN371-BN370</f>
        <v>4004</v>
      </c>
      <c r="AU371">
        <f t="shared" ref="AU371" si="3882">BO371-BO370</f>
        <v>140</v>
      </c>
      <c r="AV371">
        <f t="shared" ref="AV371" si="3883">AU371/AT371</f>
        <v>3.4965034965034968E-2</v>
      </c>
      <c r="AW371">
        <f t="shared" ref="AW371" si="3884">BV371-BV370</f>
        <v>31</v>
      </c>
      <c r="AX371">
        <f t="shared" ref="AX371" si="3885">BW371-BW370</f>
        <v>1</v>
      </c>
      <c r="AY371">
        <f t="shared" ref="AY371" si="3886">CL371-CL370</f>
        <v>224</v>
      </c>
      <c r="AZ371">
        <f t="shared" ref="AZ371" si="3887">CM371-CM370</f>
        <v>4</v>
      </c>
      <c r="BA371">
        <f t="shared" ref="BA371" si="3888">CD371-CD370</f>
        <v>16</v>
      </c>
      <c r="BB371">
        <f t="shared" ref="BB371" si="3889">CE371-CE370</f>
        <v>0</v>
      </c>
      <c r="BC371">
        <f t="shared" ref="BC371" si="3890">AX371/AW371</f>
        <v>3.2258064516129031E-2</v>
      </c>
      <c r="BD371">
        <f t="shared" ref="BD371" si="3891">AZ371/AY371</f>
        <v>1.7857142857142856E-2</v>
      </c>
      <c r="BE371">
        <f t="shared" si="3674"/>
        <v>0</v>
      </c>
      <c r="BF371">
        <f t="shared" ref="BF371" si="3892">SUM(AU365:AU371)/SUM(AT365:AT371)</f>
        <v>3.8588599142475574E-2</v>
      </c>
      <c r="BG371">
        <f t="shared" ref="BG371" si="3893">SUM(AU358:AU371)/SUM(AT358:AT371)</f>
        <v>3.7500979064797303E-2</v>
      </c>
      <c r="BH371">
        <f t="shared" ref="BH371" si="3894">SUM(AX365:AX371)/SUM(AW365:AW371)</f>
        <v>1.4157014157014158E-2</v>
      </c>
      <c r="BI371">
        <f t="shared" ref="BI371" si="3895">SUM(AZ365:AZ371)/SUM(AY365:AY371)</f>
        <v>2.3225806451612905E-2</v>
      </c>
      <c r="BJ371">
        <f t="shared" ref="BJ371" si="3896">SUM(BB365:BB371)/SUM(BA365:BA371)</f>
        <v>1.8450184501845018E-2</v>
      </c>
      <c r="BN371" s="20">
        <v>4325952</v>
      </c>
      <c r="BO371" s="20">
        <v>373870</v>
      </c>
      <c r="BP371" s="20">
        <v>1354573</v>
      </c>
      <c r="BQ371" s="20">
        <v>259311</v>
      </c>
      <c r="BR371" s="20">
        <v>286966</v>
      </c>
      <c r="BS371" s="20">
        <v>58848</v>
      </c>
      <c r="BT371" s="21">
        <f t="shared" si="2990"/>
        <v>1613884</v>
      </c>
      <c r="BU371" s="21">
        <f t="shared" si="2991"/>
        <v>345814</v>
      </c>
      <c r="BV371" s="20">
        <v>35177</v>
      </c>
      <c r="BW371" s="20">
        <v>2875</v>
      </c>
      <c r="BX371" s="20">
        <v>8953</v>
      </c>
      <c r="BY371" s="20">
        <v>2966</v>
      </c>
      <c r="BZ371" s="20">
        <v>2116</v>
      </c>
      <c r="CA371" s="20">
        <v>625</v>
      </c>
      <c r="CB371" s="21">
        <f t="shared" si="2992"/>
        <v>11919</v>
      </c>
      <c r="CC371" s="21">
        <f t="shared" si="2993"/>
        <v>2741</v>
      </c>
      <c r="CD371" s="20">
        <v>26974</v>
      </c>
      <c r="CE371" s="20">
        <v>1691</v>
      </c>
      <c r="CF371" s="20">
        <v>5103</v>
      </c>
      <c r="CG371" s="20">
        <v>1749</v>
      </c>
      <c r="CH371" s="20">
        <v>1156</v>
      </c>
      <c r="CI371" s="20">
        <v>450</v>
      </c>
      <c r="CJ371" s="21">
        <f t="shared" si="2994"/>
        <v>6852</v>
      </c>
      <c r="CK371" s="21">
        <f t="shared" si="2995"/>
        <v>1606</v>
      </c>
      <c r="CL371" s="20">
        <v>195627</v>
      </c>
      <c r="CM371" s="20">
        <v>16525</v>
      </c>
      <c r="CN371" s="20">
        <v>63369</v>
      </c>
      <c r="CO371" s="20">
        <v>4897</v>
      </c>
      <c r="CP371" s="20">
        <v>14360</v>
      </c>
      <c r="CQ371" s="20">
        <v>788</v>
      </c>
      <c r="CR371" s="21">
        <f t="shared" si="2996"/>
        <v>68266</v>
      </c>
      <c r="CS371" s="21">
        <f t="shared" si="2997"/>
        <v>15148</v>
      </c>
    </row>
    <row r="372" spans="1:97" x14ac:dyDescent="0.35">
      <c r="A372" s="14">
        <f t="shared" si="2761"/>
        <v>44278</v>
      </c>
      <c r="B372" s="9">
        <f t="shared" si="2963"/>
        <v>1616588</v>
      </c>
      <c r="C372">
        <f t="shared" ref="C372" si="3897">BU372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898">-(J372-J371)+L372</f>
        <v>3</v>
      </c>
      <c r="N372" s="7">
        <f t="shared" ref="N372" si="3899">B372-C372</f>
        <v>1270285</v>
      </c>
      <c r="O372" s="4">
        <f t="shared" ref="O372" si="3900">C372/B372</f>
        <v>0.21421846506345463</v>
      </c>
      <c r="R372">
        <f t="shared" ref="R372" si="3901">C372-C371</f>
        <v>489</v>
      </c>
      <c r="S372">
        <f t="shared" ref="S372" si="3902">N372-N371</f>
        <v>2215</v>
      </c>
      <c r="T372" s="8">
        <f t="shared" ref="T372" si="3903">R372/V372</f>
        <v>0.18084319526627218</v>
      </c>
      <c r="U372" s="8">
        <f t="shared" ref="U372" si="3904">SUM(R366:R372)/SUM(V366:V372)</f>
        <v>0.17855632739353669</v>
      </c>
      <c r="V372">
        <f t="shared" ref="V372" si="3905">B372-B371</f>
        <v>2704</v>
      </c>
      <c r="W372">
        <f t="shared" ref="W372" si="3906">C372-D372-E372</f>
        <v>11758</v>
      </c>
      <c r="X372" s="3">
        <f t="shared" ref="X372" si="3907">F372/W372</f>
        <v>1.5733968361966322E-2</v>
      </c>
      <c r="Y372">
        <f t="shared" ref="Y372" si="3908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909">Z372-AC372-AF372</f>
        <v>108</v>
      </c>
      <c r="AJ372">
        <f t="shared" ref="AJ372" si="3910">AA372-AD372-AG372</f>
        <v>37</v>
      </c>
      <c r="AK372">
        <f t="shared" ref="AK372" si="3911">AB372-AE372-AH372</f>
        <v>325</v>
      </c>
      <c r="AL372">
        <v>7</v>
      </c>
      <c r="AM372">
        <v>7</v>
      </c>
      <c r="AN372">
        <v>20</v>
      </c>
      <c r="AT372">
        <f t="shared" ref="AT372" si="3912">BN372-BN371</f>
        <v>16034</v>
      </c>
      <c r="AU372">
        <f t="shared" ref="AU372" si="3913">BO372-BO371</f>
        <v>530</v>
      </c>
      <c r="AV372">
        <f t="shared" ref="AV372" si="3914">AU372/AT372</f>
        <v>3.3054758637894477E-2</v>
      </c>
      <c r="AW372">
        <f t="shared" ref="AW372" si="3915">BV372-BV371</f>
        <v>99</v>
      </c>
      <c r="AX372">
        <f t="shared" ref="AX372" si="3916">BW372-BW371</f>
        <v>3</v>
      </c>
      <c r="AY372">
        <f t="shared" ref="AY372" si="3917">CL372-CL371</f>
        <v>631</v>
      </c>
      <c r="AZ372">
        <f t="shared" ref="AZ372" si="3918">CM372-CM371</f>
        <v>13</v>
      </c>
      <c r="BA372">
        <f t="shared" ref="BA372" si="3919">CD372-CD371</f>
        <v>277</v>
      </c>
      <c r="BB372">
        <f t="shared" ref="BB372" si="3920">CE372-CE371</f>
        <v>2</v>
      </c>
      <c r="BC372">
        <f t="shared" ref="BC372" si="3921">AX372/AW372</f>
        <v>3.0303030303030304E-2</v>
      </c>
      <c r="BD372">
        <f t="shared" ref="BD372" si="3922">AZ372/AY372</f>
        <v>2.0602218700475437E-2</v>
      </c>
      <c r="BE372">
        <f t="shared" si="3674"/>
        <v>7.2202166064981952E-3</v>
      </c>
      <c r="BF372">
        <f t="shared" ref="BF372" si="3923">SUM(AU366:AU372)/SUM(AT366:AT372)</f>
        <v>3.8881639360108258E-2</v>
      </c>
      <c r="BG372">
        <f t="shared" ref="BG372" si="3924">SUM(AU359:AU372)/SUM(AT359:AT372)</f>
        <v>3.8001451702321012E-2</v>
      </c>
      <c r="BH372">
        <f t="shared" ref="BH372" si="3925">SUM(AX366:AX372)/SUM(AW366:AW372)</f>
        <v>1.2755102040816327E-2</v>
      </c>
      <c r="BI372">
        <f t="shared" ref="BI372" si="3926">SUM(AZ366:AZ372)/SUM(AY366:AY372)</f>
        <v>2.5085165685970887E-2</v>
      </c>
      <c r="BJ372">
        <f t="shared" ref="BJ372" si="3927">SUM(BB366:BB372)/SUM(BA366:BA372)</f>
        <v>1.3440860215053764E-2</v>
      </c>
      <c r="BN372" s="20">
        <v>4341986</v>
      </c>
      <c r="BO372" s="20">
        <v>374400</v>
      </c>
      <c r="BP372" s="20">
        <v>1356103</v>
      </c>
      <c r="BQ372" s="20">
        <v>260485</v>
      </c>
      <c r="BR372" s="20">
        <v>287272</v>
      </c>
      <c r="BS372" s="20">
        <v>59031</v>
      </c>
      <c r="BT372" s="21">
        <f t="shared" si="2990"/>
        <v>1616588</v>
      </c>
      <c r="BU372" s="21">
        <f t="shared" si="2991"/>
        <v>346303</v>
      </c>
      <c r="BV372" s="20">
        <v>35276</v>
      </c>
      <c r="BW372" s="20">
        <v>2878</v>
      </c>
      <c r="BX372" s="20">
        <v>8958</v>
      </c>
      <c r="BY372" s="20">
        <v>2980</v>
      </c>
      <c r="BZ372" s="20">
        <v>2116</v>
      </c>
      <c r="CA372" s="20">
        <v>626</v>
      </c>
      <c r="CB372" s="21">
        <f t="shared" si="2992"/>
        <v>11938</v>
      </c>
      <c r="CC372" s="21">
        <f t="shared" si="2993"/>
        <v>2742</v>
      </c>
      <c r="CD372" s="20">
        <v>27251</v>
      </c>
      <c r="CE372" s="20">
        <v>1693</v>
      </c>
      <c r="CF372" s="20">
        <v>5102</v>
      </c>
      <c r="CG372" s="20">
        <v>1767</v>
      </c>
      <c r="CH372" s="20">
        <v>1157</v>
      </c>
      <c r="CI372" s="20">
        <v>450</v>
      </c>
      <c r="CJ372" s="21">
        <f t="shared" si="2994"/>
        <v>6869</v>
      </c>
      <c r="CK372" s="21">
        <f t="shared" si="2995"/>
        <v>1607</v>
      </c>
      <c r="CL372" s="20">
        <v>196258</v>
      </c>
      <c r="CM372" s="20">
        <v>16538</v>
      </c>
      <c r="CN372" s="20">
        <v>63472</v>
      </c>
      <c r="CO372" s="20">
        <v>4906</v>
      </c>
      <c r="CP372" s="20">
        <v>14372</v>
      </c>
      <c r="CQ372" s="20">
        <v>788</v>
      </c>
      <c r="CR372" s="21">
        <f t="shared" si="2996"/>
        <v>68378</v>
      </c>
      <c r="CS372" s="21">
        <f t="shared" si="2997"/>
        <v>15160</v>
      </c>
    </row>
    <row r="373" spans="1:97" x14ac:dyDescent="0.35">
      <c r="A373" s="14">
        <f t="shared" si="2761"/>
        <v>44279</v>
      </c>
      <c r="B373" s="9">
        <f t="shared" ref="B373:B404" si="3928">BT373</f>
        <v>1620048</v>
      </c>
      <c r="C373">
        <f t="shared" ref="C373" si="3929">BU373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930">-(J373-J372)+L373</f>
        <v>12</v>
      </c>
      <c r="N373" s="7">
        <f t="shared" ref="N373" si="3931">B373-C373</f>
        <v>1272987</v>
      </c>
      <c r="O373" s="4">
        <f t="shared" ref="O373" si="3932">C373/B373</f>
        <v>0.21422883766406922</v>
      </c>
      <c r="R373">
        <f t="shared" ref="R373" si="3933">C373-C372</f>
        <v>758</v>
      </c>
      <c r="S373">
        <f t="shared" ref="S373" si="3934">N373-N372</f>
        <v>2702</v>
      </c>
      <c r="T373" s="8">
        <f t="shared" ref="T373" si="3935">R373/V373</f>
        <v>0.21907514450867052</v>
      </c>
      <c r="U373" s="8">
        <f t="shared" ref="U373" si="3936">SUM(R367:R373)/SUM(V367:V373)</f>
        <v>0.18384368620589092</v>
      </c>
      <c r="V373">
        <f t="shared" ref="V373" si="3937">B373-B372</f>
        <v>3460</v>
      </c>
      <c r="W373">
        <f t="shared" ref="W373" si="3938">C373-D373-E373</f>
        <v>11916</v>
      </c>
      <c r="X373" s="3">
        <f t="shared" ref="X373" si="3939">F373/W373</f>
        <v>1.5944947969117152E-2</v>
      </c>
      <c r="Y373">
        <f t="shared" ref="Y373" si="3940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941">Z373-AC373-AF373</f>
        <v>104</v>
      </c>
      <c r="AJ373">
        <f t="shared" ref="AJ373" si="3942">AA373-AD373-AG373</f>
        <v>36</v>
      </c>
      <c r="AK373">
        <f t="shared" ref="AK373" si="3943">AB373-AE373-AH373</f>
        <v>316</v>
      </c>
      <c r="AL373">
        <v>8</v>
      </c>
      <c r="AM373">
        <v>8</v>
      </c>
      <c r="AN373">
        <v>31</v>
      </c>
      <c r="AT373">
        <f t="shared" ref="AT373" si="3944">BN373-BN372</f>
        <v>18081</v>
      </c>
      <c r="AU373">
        <f t="shared" ref="AU373" si="3945">BO373-BO372</f>
        <v>789</v>
      </c>
      <c r="AV373">
        <f t="shared" ref="AV373" si="3946">AU373/AT373</f>
        <v>4.3636966981914715E-2</v>
      </c>
      <c r="AW373">
        <f t="shared" ref="AW373" si="3947">BV373-BV372</f>
        <v>156</v>
      </c>
      <c r="AX373">
        <f t="shared" ref="AX373" si="3948">BW373-BW372</f>
        <v>-2</v>
      </c>
      <c r="AY373">
        <f t="shared" ref="AY373" si="3949">CL373-CL372</f>
        <v>950</v>
      </c>
      <c r="AZ373">
        <f t="shared" ref="AZ373" si="3950">CM373-CM372</f>
        <v>31</v>
      </c>
      <c r="BA373">
        <f t="shared" ref="BA373" si="3951">CD373-CD372</f>
        <v>59</v>
      </c>
      <c r="BB373">
        <f t="shared" ref="BB373" si="3952">CE373-CE372</f>
        <v>2</v>
      </c>
      <c r="BC373">
        <f t="shared" ref="BC373" si="3953">AX373/AW373</f>
        <v>-1.282051282051282E-2</v>
      </c>
      <c r="BD373">
        <f t="shared" ref="BD373" si="3954">AZ373/AY373</f>
        <v>3.2631578947368421E-2</v>
      </c>
      <c r="BE373">
        <f t="shared" si="3674"/>
        <v>3.3898305084745763E-2</v>
      </c>
      <c r="BF373">
        <f t="shared" ref="BF373" si="3955">SUM(AU367:AU373)/SUM(AT367:AT373)</f>
        <v>4.0118277929666872E-2</v>
      </c>
      <c r="BG373">
        <f t="shared" ref="BG373" si="3956">SUM(AU360:AU373)/SUM(AT360:AT373)</f>
        <v>3.7685726114356687E-2</v>
      </c>
      <c r="BH373">
        <f t="shared" ref="BH373" si="3957">SUM(AX367:AX373)/SUM(AW367:AW373)</f>
        <v>1.1834319526627219E-2</v>
      </c>
      <c r="BI373">
        <f t="shared" ref="BI373" si="3958">SUM(AZ367:AZ373)/SUM(AY367:AY373)</f>
        <v>2.6998128842555466E-2</v>
      </c>
      <c r="BJ373">
        <f t="shared" ref="BJ373" si="3959">SUM(BB367:BB373)/SUM(BA367:BA373)</f>
        <v>1.310615989515072E-2</v>
      </c>
      <c r="BN373" s="20">
        <v>4360067</v>
      </c>
      <c r="BO373" s="20">
        <v>375189</v>
      </c>
      <c r="BP373" s="20">
        <v>1358609</v>
      </c>
      <c r="BQ373" s="20">
        <v>261439</v>
      </c>
      <c r="BR373" s="20">
        <v>287850</v>
      </c>
      <c r="BS373" s="20">
        <v>59211</v>
      </c>
      <c r="BT373" s="21">
        <f t="shared" ref="BT373:BT404" si="3960">SUM(BP373:BQ373)</f>
        <v>1620048</v>
      </c>
      <c r="BU373" s="21">
        <f t="shared" si="2991"/>
        <v>347061</v>
      </c>
      <c r="BV373" s="20">
        <v>35432</v>
      </c>
      <c r="BW373" s="20">
        <v>2876</v>
      </c>
      <c r="BX373" s="20">
        <v>8976</v>
      </c>
      <c r="BY373" s="20">
        <v>2991</v>
      </c>
      <c r="BZ373" s="20">
        <v>2121</v>
      </c>
      <c r="CA373" s="20">
        <v>626</v>
      </c>
      <c r="CB373" s="21">
        <f t="shared" ref="CB373:CB404" si="3961">SUM(BX373:BY373)</f>
        <v>11967</v>
      </c>
      <c r="CC373" s="21">
        <f t="shared" si="2993"/>
        <v>2747</v>
      </c>
      <c r="CD373" s="20">
        <v>27310</v>
      </c>
      <c r="CE373" s="20">
        <v>1695</v>
      </c>
      <c r="CF373" s="20">
        <v>5106</v>
      </c>
      <c r="CG373" s="20">
        <v>1770</v>
      </c>
      <c r="CH373" s="20">
        <v>1157</v>
      </c>
      <c r="CI373" s="20">
        <v>450</v>
      </c>
      <c r="CJ373" s="21">
        <f t="shared" ref="CJ373:CJ404" si="3962">SUM(CF373:CG373)</f>
        <v>6876</v>
      </c>
      <c r="CK373" s="21">
        <f t="shared" si="2995"/>
        <v>1607</v>
      </c>
      <c r="CL373" s="20">
        <v>197208</v>
      </c>
      <c r="CM373" s="20">
        <v>16569</v>
      </c>
      <c r="CN373" s="20">
        <v>63599</v>
      </c>
      <c r="CO373" s="20">
        <v>4926</v>
      </c>
      <c r="CP373" s="20">
        <v>14394</v>
      </c>
      <c r="CQ373" s="20">
        <v>789</v>
      </c>
      <c r="CR373" s="21">
        <f t="shared" ref="CR373:CR404" si="3963">SUM(CN373:CO373)</f>
        <v>68525</v>
      </c>
      <c r="CS373" s="21">
        <f t="shared" si="2997"/>
        <v>15183</v>
      </c>
    </row>
    <row r="374" spans="1:97" x14ac:dyDescent="0.35">
      <c r="A374" s="14">
        <f t="shared" si="2761"/>
        <v>44280</v>
      </c>
      <c r="B374" s="9">
        <f t="shared" si="3928"/>
        <v>1620656</v>
      </c>
      <c r="C374">
        <f t="shared" ref="C374" si="3964">BU374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965">-(J374-J373)+L374</f>
        <v>7</v>
      </c>
      <c r="N374" s="7">
        <f t="shared" ref="N374" si="3966">B374-C374</f>
        <v>1273453</v>
      </c>
      <c r="O374" s="4">
        <f t="shared" ref="O374" si="3967">C374/B374</f>
        <v>0.21423608711534095</v>
      </c>
      <c r="R374">
        <f t="shared" ref="R374" si="3968">C374-C373</f>
        <v>142</v>
      </c>
      <c r="S374">
        <f t="shared" ref="S374" si="3969">N374-N373</f>
        <v>466</v>
      </c>
      <c r="T374" s="8">
        <f t="shared" ref="T374" si="3970">R374/V374</f>
        <v>0.23355263157894737</v>
      </c>
      <c r="U374" s="8">
        <f t="shared" ref="U374" si="3971">SUM(R368:R374)/SUM(V368:V374)</f>
        <v>0.18575078388108235</v>
      </c>
      <c r="V374">
        <f t="shared" ref="V374" si="3972">B374-B373</f>
        <v>608</v>
      </c>
      <c r="W374">
        <f t="shared" ref="W374" si="3973">C374-D374-E374</f>
        <v>11506</v>
      </c>
      <c r="X374" s="3">
        <f t="shared" ref="X374" si="3974">F374/W374</f>
        <v>1.7990613592908048E-2</v>
      </c>
      <c r="Y374">
        <f t="shared" ref="Y374" si="3975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976">Z374-AC374-AF374</f>
        <v>99</v>
      </c>
      <c r="AJ374">
        <f t="shared" ref="AJ374" si="3977">AA374-AD374-AG374</f>
        <v>34</v>
      </c>
      <c r="AK374">
        <f t="shared" ref="AK374" si="3978">AB374-AE374-AH374</f>
        <v>321</v>
      </c>
      <c r="AL374">
        <v>9</v>
      </c>
      <c r="AM374">
        <v>9</v>
      </c>
      <c r="AN374">
        <v>29</v>
      </c>
      <c r="AT374">
        <f t="shared" ref="AT374" si="3979">BN374-BN373</f>
        <v>2136</v>
      </c>
      <c r="AU374">
        <f t="shared" ref="AU374" si="3980">BO374-BO373</f>
        <v>177</v>
      </c>
      <c r="AV374">
        <f t="shared" ref="AV374" si="3981">AU374/AT374</f>
        <v>8.2865168539325837E-2</v>
      </c>
      <c r="AW374">
        <f t="shared" ref="AW374" si="3982">BV374-BV373</f>
        <v>190</v>
      </c>
      <c r="AX374">
        <f t="shared" ref="AX374" si="3983">BW374-BW373</f>
        <v>4</v>
      </c>
      <c r="AY374">
        <f t="shared" ref="AY374" si="3984">CL374-CL373</f>
        <v>628</v>
      </c>
      <c r="AZ374">
        <f t="shared" ref="AZ374" si="3985">CM374-CM373</f>
        <v>6</v>
      </c>
      <c r="BA374">
        <f t="shared" ref="BA374" si="3986">CD374-CD373</f>
        <v>94</v>
      </c>
      <c r="BB374">
        <f t="shared" ref="BB374" si="3987">CE374-CE373</f>
        <v>0</v>
      </c>
      <c r="BC374">
        <f t="shared" ref="BC374" si="3988">AX374/AW374</f>
        <v>2.1052631578947368E-2</v>
      </c>
      <c r="BD374">
        <f t="shared" ref="BD374" si="3989">AZ374/AY374</f>
        <v>9.5541401273885346E-3</v>
      </c>
      <c r="BE374">
        <f t="shared" si="3674"/>
        <v>0</v>
      </c>
      <c r="BF374">
        <f t="shared" ref="BF374" si="3990">SUM(AU368:AU374)/SUM(AT368:AT374)</f>
        <v>4.1081539204030466E-2</v>
      </c>
      <c r="BG374">
        <f t="shared" ref="BG374" si="3991">SUM(AU361:AU374)/SUM(AT361:AT374)</f>
        <v>3.9284575615306232E-2</v>
      </c>
      <c r="BH374">
        <f t="shared" ref="BH374" si="3992">SUM(AX368:AX374)/SUM(AW368:AW374)</f>
        <v>1.0030090270812437E-2</v>
      </c>
      <c r="BI374">
        <f t="shared" ref="BI374" si="3993">SUM(AZ368:AZ374)/SUM(AY368:AY374)</f>
        <v>2.4828984038510259E-2</v>
      </c>
      <c r="BJ374">
        <f t="shared" ref="BJ374" si="3994">SUM(BB368:BB374)/SUM(BA368:BA374)</f>
        <v>1.0025062656641603E-2</v>
      </c>
      <c r="BN374" s="20">
        <v>4362203</v>
      </c>
      <c r="BO374" s="20">
        <v>375366</v>
      </c>
      <c r="BP374" s="20">
        <v>1358946</v>
      </c>
      <c r="BQ374" s="20">
        <v>261710</v>
      </c>
      <c r="BR374" s="20">
        <v>287932</v>
      </c>
      <c r="BS374" s="20">
        <v>59271</v>
      </c>
      <c r="BT374" s="21">
        <f t="shared" si="3960"/>
        <v>1620656</v>
      </c>
      <c r="BU374" s="21">
        <f t="shared" si="2991"/>
        <v>347203</v>
      </c>
      <c r="BV374" s="20">
        <v>35622</v>
      </c>
      <c r="BW374" s="20">
        <v>2880</v>
      </c>
      <c r="BX374" s="20">
        <v>8976</v>
      </c>
      <c r="BY374" s="20">
        <v>3014</v>
      </c>
      <c r="BZ374" s="20">
        <v>2120</v>
      </c>
      <c r="CA374" s="20">
        <v>627</v>
      </c>
      <c r="CB374" s="21">
        <f t="shared" si="3961"/>
        <v>11990</v>
      </c>
      <c r="CC374" s="21">
        <f t="shared" si="2993"/>
        <v>2747</v>
      </c>
      <c r="CD374" s="20">
        <v>27404</v>
      </c>
      <c r="CE374" s="20">
        <v>1695</v>
      </c>
      <c r="CF374" s="20">
        <v>5107</v>
      </c>
      <c r="CG374" s="20">
        <v>1776</v>
      </c>
      <c r="CH374" s="20">
        <v>1158</v>
      </c>
      <c r="CI374" s="20">
        <v>450</v>
      </c>
      <c r="CJ374" s="21">
        <f t="shared" si="3962"/>
        <v>6883</v>
      </c>
      <c r="CK374" s="21">
        <f t="shared" si="2995"/>
        <v>1608</v>
      </c>
      <c r="CL374" s="20">
        <v>197836</v>
      </c>
      <c r="CM374" s="20">
        <v>16575</v>
      </c>
      <c r="CN374" s="20">
        <v>63716</v>
      </c>
      <c r="CO374" s="20">
        <v>4925</v>
      </c>
      <c r="CP374" s="20">
        <v>14403</v>
      </c>
      <c r="CQ374" s="20">
        <v>792</v>
      </c>
      <c r="CR374" s="21">
        <f t="shared" si="3963"/>
        <v>68641</v>
      </c>
      <c r="CS374" s="21">
        <f t="shared" si="2997"/>
        <v>15195</v>
      </c>
    </row>
    <row r="375" spans="1:97" x14ac:dyDescent="0.35">
      <c r="A375" s="14">
        <f t="shared" si="2761"/>
        <v>44281</v>
      </c>
      <c r="B375" s="9">
        <f t="shared" si="3928"/>
        <v>1626136</v>
      </c>
      <c r="C375">
        <f t="shared" ref="C375" si="3995">BU375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996">-(J375-J374)+L375</f>
        <v>11</v>
      </c>
      <c r="N375" s="7">
        <f t="shared" ref="N375" si="3997">B375-C375</f>
        <v>1277525</v>
      </c>
      <c r="O375" s="4">
        <f t="shared" ref="O375" si="3998">C375/B375</f>
        <v>0.21437997805841577</v>
      </c>
      <c r="R375">
        <f t="shared" ref="R375" si="3999">C375-C374</f>
        <v>1408</v>
      </c>
      <c r="S375">
        <f t="shared" ref="S375" si="4000">N375-N374</f>
        <v>4072</v>
      </c>
      <c r="T375" s="8">
        <f t="shared" ref="T375" si="4001">R375/V375</f>
        <v>0.25693430656934307</v>
      </c>
      <c r="U375" s="8">
        <f t="shared" ref="U375" si="4002">SUM(R369:R375)/SUM(V369:V375)</f>
        <v>0.20738540849490081</v>
      </c>
      <c r="V375">
        <f t="shared" ref="V375" si="4003">B375-B374</f>
        <v>5480</v>
      </c>
      <c r="W375">
        <f t="shared" ref="W375" si="4004">C375-D375-E375</f>
        <v>12087</v>
      </c>
      <c r="X375" s="3">
        <f t="shared" ref="X375" si="4005">F375/W375</f>
        <v>1.7125837676842889E-2</v>
      </c>
      <c r="Y375">
        <f t="shared" ref="Y375" si="4006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007">Z375-AC375-AF375</f>
        <v>88</v>
      </c>
      <c r="AJ375">
        <f t="shared" ref="AJ375" si="4008">AA375-AD375-AG375</f>
        <v>36</v>
      </c>
      <c r="AK375">
        <f t="shared" ref="AK375" si="4009">AB375-AE375-AH375</f>
        <v>319</v>
      </c>
      <c r="AL375">
        <v>7</v>
      </c>
      <c r="AM375">
        <v>7</v>
      </c>
      <c r="AN375">
        <v>30</v>
      </c>
      <c r="AT375">
        <f t="shared" ref="AT375" si="4010">BN375-BN374</f>
        <v>27353</v>
      </c>
      <c r="AU375">
        <f t="shared" ref="AU375" si="4011">BO375-BO374</f>
        <v>1464</v>
      </c>
      <c r="AV375">
        <f t="shared" ref="AV375" si="4012">AU375/AT375</f>
        <v>5.3522465543084853E-2</v>
      </c>
      <c r="AW375">
        <f t="shared" ref="AW375" si="4013">BV375-BV374</f>
        <v>116</v>
      </c>
      <c r="AX375">
        <f t="shared" ref="AX375" si="4014">BW375-BW374</f>
        <v>3</v>
      </c>
      <c r="AY375">
        <f t="shared" ref="AY375" si="4015">CL375-CL374</f>
        <v>437</v>
      </c>
      <c r="AZ375">
        <f t="shared" ref="AZ375" si="4016">CM375-CM374</f>
        <v>17</v>
      </c>
      <c r="BA375">
        <f t="shared" ref="BA375" si="4017">CD375-CD374</f>
        <v>106</v>
      </c>
      <c r="BB375">
        <f t="shared" ref="BB375" si="4018">CE375-CE374</f>
        <v>3</v>
      </c>
      <c r="BC375">
        <f t="shared" ref="BC375" si="4019">AX375/AW375</f>
        <v>2.5862068965517241E-2</v>
      </c>
      <c r="BD375">
        <f t="shared" ref="BD375" si="4020">AZ375/AY375</f>
        <v>3.8901601830663615E-2</v>
      </c>
      <c r="BE375">
        <f t="shared" si="3674"/>
        <v>2.8301886792452831E-2</v>
      </c>
      <c r="BF375">
        <f t="shared" ref="BF375" si="4021">SUM(AU369:AU375)/SUM(AT369:AT375)</f>
        <v>4.6289913659146406E-2</v>
      </c>
      <c r="BG375">
        <f t="shared" ref="BG375" si="4022">SUM(AU362:AU375)/SUM(AT362:AT375)</f>
        <v>4.202332814022558E-2</v>
      </c>
      <c r="BH375">
        <f t="shared" ref="BH375" si="4023">SUM(AX369:AX375)/SUM(AW369:AW375)</f>
        <v>1.2562814070351759E-2</v>
      </c>
      <c r="BI375">
        <f t="shared" ref="BI375" si="4024">SUM(AZ369:AZ375)/SUM(AY369:AY375)</f>
        <v>2.5237449118046134E-2</v>
      </c>
      <c r="BJ375">
        <f t="shared" ref="BJ375" si="4025">SUM(BB369:BB375)/SUM(BA369:BA375)</f>
        <v>1.5822784810126583E-2</v>
      </c>
      <c r="BN375" s="20">
        <v>4389556</v>
      </c>
      <c r="BO375" s="20">
        <v>376830</v>
      </c>
      <c r="BP375" s="20">
        <v>1362878</v>
      </c>
      <c r="BQ375" s="20">
        <v>263258</v>
      </c>
      <c r="BR375" s="20">
        <v>288896</v>
      </c>
      <c r="BS375" s="20">
        <v>59715</v>
      </c>
      <c r="BT375" s="21">
        <f t="shared" si="3960"/>
        <v>1626136</v>
      </c>
      <c r="BU375" s="21">
        <f t="shared" si="2991"/>
        <v>348611</v>
      </c>
      <c r="BV375" s="20">
        <v>35738</v>
      </c>
      <c r="BW375" s="20">
        <v>2883</v>
      </c>
      <c r="BX375" s="20">
        <v>8987</v>
      </c>
      <c r="BY375" s="20">
        <v>3029</v>
      </c>
      <c r="BZ375" s="20">
        <v>2122</v>
      </c>
      <c r="CA375" s="20">
        <v>629</v>
      </c>
      <c r="CB375" s="21">
        <f t="shared" si="3961"/>
        <v>12016</v>
      </c>
      <c r="CC375" s="21">
        <f t="shared" si="2993"/>
        <v>2751</v>
      </c>
      <c r="CD375" s="20">
        <v>27510</v>
      </c>
      <c r="CE375" s="20">
        <v>1698</v>
      </c>
      <c r="CF375" s="20">
        <v>5139</v>
      </c>
      <c r="CG375" s="20">
        <v>1758</v>
      </c>
      <c r="CH375" s="20">
        <v>1160</v>
      </c>
      <c r="CI375" s="20">
        <v>449</v>
      </c>
      <c r="CJ375" s="21">
        <f t="shared" si="3962"/>
        <v>6897</v>
      </c>
      <c r="CK375" s="21">
        <f t="shared" si="2995"/>
        <v>1609</v>
      </c>
      <c r="CL375" s="20">
        <v>198273</v>
      </c>
      <c r="CM375" s="20">
        <v>16592</v>
      </c>
      <c r="CN375" s="20">
        <v>63784</v>
      </c>
      <c r="CO375" s="20">
        <v>4947</v>
      </c>
      <c r="CP375" s="20">
        <v>14417</v>
      </c>
      <c r="CQ375" s="20">
        <v>794</v>
      </c>
      <c r="CR375" s="21">
        <f t="shared" si="3963"/>
        <v>68731</v>
      </c>
      <c r="CS375" s="21">
        <f t="shared" si="2997"/>
        <v>15211</v>
      </c>
    </row>
    <row r="376" spans="1:97" x14ac:dyDescent="0.35">
      <c r="A376" s="14">
        <f t="shared" si="2761"/>
        <v>44282</v>
      </c>
      <c r="B376" s="9">
        <f t="shared" si="3928"/>
        <v>1628838</v>
      </c>
      <c r="C376">
        <f t="shared" ref="C376" si="4026">BU376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027">-(J376-J375)+L376</f>
        <v>9</v>
      </c>
      <c r="N376" s="7">
        <f t="shared" ref="N376" si="4028">B376-C376</f>
        <v>1279697</v>
      </c>
      <c r="O376" s="4">
        <f t="shared" ref="O376" si="4029">C376/B376</f>
        <v>0.21434973889361619</v>
      </c>
      <c r="R376">
        <f t="shared" ref="R376" si="4030">C376-C375</f>
        <v>530</v>
      </c>
      <c r="S376">
        <f t="shared" ref="S376" si="4031">N376-N375</f>
        <v>2172</v>
      </c>
      <c r="T376" s="8">
        <f t="shared" ref="T376" si="4032">R376/V376</f>
        <v>0.19615099925980756</v>
      </c>
      <c r="U376" s="8">
        <f t="shared" ref="U376" si="4033">SUM(R370:R376)/SUM(V370:V376)</f>
        <v>0.21127861529871581</v>
      </c>
      <c r="V376">
        <f t="shared" ref="V376" si="4034">B376-B375</f>
        <v>2702</v>
      </c>
      <c r="W376">
        <f t="shared" ref="W376" si="4035">C376-D376-E376</f>
        <v>12157</v>
      </c>
      <c r="X376" s="3">
        <f t="shared" ref="X376" si="4036">F376/W376</f>
        <v>1.6533684297112775E-2</v>
      </c>
      <c r="Y376">
        <f t="shared" ref="Y376" si="4037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038">Z376-AC376-AF376</f>
        <v>86</v>
      </c>
      <c r="AJ376">
        <f t="shared" ref="AJ376" si="4039">AA376-AD376-AG376</f>
        <v>34</v>
      </c>
      <c r="AK376">
        <f t="shared" ref="AK376" si="4040">AB376-AE376-AH376</f>
        <v>325</v>
      </c>
      <c r="AL376">
        <v>7</v>
      </c>
      <c r="AM376">
        <v>7</v>
      </c>
      <c r="AN376">
        <v>32</v>
      </c>
      <c r="AT376">
        <f t="shared" ref="AT376" si="4041">BN376-BN375</f>
        <v>13617</v>
      </c>
      <c r="AU376">
        <f t="shared" ref="AU376" si="4042">BO376-BO375</f>
        <v>587</v>
      </c>
      <c r="AV376">
        <f t="shared" ref="AV376" si="4043">AU376/AT376</f>
        <v>4.3107879856062278E-2</v>
      </c>
      <c r="AW376">
        <f t="shared" ref="AW376" si="4044">BV376-BV375</f>
        <v>263</v>
      </c>
      <c r="AX376">
        <f t="shared" ref="AX376" si="4045">BW376-BW375</f>
        <v>5</v>
      </c>
      <c r="AY376">
        <f t="shared" ref="AY376" si="4046">CL376-CL375</f>
        <v>549</v>
      </c>
      <c r="AZ376">
        <f t="shared" ref="AZ376" si="4047">CM376-CM375</f>
        <v>17</v>
      </c>
      <c r="BA376">
        <f t="shared" ref="BA376" si="4048">CD376-CD375</f>
        <v>119</v>
      </c>
      <c r="BB376">
        <f t="shared" ref="BB376" si="4049">CE376-CE375</f>
        <v>-1</v>
      </c>
      <c r="BC376">
        <f t="shared" ref="BC376" si="4050">AX376/AW376</f>
        <v>1.9011406844106463E-2</v>
      </c>
      <c r="BD376">
        <f t="shared" ref="BD376" si="4051">AZ376/AY376</f>
        <v>3.0965391621129327E-2</v>
      </c>
      <c r="BE376">
        <f t="shared" si="3674"/>
        <v>-8.4033613445378148E-3</v>
      </c>
      <c r="BF376">
        <f t="shared" ref="BF376" si="4052">SUM(AU370:AU376)/SUM(AT370:AT376)</f>
        <v>4.6620635777719056E-2</v>
      </c>
      <c r="BG376">
        <f t="shared" ref="BG376" si="4053">SUM(AU363:AU376)/SUM(AT363:AT376)</f>
        <v>4.2768005704777755E-2</v>
      </c>
      <c r="BH376">
        <f t="shared" ref="BH376" si="4054">SUM(AX370:AX376)/SUM(AW370:AW376)</f>
        <v>1.9252548131370329E-2</v>
      </c>
      <c r="BI376">
        <f t="shared" ref="BI376" si="4055">SUM(AZ370:AZ376)/SUM(AY370:AY376)</f>
        <v>2.5928896017107725E-2</v>
      </c>
      <c r="BJ376">
        <f t="shared" ref="BJ376" si="4056">SUM(BB370:BB376)/SUM(BA370:BA376)</f>
        <v>7.1942446043165471E-3</v>
      </c>
      <c r="BN376" s="20">
        <v>4403173</v>
      </c>
      <c r="BO376" s="20">
        <v>377417</v>
      </c>
      <c r="BP376" s="20">
        <v>1364734</v>
      </c>
      <c r="BQ376" s="20">
        <v>264104</v>
      </c>
      <c r="BR376" s="20">
        <v>289302</v>
      </c>
      <c r="BS376" s="20">
        <v>59839</v>
      </c>
      <c r="BT376" s="21">
        <f t="shared" si="3960"/>
        <v>1628838</v>
      </c>
      <c r="BU376" s="21">
        <f t="shared" si="2991"/>
        <v>349141</v>
      </c>
      <c r="BV376" s="20">
        <v>36001</v>
      </c>
      <c r="BW376" s="20">
        <v>2888</v>
      </c>
      <c r="BX376" s="20">
        <v>8994</v>
      </c>
      <c r="BY376" s="20">
        <v>3044</v>
      </c>
      <c r="BZ376" s="20">
        <v>2123</v>
      </c>
      <c r="CA376" s="20">
        <v>630</v>
      </c>
      <c r="CB376" s="21">
        <f t="shared" si="3961"/>
        <v>12038</v>
      </c>
      <c r="CC376" s="21">
        <f t="shared" si="2993"/>
        <v>2753</v>
      </c>
      <c r="CD376" s="20">
        <v>27629</v>
      </c>
      <c r="CE376" s="20">
        <v>1697</v>
      </c>
      <c r="CF376" s="20">
        <v>5142</v>
      </c>
      <c r="CG376" s="20">
        <v>1763</v>
      </c>
      <c r="CH376" s="20">
        <v>1160</v>
      </c>
      <c r="CI376" s="20">
        <v>449</v>
      </c>
      <c r="CJ376" s="21">
        <f t="shared" si="3962"/>
        <v>6905</v>
      </c>
      <c r="CK376" s="21">
        <f t="shared" si="2995"/>
        <v>1609</v>
      </c>
      <c r="CL376" s="20">
        <v>198822</v>
      </c>
      <c r="CM376" s="20">
        <v>16609</v>
      </c>
      <c r="CN376" s="20">
        <v>63879</v>
      </c>
      <c r="CO376" s="20">
        <v>4959</v>
      </c>
      <c r="CP376" s="20">
        <v>14432</v>
      </c>
      <c r="CQ376" s="20">
        <v>794</v>
      </c>
      <c r="CR376" s="21">
        <f t="shared" si="3963"/>
        <v>68838</v>
      </c>
      <c r="CS376" s="21">
        <f t="shared" si="2997"/>
        <v>15226</v>
      </c>
    </row>
    <row r="377" spans="1:97" x14ac:dyDescent="0.35">
      <c r="A377" s="14">
        <f t="shared" si="2761"/>
        <v>44283</v>
      </c>
      <c r="B377" s="9">
        <f t="shared" si="3928"/>
        <v>1630912</v>
      </c>
      <c r="C377">
        <f t="shared" ref="C377" si="4057">BU377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058">-(J377-J376)+L377</f>
        <v>15</v>
      </c>
      <c r="N377" s="7">
        <f t="shared" ref="N377" si="4059">B377-C377</f>
        <v>1281314</v>
      </c>
      <c r="O377" s="4">
        <f t="shared" ref="O377" si="4060">C377/B377</f>
        <v>0.2143573656947769</v>
      </c>
      <c r="R377">
        <f t="shared" ref="R377" si="4061">C377-C376</f>
        <v>457</v>
      </c>
      <c r="S377">
        <f t="shared" ref="S377" si="4062">N377-N376</f>
        <v>1617</v>
      </c>
      <c r="T377" s="8">
        <f t="shared" ref="T377" si="4063">R377/V377</f>
        <v>0.22034715525554485</v>
      </c>
      <c r="U377" s="8">
        <f t="shared" ref="U377" si="4064">SUM(R371:R377)/SUM(V371:V377)</f>
        <v>0.21563994064955763</v>
      </c>
      <c r="V377">
        <f t="shared" ref="V377" si="4065">B377-B376</f>
        <v>2074</v>
      </c>
      <c r="W377">
        <f t="shared" ref="W377" si="4066">C377-D377-E377</f>
        <v>12427</v>
      </c>
      <c r="X377" s="3">
        <f t="shared" ref="X377" si="4067">F377/W377</f>
        <v>1.5450229339341755E-2</v>
      </c>
      <c r="Y377">
        <f t="shared" ref="Y377" si="4068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069">Z377-AC377-AF377</f>
        <v>85</v>
      </c>
      <c r="AJ377">
        <f t="shared" ref="AJ377" si="4070">AA377-AD377-AG377</f>
        <v>33</v>
      </c>
      <c r="AK377">
        <f t="shared" ref="AK377" si="4071">AB377-AE377-AH377</f>
        <v>334</v>
      </c>
      <c r="AL377">
        <v>7</v>
      </c>
      <c r="AM377">
        <v>7</v>
      </c>
      <c r="AN377">
        <v>32</v>
      </c>
      <c r="AT377">
        <f t="shared" ref="AT377" si="4072">BN377-BN376</f>
        <v>6989</v>
      </c>
      <c r="AU377">
        <f t="shared" ref="AU377" si="4073">BO377-BO376</f>
        <v>479</v>
      </c>
      <c r="AV377">
        <f t="shared" ref="AV377" si="4074">AU377/AT377</f>
        <v>6.8536271283445416E-2</v>
      </c>
      <c r="AW377">
        <f t="shared" ref="AW377" si="4075">BV377-BV376</f>
        <v>15</v>
      </c>
      <c r="AX377">
        <f t="shared" ref="AX377" si="4076">BW377-BW376</f>
        <v>3</v>
      </c>
      <c r="AY377">
        <f t="shared" ref="AY377" si="4077">CL377-CL376</f>
        <v>215</v>
      </c>
      <c r="AZ377">
        <f t="shared" ref="AZ377" si="4078">CM377-CM376</f>
        <v>17</v>
      </c>
      <c r="BA377">
        <f t="shared" ref="BA377" si="4079">CD377-CD376</f>
        <v>14</v>
      </c>
      <c r="BB377">
        <f t="shared" ref="BB377" si="4080">CE377-CE376</f>
        <v>-1</v>
      </c>
      <c r="BC377">
        <f t="shared" ref="BC377" si="4081">AX377/AW377</f>
        <v>0.2</v>
      </c>
      <c r="BD377">
        <f t="shared" ref="BD377" si="4082">AZ377/AY377</f>
        <v>7.9069767441860464E-2</v>
      </c>
      <c r="BE377">
        <f t="shared" si="3674"/>
        <v>-7.1428571428571425E-2</v>
      </c>
      <c r="BF377">
        <f t="shared" ref="BF377" si="4083">SUM(AU371:AU377)/SUM(AT371:AT377)</f>
        <v>4.7226063890085476E-2</v>
      </c>
      <c r="BG377">
        <f t="shared" ref="BG377" si="4084">SUM(AU364:AU377)/SUM(AT364:AT377)</f>
        <v>4.3304980631205213E-2</v>
      </c>
      <c r="BH377">
        <f t="shared" ref="BH377" si="4085">SUM(AX371:AX377)/SUM(AW371:AW377)</f>
        <v>1.9540229885057471E-2</v>
      </c>
      <c r="BI377">
        <f t="shared" ref="BI377" si="4086">SUM(AZ371:AZ377)/SUM(AY371:AY377)</f>
        <v>2.8893780957622454E-2</v>
      </c>
      <c r="BJ377">
        <f t="shared" ref="BJ377" si="4087">SUM(BB371:BB377)/SUM(BA371:BA377)</f>
        <v>7.2992700729927005E-3</v>
      </c>
      <c r="BN377" s="20">
        <v>4410162</v>
      </c>
      <c r="BO377" s="20">
        <v>377896</v>
      </c>
      <c r="BP377" s="20">
        <v>1367442</v>
      </c>
      <c r="BQ377" s="20">
        <v>263470</v>
      </c>
      <c r="BR377" s="20">
        <v>289689</v>
      </c>
      <c r="BS377" s="20">
        <v>59909</v>
      </c>
      <c r="BT377" s="21">
        <f t="shared" si="3960"/>
        <v>1630912</v>
      </c>
      <c r="BU377" s="21">
        <f t="shared" si="2991"/>
        <v>349598</v>
      </c>
      <c r="BV377" s="20">
        <v>36016</v>
      </c>
      <c r="BW377" s="20">
        <v>2891</v>
      </c>
      <c r="BX377" s="20">
        <v>9002</v>
      </c>
      <c r="BY377" s="20">
        <v>3041</v>
      </c>
      <c r="BZ377" s="20">
        <v>2125</v>
      </c>
      <c r="CA377" s="20">
        <v>630</v>
      </c>
      <c r="CB377" s="21">
        <f t="shared" si="3961"/>
        <v>12043</v>
      </c>
      <c r="CC377" s="21">
        <f t="shared" si="2993"/>
        <v>2755</v>
      </c>
      <c r="CD377" s="20">
        <v>27643</v>
      </c>
      <c r="CE377" s="20">
        <v>1696</v>
      </c>
      <c r="CF377" s="20">
        <v>5143</v>
      </c>
      <c r="CG377" s="20">
        <v>1763</v>
      </c>
      <c r="CH377" s="20">
        <v>1160</v>
      </c>
      <c r="CI377" s="20">
        <v>449</v>
      </c>
      <c r="CJ377" s="21">
        <f t="shared" si="3962"/>
        <v>6906</v>
      </c>
      <c r="CK377" s="21">
        <f t="shared" si="2995"/>
        <v>1609</v>
      </c>
      <c r="CL377" s="20">
        <v>199037</v>
      </c>
      <c r="CM377" s="20">
        <v>16626</v>
      </c>
      <c r="CN377" s="20">
        <v>63930</v>
      </c>
      <c r="CO377" s="20">
        <v>4967</v>
      </c>
      <c r="CP377" s="20">
        <v>14445</v>
      </c>
      <c r="CQ377" s="20">
        <v>796</v>
      </c>
      <c r="CR377" s="21">
        <f t="shared" si="3963"/>
        <v>68897</v>
      </c>
      <c r="CS377" s="21">
        <f t="shared" si="2997"/>
        <v>15241</v>
      </c>
    </row>
    <row r="378" spans="1:97" x14ac:dyDescent="0.35">
      <c r="A378" s="14">
        <f t="shared" si="2761"/>
        <v>44284</v>
      </c>
      <c r="B378" s="9">
        <f t="shared" si="3928"/>
        <v>1631951</v>
      </c>
      <c r="C378">
        <f t="shared" ref="C378" si="4088">BU378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089">-(J378-J377)+L378</f>
        <v>5</v>
      </c>
      <c r="N378" s="7">
        <f t="shared" ref="N378" si="4090">B378-C378</f>
        <v>1282215</v>
      </c>
      <c r="O378" s="4">
        <f t="shared" ref="O378" si="4091">C378/B378</f>
        <v>0.21430545402404852</v>
      </c>
      <c r="R378">
        <f t="shared" ref="R378" si="4092">C378-C377</f>
        <v>138</v>
      </c>
      <c r="S378">
        <f t="shared" ref="S378" si="4093">N378-N377</f>
        <v>901</v>
      </c>
      <c r="T378" s="8">
        <f t="shared" ref="T378" si="4094">R378/V378</f>
        <v>0.13282001924927817</v>
      </c>
      <c r="U378" s="8">
        <f t="shared" ref="U378" si="4095">SUM(R372:R378)/SUM(V372:V378)</f>
        <v>0.21708086566668511</v>
      </c>
      <c r="V378">
        <f t="shared" ref="V378" si="4096">B378-B377</f>
        <v>1039</v>
      </c>
      <c r="W378">
        <f t="shared" ref="W378" si="4097">C378-D378-E378</f>
        <v>12340</v>
      </c>
      <c r="X378" s="3">
        <f t="shared" ref="X378" si="4098">F378/W378</f>
        <v>1.5883306320907616E-2</v>
      </c>
      <c r="Y378">
        <f t="shared" ref="Y378" si="4099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100">Z378-AC378-AF378</f>
        <v>85</v>
      </c>
      <c r="AJ378">
        <f t="shared" ref="AJ378" si="4101">AA378-AD378-AG378</f>
        <v>31</v>
      </c>
      <c r="AK378">
        <f t="shared" ref="AK378" si="4102">AB378-AE378-AH378</f>
        <v>339</v>
      </c>
      <c r="AL378">
        <v>8</v>
      </c>
      <c r="AM378">
        <v>8</v>
      </c>
      <c r="AN378">
        <v>36</v>
      </c>
      <c r="AT378">
        <f t="shared" ref="AT378" si="4103">BN378-BN377</f>
        <v>3717</v>
      </c>
      <c r="AU378">
        <f t="shared" ref="AU378" si="4104">BO378-BO377</f>
        <v>157</v>
      </c>
      <c r="AV378">
        <f t="shared" ref="AV378" si="4105">AU378/AT378</f>
        <v>4.2238364272262574E-2</v>
      </c>
      <c r="AW378">
        <f t="shared" ref="AW378" si="4106">BV378-BV377</f>
        <v>15</v>
      </c>
      <c r="AX378">
        <f t="shared" ref="AX378" si="4107">BW378-BW377</f>
        <v>-3</v>
      </c>
      <c r="AY378">
        <f t="shared" ref="AY378" si="4108">CL378-CL377</f>
        <v>140</v>
      </c>
      <c r="AZ378">
        <f t="shared" ref="AZ378" si="4109">CM378-CM377</f>
        <v>12</v>
      </c>
      <c r="BA378">
        <f t="shared" ref="BA378" si="4110">CD378-CD377</f>
        <v>17</v>
      </c>
      <c r="BB378">
        <f t="shared" ref="BB378" si="4111">CE378-CE377</f>
        <v>0</v>
      </c>
      <c r="BC378">
        <f t="shared" ref="BC378" si="4112">AX378/AW378</f>
        <v>-0.2</v>
      </c>
      <c r="BD378">
        <f t="shared" ref="BD378" si="4113">AZ378/AY378</f>
        <v>8.5714285714285715E-2</v>
      </c>
      <c r="BE378">
        <f t="shared" si="3674"/>
        <v>0</v>
      </c>
      <c r="BF378">
        <f t="shared" ref="BF378" si="4114">SUM(AU372:AU378)/SUM(AT372:AT378)</f>
        <v>4.7573555335676185E-2</v>
      </c>
      <c r="BG378">
        <f t="shared" ref="BG378" si="4115">SUM(AU365:AU378)/SUM(AT365:AT378)</f>
        <v>4.3147574283422488E-2</v>
      </c>
      <c r="BH378">
        <f t="shared" ref="BH378" si="4116">SUM(AX372:AX378)/SUM(AW372:AW378)</f>
        <v>1.5222482435597189E-2</v>
      </c>
      <c r="BI378">
        <f t="shared" ref="BI378" si="4117">SUM(AZ372:AZ378)/SUM(AY372:AY378)</f>
        <v>3.1830985915492958E-2</v>
      </c>
      <c r="BJ378">
        <f t="shared" ref="BJ378" si="4118">SUM(BB372:BB378)/SUM(BA372:BA378)</f>
        <v>7.2886297376093291E-3</v>
      </c>
      <c r="BN378" s="20">
        <v>4413879</v>
      </c>
      <c r="BO378" s="20">
        <v>378053</v>
      </c>
      <c r="BP378" s="20">
        <v>1368367</v>
      </c>
      <c r="BQ378" s="20">
        <v>263584</v>
      </c>
      <c r="BR378" s="20">
        <v>289808</v>
      </c>
      <c r="BS378" s="20">
        <v>59928</v>
      </c>
      <c r="BT378" s="21">
        <f t="shared" si="3960"/>
        <v>1631951</v>
      </c>
      <c r="BU378" s="21">
        <f t="shared" si="2991"/>
        <v>349736</v>
      </c>
      <c r="BV378" s="20">
        <v>36031</v>
      </c>
      <c r="BW378" s="20">
        <v>2888</v>
      </c>
      <c r="BX378" s="20">
        <v>9009</v>
      </c>
      <c r="BY378" s="20">
        <v>3042</v>
      </c>
      <c r="BZ378" s="20">
        <v>2125</v>
      </c>
      <c r="CA378" s="20">
        <v>630</v>
      </c>
      <c r="CB378" s="21">
        <f t="shared" si="3961"/>
        <v>12051</v>
      </c>
      <c r="CC378" s="21">
        <f t="shared" si="2993"/>
        <v>2755</v>
      </c>
      <c r="CD378" s="20">
        <v>27660</v>
      </c>
      <c r="CE378" s="20">
        <v>1696</v>
      </c>
      <c r="CF378" s="20">
        <v>5146</v>
      </c>
      <c r="CG378" s="20">
        <v>1765</v>
      </c>
      <c r="CH378" s="20">
        <v>1160</v>
      </c>
      <c r="CI378" s="20">
        <v>449</v>
      </c>
      <c r="CJ378" s="21">
        <f t="shared" si="3962"/>
        <v>6911</v>
      </c>
      <c r="CK378" s="21">
        <f t="shared" si="2995"/>
        <v>1609</v>
      </c>
      <c r="CL378" s="20">
        <v>199177</v>
      </c>
      <c r="CM378" s="20">
        <v>16638</v>
      </c>
      <c r="CN378" s="20">
        <v>63949</v>
      </c>
      <c r="CO378" s="20">
        <v>4969</v>
      </c>
      <c r="CP378" s="20">
        <v>14454</v>
      </c>
      <c r="CQ378" s="20">
        <v>797</v>
      </c>
      <c r="CR378" s="21">
        <f t="shared" si="3963"/>
        <v>68918</v>
      </c>
      <c r="CS378" s="21">
        <f t="shared" si="2997"/>
        <v>15251</v>
      </c>
    </row>
    <row r="379" spans="1:97" x14ac:dyDescent="0.35">
      <c r="A379" s="14">
        <f t="shared" si="2761"/>
        <v>44285</v>
      </c>
      <c r="B379" s="9">
        <f t="shared" si="3928"/>
        <v>1634662</v>
      </c>
      <c r="C379">
        <f t="shared" ref="C379" si="4119">BU379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120">-(J379-J378)+L379</f>
        <v>9</v>
      </c>
      <c r="N379" s="7">
        <f t="shared" ref="N379" si="4121">B379-C379</f>
        <v>1284340</v>
      </c>
      <c r="O379" s="4">
        <f t="shared" ref="O379" si="4122">C379/B379</f>
        <v>0.21430852371927653</v>
      </c>
      <c r="R379">
        <f t="shared" ref="R379" si="4123">C379-C378</f>
        <v>586</v>
      </c>
      <c r="S379">
        <f t="shared" ref="S379" si="4124">N379-N378</f>
        <v>2125</v>
      </c>
      <c r="T379" s="8">
        <f t="shared" ref="T379" si="4125">R379/V379</f>
        <v>0.21615639985245297</v>
      </c>
      <c r="U379" s="8">
        <f t="shared" ref="U379" si="4126">SUM(R373:R379)/SUM(V373:V379)</f>
        <v>0.22236361624432888</v>
      </c>
      <c r="V379">
        <f t="shared" ref="V379" si="4127">B379-B378</f>
        <v>2711</v>
      </c>
      <c r="W379">
        <f t="shared" ref="W379" si="4128">C379-D379-E379</f>
        <v>12153</v>
      </c>
      <c r="X379" s="3">
        <f t="shared" ref="X379" si="4129">F379/W379</f>
        <v>1.5304862996790916E-2</v>
      </c>
      <c r="Y379">
        <f t="shared" ref="Y379:Y382" si="4130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131">Z379-AC379-AF379</f>
        <v>75</v>
      </c>
      <c r="AJ379">
        <f t="shared" ref="AJ379" si="4132">AA379-AD379-AG379</f>
        <v>27</v>
      </c>
      <c r="AK379">
        <f t="shared" ref="AK379" si="4133">AB379-AE379-AH379</f>
        <v>330</v>
      </c>
      <c r="AL379">
        <v>6</v>
      </c>
      <c r="AM379">
        <v>6</v>
      </c>
      <c r="AN379">
        <v>27</v>
      </c>
      <c r="AT379">
        <f t="shared" ref="AT379" si="4134">BN379-BN378</f>
        <v>14455</v>
      </c>
      <c r="AU379">
        <f t="shared" ref="AU379" si="4135">BO379-BO378</f>
        <v>588</v>
      </c>
      <c r="AV379">
        <f t="shared" ref="AV379" si="4136">AU379/AT379</f>
        <v>4.0677966101694912E-2</v>
      </c>
      <c r="AW379">
        <f t="shared" ref="AW379" si="4137">BV379-BV378</f>
        <v>148</v>
      </c>
      <c r="AX379">
        <f t="shared" ref="AX379" si="4138">BW379-BW378</f>
        <v>5</v>
      </c>
      <c r="AY379">
        <f t="shared" ref="AY379" si="4139">CL379-CL378</f>
        <v>582</v>
      </c>
      <c r="AZ379">
        <f t="shared" ref="AZ379" si="4140">CM379-CM378</f>
        <v>9</v>
      </c>
      <c r="BA379">
        <f t="shared" ref="BA379" si="4141">CD379-CD378</f>
        <v>62</v>
      </c>
      <c r="BB379">
        <f t="shared" ref="BB379" si="4142">CE379-CE378</f>
        <v>1</v>
      </c>
      <c r="BC379">
        <f t="shared" ref="BC379" si="4143">AX379/AW379</f>
        <v>3.3783783783783786E-2</v>
      </c>
      <c r="BD379">
        <f t="shared" ref="BD379" si="4144">AZ379/AY379</f>
        <v>1.5463917525773196E-2</v>
      </c>
      <c r="BE379">
        <f t="shared" si="3674"/>
        <v>1.6129032258064516E-2</v>
      </c>
      <c r="BF379">
        <f t="shared" ref="BF379" si="4145">SUM(AU373:AU379)/SUM(AT373:AT379)</f>
        <v>4.9115208227173759E-2</v>
      </c>
      <c r="BG379">
        <f t="shared" ref="BG379" si="4146">SUM(AU366:AU379)/SUM(AT366:AT379)</f>
        <v>4.4106864090070488E-2</v>
      </c>
      <c r="BH379">
        <f t="shared" ref="BH379" si="4147">SUM(AX373:AX379)/SUM(AW373:AW379)</f>
        <v>1.6611295681063124E-2</v>
      </c>
      <c r="BI379">
        <f t="shared" ref="BI379" si="4148">SUM(AZ373:AZ379)/SUM(AY373:AY379)</f>
        <v>3.1133961725221364E-2</v>
      </c>
      <c r="BJ379">
        <f t="shared" ref="BJ379" si="4149">SUM(BB373:BB379)/SUM(BA373:BA379)</f>
        <v>8.4925690021231421E-3</v>
      </c>
      <c r="BN379" s="20">
        <v>4428334</v>
      </c>
      <c r="BO379" s="20">
        <v>378641</v>
      </c>
      <c r="BP379" s="20">
        <v>1370196</v>
      </c>
      <c r="BQ379" s="20">
        <v>264466</v>
      </c>
      <c r="BR379" s="20">
        <v>290185</v>
      </c>
      <c r="BS379" s="20">
        <v>60137</v>
      </c>
      <c r="BT379" s="21">
        <f t="shared" si="3960"/>
        <v>1634662</v>
      </c>
      <c r="BU379" s="21">
        <f t="shared" si="2991"/>
        <v>350322</v>
      </c>
      <c r="BV379" s="20">
        <v>36179</v>
      </c>
      <c r="BW379" s="20">
        <v>2893</v>
      </c>
      <c r="BX379" s="20">
        <v>9023</v>
      </c>
      <c r="BY379" s="20">
        <v>3063</v>
      </c>
      <c r="BZ379" s="20">
        <v>2127</v>
      </c>
      <c r="CA379" s="20">
        <v>631</v>
      </c>
      <c r="CB379" s="21">
        <f t="shared" si="3961"/>
        <v>12086</v>
      </c>
      <c r="CC379" s="21">
        <f t="shared" si="2993"/>
        <v>2758</v>
      </c>
      <c r="CD379" s="20">
        <v>27722</v>
      </c>
      <c r="CE379" s="20">
        <v>1697</v>
      </c>
      <c r="CF379" s="20">
        <v>5152</v>
      </c>
      <c r="CG379" s="20">
        <v>1770</v>
      </c>
      <c r="CH379" s="20">
        <v>1161</v>
      </c>
      <c r="CI379" s="20">
        <v>449</v>
      </c>
      <c r="CJ379" s="21">
        <f t="shared" si="3962"/>
        <v>6922</v>
      </c>
      <c r="CK379" s="21">
        <f t="shared" si="2995"/>
        <v>1610</v>
      </c>
      <c r="CL379" s="20">
        <v>199759</v>
      </c>
      <c r="CM379" s="20">
        <v>16647</v>
      </c>
      <c r="CN379" s="20">
        <v>64044</v>
      </c>
      <c r="CO379" s="20">
        <v>4985</v>
      </c>
      <c r="CP379" s="20">
        <v>14462</v>
      </c>
      <c r="CQ379" s="20">
        <v>798</v>
      </c>
      <c r="CR379" s="21">
        <f t="shared" si="3963"/>
        <v>69029</v>
      </c>
      <c r="CS379" s="21">
        <f t="shared" si="2997"/>
        <v>15260</v>
      </c>
    </row>
    <row r="380" spans="1:97" x14ac:dyDescent="0.35">
      <c r="A380" s="14">
        <f t="shared" si="2761"/>
        <v>44286</v>
      </c>
      <c r="B380" s="9">
        <f t="shared" si="3928"/>
        <v>1637371</v>
      </c>
      <c r="C380">
        <f t="shared" ref="C380" si="4150">BU380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151">-(J380-J379)+L380</f>
        <v>1</v>
      </c>
      <c r="N380" s="7">
        <f t="shared" ref="N380" si="4152">B380-C380</f>
        <v>1286528</v>
      </c>
      <c r="O380" s="4">
        <f t="shared" ref="O380" si="4153">C380/B380</f>
        <v>0.21427214724091243</v>
      </c>
      <c r="R380">
        <f t="shared" ref="R380" si="4154">C380-C379</f>
        <v>521</v>
      </c>
      <c r="S380">
        <f t="shared" ref="S380" si="4155">N380-N379</f>
        <v>2188</v>
      </c>
      <c r="T380" s="8">
        <f t="shared" ref="T380" si="4156">R380/V380</f>
        <v>0.19232188999630861</v>
      </c>
      <c r="U380" s="8">
        <f t="shared" ref="U380" si="4157">SUM(R374:R380)/SUM(V374:V380)</f>
        <v>0.21832246146741327</v>
      </c>
      <c r="V380">
        <f t="shared" ref="V380" si="4158">B380-B379</f>
        <v>2709</v>
      </c>
      <c r="W380">
        <f t="shared" ref="W380" si="4159">C380-D380-E380</f>
        <v>12139</v>
      </c>
      <c r="X380" s="3">
        <f t="shared" ref="X380" si="4160">F380/W380</f>
        <v>1.5734409753686465E-2</v>
      </c>
      <c r="Y380">
        <f t="shared" si="4130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161">Z380-AC380-AF380</f>
        <v>67</v>
      </c>
      <c r="AJ380">
        <f t="shared" ref="AJ380" si="4162">AA380-AD380-AG380</f>
        <v>25</v>
      </c>
      <c r="AK380">
        <f t="shared" ref="AK380" si="4163">AB380-AE380-AH380</f>
        <v>316</v>
      </c>
      <c r="AL380">
        <v>7</v>
      </c>
      <c r="AM380">
        <v>7</v>
      </c>
      <c r="AN380">
        <v>28</v>
      </c>
      <c r="AT380">
        <f t="shared" ref="AT380" si="4164">BN380-BN379</f>
        <v>16233</v>
      </c>
      <c r="AU380">
        <f t="shared" ref="AU380" si="4165">BO380-BO379</f>
        <v>592</v>
      </c>
      <c r="AV380">
        <f t="shared" ref="AV380" si="4166">AU380/AT380</f>
        <v>3.6468921333086921E-2</v>
      </c>
      <c r="AW380">
        <f t="shared" ref="AW380" si="4167">BV380-BV379</f>
        <v>205</v>
      </c>
      <c r="AX380">
        <f t="shared" ref="AX380" si="4168">BW380-BW379</f>
        <v>2</v>
      </c>
      <c r="AY380">
        <f t="shared" ref="AY380" si="4169">CL380-CL379</f>
        <v>591</v>
      </c>
      <c r="AZ380">
        <f t="shared" ref="AZ380" si="4170">CM380-CM379</f>
        <v>23</v>
      </c>
      <c r="BA380">
        <f t="shared" ref="BA380" si="4171">CD380-CD379</f>
        <v>48</v>
      </c>
      <c r="BB380">
        <f t="shared" ref="BB380" si="4172">CE380-CE379</f>
        <v>0</v>
      </c>
      <c r="BC380">
        <f t="shared" ref="BC380" si="4173">AX380/AW380</f>
        <v>9.7560975609756097E-3</v>
      </c>
      <c r="BD380">
        <f t="shared" ref="BD380" si="4174">AZ380/AY380</f>
        <v>3.8917089678510999E-2</v>
      </c>
      <c r="BE380">
        <f t="shared" si="3674"/>
        <v>0</v>
      </c>
      <c r="BF380">
        <f t="shared" ref="BF380" si="4175">SUM(AU374:AU380)/SUM(AT374:AT380)</f>
        <v>4.7857988165680473E-2</v>
      </c>
      <c r="BG380">
        <f t="shared" ref="BG380" si="4176">SUM(AU367:AU380)/SUM(AT367:AT380)</f>
        <v>4.3971647920435064E-2</v>
      </c>
      <c r="BH380">
        <f t="shared" ref="BH380" si="4177">SUM(AX374:AX380)/SUM(AW374:AW380)</f>
        <v>1.9957983193277309E-2</v>
      </c>
      <c r="BI380">
        <f t="shared" ref="BI380" si="4178">SUM(AZ374:AZ380)/SUM(AY374:AY380)</f>
        <v>3.2145130490133671E-2</v>
      </c>
      <c r="BJ380">
        <f t="shared" ref="BJ380" si="4179">SUM(BB374:BB380)/SUM(BA374:BA380)</f>
        <v>4.3478260869565218E-3</v>
      </c>
      <c r="BN380" s="20">
        <v>4444567</v>
      </c>
      <c r="BO380" s="20">
        <v>379233</v>
      </c>
      <c r="BP380" s="20">
        <v>1372046</v>
      </c>
      <c r="BQ380" s="20">
        <v>265325</v>
      </c>
      <c r="BR380" s="20">
        <v>290547</v>
      </c>
      <c r="BS380" s="20">
        <v>60296</v>
      </c>
      <c r="BT380" s="21">
        <f t="shared" si="3960"/>
        <v>1637371</v>
      </c>
      <c r="BU380" s="21">
        <f t="shared" si="2991"/>
        <v>350843</v>
      </c>
      <c r="BV380" s="20">
        <v>36384</v>
      </c>
      <c r="BW380" s="20">
        <v>2895</v>
      </c>
      <c r="BX380" s="20">
        <v>9034</v>
      </c>
      <c r="BY380" s="20">
        <v>3071</v>
      </c>
      <c r="BZ380" s="20">
        <v>2129</v>
      </c>
      <c r="CA380" s="20">
        <v>631</v>
      </c>
      <c r="CB380" s="21">
        <f t="shared" si="3961"/>
        <v>12105</v>
      </c>
      <c r="CC380" s="21">
        <f t="shared" si="2993"/>
        <v>2760</v>
      </c>
      <c r="CD380" s="20">
        <v>27770</v>
      </c>
      <c r="CE380" s="20">
        <v>1697</v>
      </c>
      <c r="CF380" s="20">
        <v>5159</v>
      </c>
      <c r="CG380" s="20">
        <v>1773</v>
      </c>
      <c r="CH380" s="20">
        <v>1161</v>
      </c>
      <c r="CI380" s="20">
        <v>449</v>
      </c>
      <c r="CJ380" s="21">
        <f t="shared" si="3962"/>
        <v>6932</v>
      </c>
      <c r="CK380" s="21">
        <f t="shared" si="2995"/>
        <v>1610</v>
      </c>
      <c r="CL380" s="20">
        <v>200350</v>
      </c>
      <c r="CM380" s="20">
        <v>16670</v>
      </c>
      <c r="CN380" s="20">
        <v>64109</v>
      </c>
      <c r="CO380" s="20">
        <v>5014</v>
      </c>
      <c r="CP380" s="20">
        <v>14476</v>
      </c>
      <c r="CQ380" s="20">
        <v>802</v>
      </c>
      <c r="CR380" s="21">
        <f t="shared" si="3963"/>
        <v>69123</v>
      </c>
      <c r="CS380" s="21">
        <f t="shared" si="2997"/>
        <v>15278</v>
      </c>
    </row>
    <row r="381" spans="1:97" x14ac:dyDescent="0.35">
      <c r="A381" s="14">
        <f t="shared" si="2761"/>
        <v>44287</v>
      </c>
      <c r="B381" s="9">
        <f t="shared" si="3928"/>
        <v>1641020</v>
      </c>
      <c r="C381">
        <f t="shared" ref="C381" si="4180">BU381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181">-(J381-J380)+L381</f>
        <v>7</v>
      </c>
      <c r="N381" s="7">
        <f t="shared" ref="N381" si="4182">B381-C381</f>
        <v>1289370</v>
      </c>
      <c r="O381" s="4">
        <f t="shared" ref="O381" si="4183">C381/B381</f>
        <v>0.21428745536312782</v>
      </c>
      <c r="R381">
        <f t="shared" ref="R381" si="4184">C381-C380</f>
        <v>807</v>
      </c>
      <c r="S381">
        <f t="shared" ref="S381" si="4185">N381-N380</f>
        <v>2842</v>
      </c>
      <c r="T381" s="8">
        <f t="shared" ref="T381" si="4186">R381/V381</f>
        <v>0.22115648122773363</v>
      </c>
      <c r="U381" s="8">
        <f t="shared" ref="U381" si="4187">SUM(R375:R381)/SUM(V375:V381)</f>
        <v>0.21837556472205855</v>
      </c>
      <c r="V381">
        <f t="shared" ref="V381" si="4188">B381-B380</f>
        <v>3649</v>
      </c>
      <c r="W381">
        <f t="shared" ref="W381:W382" si="4189">C381-D381-E381</f>
        <v>12389</v>
      </c>
      <c r="X381" s="3">
        <f t="shared" ref="X381:X382" si="4190">F381/W381</f>
        <v>1.541690209056421E-2</v>
      </c>
      <c r="Y381">
        <f t="shared" si="4130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191">Z381-AC381-AF381</f>
        <v>65</v>
      </c>
      <c r="AJ381">
        <f t="shared" ref="AJ381:AJ382" si="4192">AA381-AD381-AG381</f>
        <v>24</v>
      </c>
      <c r="AK381">
        <f t="shared" ref="AK381:AK382" si="4193">AB381-AE381-AH381</f>
        <v>327</v>
      </c>
      <c r="AL381">
        <v>7</v>
      </c>
      <c r="AM381">
        <v>7</v>
      </c>
      <c r="AN381">
        <v>28</v>
      </c>
      <c r="AT381">
        <f t="shared" ref="AT381" si="4194">BN381-BN380</f>
        <v>16545</v>
      </c>
      <c r="AU381">
        <f t="shared" ref="AU381" si="4195">BO381-BO380</f>
        <v>863</v>
      </c>
      <c r="AV381">
        <f t="shared" ref="AV381" si="4196">AU381/AT381</f>
        <v>5.2160773647627681E-2</v>
      </c>
      <c r="AW381">
        <f t="shared" ref="AW381" si="4197">BV381-BV380</f>
        <v>213</v>
      </c>
      <c r="AX381">
        <f t="shared" ref="AX381" si="4198">BW381-BW380</f>
        <v>6</v>
      </c>
      <c r="AY381">
        <f t="shared" ref="AY381" si="4199">CL381-CL380</f>
        <v>612</v>
      </c>
      <c r="AZ381">
        <f t="shared" ref="AZ381" si="4200">CM381-CM380</f>
        <v>13</v>
      </c>
      <c r="BA381">
        <f t="shared" ref="BA381" si="4201">CD381-CD380</f>
        <v>176</v>
      </c>
      <c r="BB381">
        <f t="shared" ref="BB381" si="4202">CE381-CE380</f>
        <v>1</v>
      </c>
      <c r="BC381">
        <f t="shared" ref="BC381" si="4203">AX381/AW381</f>
        <v>2.8169014084507043E-2</v>
      </c>
      <c r="BD381">
        <f t="shared" ref="BD381" si="4204">AZ381/AY381</f>
        <v>2.1241830065359478E-2</v>
      </c>
      <c r="BE381">
        <f t="shared" si="3674"/>
        <v>5.681818181818182E-3</v>
      </c>
      <c r="BF381">
        <f t="shared" ref="BF381" si="4205">SUM(AU375:AU381)/SUM(AT375:AT381)</f>
        <v>4.7821735130271256E-2</v>
      </c>
      <c r="BG381">
        <f t="shared" ref="BG381" si="4206">SUM(AU368:AU381)/SUM(AT368:AT381)</f>
        <v>4.4707443626197912E-2</v>
      </c>
      <c r="BH381">
        <f t="shared" ref="BH381" si="4207">SUM(AX375:AX381)/SUM(AW375:AW381)</f>
        <v>2.1538461538461538E-2</v>
      </c>
      <c r="BI381">
        <f t="shared" ref="BI381" si="4208">SUM(AZ375:AZ381)/SUM(AY375:AY381)</f>
        <v>3.4548944337811902E-2</v>
      </c>
      <c r="BJ381">
        <f t="shared" ref="BJ381" si="4209">SUM(BB375:BB381)/SUM(BA375:BA381)</f>
        <v>5.5350553505535052E-3</v>
      </c>
      <c r="BN381" s="20">
        <v>4461112</v>
      </c>
      <c r="BO381" s="20">
        <v>380096</v>
      </c>
      <c r="BP381" s="20">
        <v>1374950</v>
      </c>
      <c r="BQ381" s="20">
        <v>266070</v>
      </c>
      <c r="BR381" s="20">
        <v>291174</v>
      </c>
      <c r="BS381" s="20">
        <v>60476</v>
      </c>
      <c r="BT381" s="21">
        <f t="shared" si="3960"/>
        <v>1641020</v>
      </c>
      <c r="BU381" s="21">
        <f t="shared" si="2991"/>
        <v>351650</v>
      </c>
      <c r="BV381" s="20">
        <v>36597</v>
      </c>
      <c r="BW381" s="20">
        <v>2901</v>
      </c>
      <c r="BX381" s="20">
        <v>9046</v>
      </c>
      <c r="BY381" s="20">
        <v>3075</v>
      </c>
      <c r="BZ381" s="20">
        <v>2131</v>
      </c>
      <c r="CA381" s="20">
        <v>632</v>
      </c>
      <c r="CB381" s="21">
        <f t="shared" si="3961"/>
        <v>12121</v>
      </c>
      <c r="CC381" s="21">
        <f t="shared" si="2993"/>
        <v>2763</v>
      </c>
      <c r="CD381" s="20">
        <v>27946</v>
      </c>
      <c r="CE381" s="20">
        <v>1698</v>
      </c>
      <c r="CF381" s="20">
        <v>5197</v>
      </c>
      <c r="CG381" s="20">
        <v>1755</v>
      </c>
      <c r="CH381" s="20">
        <v>1163</v>
      </c>
      <c r="CI381" s="20">
        <v>449</v>
      </c>
      <c r="CJ381" s="21">
        <f t="shared" si="3962"/>
        <v>6952</v>
      </c>
      <c r="CK381" s="21">
        <f t="shared" si="2995"/>
        <v>1612</v>
      </c>
      <c r="CL381" s="20">
        <v>200962</v>
      </c>
      <c r="CM381" s="20">
        <v>16683</v>
      </c>
      <c r="CN381" s="20">
        <v>64219</v>
      </c>
      <c r="CO381" s="20">
        <v>5023</v>
      </c>
      <c r="CP381" s="20">
        <v>14493</v>
      </c>
      <c r="CQ381" s="20">
        <v>803</v>
      </c>
      <c r="CR381" s="21">
        <f t="shared" si="3963"/>
        <v>69242</v>
      </c>
      <c r="CS381" s="21">
        <f t="shared" si="2997"/>
        <v>15296</v>
      </c>
    </row>
    <row r="382" spans="1:97" x14ac:dyDescent="0.35">
      <c r="A382" s="14">
        <f t="shared" si="2761"/>
        <v>44288</v>
      </c>
      <c r="B382" s="9">
        <f t="shared" si="3928"/>
        <v>1643834</v>
      </c>
      <c r="C382">
        <f t="shared" ref="C382" si="4210">BU382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211">-(J382-J381)+L382</f>
        <v>5</v>
      </c>
      <c r="N382" s="7">
        <f t="shared" ref="N382" si="4212">B382-C382</f>
        <v>1291570</v>
      </c>
      <c r="O382" s="4">
        <f t="shared" ref="O382" si="4213">C382/B382</f>
        <v>0.21429414405590833</v>
      </c>
      <c r="R382">
        <f t="shared" ref="R382" si="4214">C382-C381</f>
        <v>614</v>
      </c>
      <c r="S382">
        <f t="shared" ref="S382" si="4215">N382-N381</f>
        <v>2200</v>
      </c>
      <c r="T382" s="8">
        <f t="shared" ref="T382" si="4216">R382/V382</f>
        <v>0.21819474058280028</v>
      </c>
      <c r="U382" s="8">
        <f t="shared" ref="U382" si="4217">SUM(R376:R382)/SUM(V376:V382)</f>
        <v>0.20640750367273139</v>
      </c>
      <c r="V382">
        <f t="shared" ref="V382" si="4218">B382-B381</f>
        <v>2814</v>
      </c>
      <c r="W382">
        <f t="shared" si="4189"/>
        <v>12505</v>
      </c>
      <c r="X382" s="3">
        <f t="shared" si="4190"/>
        <v>1.6313474610155938E-2</v>
      </c>
      <c r="Y382">
        <f t="shared" si="4130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191"/>
        <v>62</v>
      </c>
      <c r="AJ382">
        <f t="shared" si="4192"/>
        <v>24</v>
      </c>
      <c r="AK382">
        <f t="shared" si="4193"/>
        <v>327</v>
      </c>
      <c r="AL382">
        <v>8</v>
      </c>
      <c r="AM382">
        <v>8</v>
      </c>
      <c r="AN382">
        <v>29</v>
      </c>
      <c r="AT382">
        <f t="shared" ref="AT382" si="4219">BN382-BN381</f>
        <v>14810</v>
      </c>
      <c r="AU382">
        <f t="shared" ref="AU382" si="4220">BO382-BO381</f>
        <v>659</v>
      </c>
      <c r="AV382">
        <f t="shared" ref="AV382" si="4221">AU382/AT382</f>
        <v>4.4496961512491558E-2</v>
      </c>
      <c r="AW382">
        <f t="shared" ref="AW382" si="4222">BV382-BV381</f>
        <v>170</v>
      </c>
      <c r="AX382">
        <f t="shared" ref="AX382" si="4223">BW382-BW381</f>
        <v>-2</v>
      </c>
      <c r="AY382">
        <f t="shared" ref="AY382" si="4224">CL382-CL381</f>
        <v>516</v>
      </c>
      <c r="AZ382">
        <f t="shared" ref="AZ382" si="4225">CM382-CM381</f>
        <v>25</v>
      </c>
      <c r="BA382">
        <f t="shared" ref="BA382" si="4226">CD382-CD381</f>
        <v>50</v>
      </c>
      <c r="BB382">
        <f t="shared" ref="BB382" si="4227">CE382-CE381</f>
        <v>1</v>
      </c>
      <c r="BC382">
        <f t="shared" ref="BC382" si="4228">AX382/AW382</f>
        <v>-1.1764705882352941E-2</v>
      </c>
      <c r="BD382">
        <f t="shared" ref="BD382" si="4229">AZ382/AY382</f>
        <v>4.8449612403100778E-2</v>
      </c>
      <c r="BE382">
        <f t="shared" si="3674"/>
        <v>0.02</v>
      </c>
      <c r="BF382">
        <f t="shared" ref="BF382" si="4230">SUM(AU376:AU382)/SUM(AT376:AT382)</f>
        <v>4.544612463237848E-2</v>
      </c>
      <c r="BG382">
        <f t="shared" ref="BG382" si="4231">SUM(AU369:AU382)/SUM(AT369:AT382)</f>
        <v>4.586611769221375E-2</v>
      </c>
      <c r="BH382">
        <f t="shared" ref="BH382" si="4232">SUM(AX376:AX382)/SUM(AW376:AW382)</f>
        <v>1.5549076773566569E-2</v>
      </c>
      <c r="BI382">
        <f t="shared" ref="BI382" si="4233">SUM(AZ376:AZ382)/SUM(AY376:AY382)</f>
        <v>3.6193447737909515E-2</v>
      </c>
      <c r="BJ382">
        <f t="shared" ref="BJ382" si="4234">SUM(BB376:BB382)/SUM(BA376:BA382)</f>
        <v>2.05761316872428E-3</v>
      </c>
      <c r="BN382" s="20">
        <v>4475922</v>
      </c>
      <c r="BO382" s="20">
        <v>380755</v>
      </c>
      <c r="BP382" s="20">
        <v>1376994</v>
      </c>
      <c r="BQ382" s="20">
        <v>266840</v>
      </c>
      <c r="BR382" s="20">
        <v>291659</v>
      </c>
      <c r="BS382" s="20">
        <v>60605</v>
      </c>
      <c r="BT382" s="21">
        <f t="shared" si="3960"/>
        <v>1643834</v>
      </c>
      <c r="BU382" s="21">
        <f t="shared" si="2991"/>
        <v>352264</v>
      </c>
      <c r="BV382" s="20">
        <v>36767</v>
      </c>
      <c r="BW382" s="20">
        <v>2899</v>
      </c>
      <c r="BX382" s="20">
        <v>9057</v>
      </c>
      <c r="BY382" s="20">
        <v>3099</v>
      </c>
      <c r="BZ382" s="20">
        <v>2134</v>
      </c>
      <c r="CA382" s="20">
        <v>632</v>
      </c>
      <c r="CB382" s="21">
        <f t="shared" si="3961"/>
        <v>12156</v>
      </c>
      <c r="CC382" s="21">
        <f t="shared" si="2993"/>
        <v>2766</v>
      </c>
      <c r="CD382" s="20">
        <v>27996</v>
      </c>
      <c r="CE382" s="20">
        <v>1699</v>
      </c>
      <c r="CF382" s="20">
        <v>5199</v>
      </c>
      <c r="CG382" s="20">
        <v>1757</v>
      </c>
      <c r="CH382" s="20">
        <v>1163</v>
      </c>
      <c r="CI382" s="20">
        <v>449</v>
      </c>
      <c r="CJ382" s="21">
        <f t="shared" si="3962"/>
        <v>6956</v>
      </c>
      <c r="CK382" s="21">
        <f t="shared" si="2995"/>
        <v>1612</v>
      </c>
      <c r="CL382" s="20">
        <v>201478</v>
      </c>
      <c r="CM382" s="20">
        <v>16708</v>
      </c>
      <c r="CN382" s="20">
        <v>64338</v>
      </c>
      <c r="CO382" s="20">
        <v>5021</v>
      </c>
      <c r="CP382" s="20">
        <v>14508</v>
      </c>
      <c r="CQ382" s="20">
        <v>806</v>
      </c>
      <c r="CR382" s="21">
        <f t="shared" si="3963"/>
        <v>69359</v>
      </c>
      <c r="CS382" s="21">
        <f t="shared" si="2997"/>
        <v>15314</v>
      </c>
    </row>
    <row r="383" spans="1:97" x14ac:dyDescent="0.35">
      <c r="A383" s="14">
        <f t="shared" si="2761"/>
        <v>44289</v>
      </c>
      <c r="B383" s="9">
        <f t="shared" si="3928"/>
        <v>1646441</v>
      </c>
      <c r="C383">
        <f t="shared" ref="C383" si="4235">BU383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236">-(J383-J382)+L383</f>
        <v>7</v>
      </c>
      <c r="N383" s="7">
        <f t="shared" ref="N383" si="4237">B383-C383</f>
        <v>1293629</v>
      </c>
      <c r="O383" s="4">
        <f t="shared" ref="O383" si="4238">C383/B383</f>
        <v>0.21428766654863429</v>
      </c>
      <c r="R383">
        <f t="shared" ref="R383" si="4239">C383-C382</f>
        <v>548</v>
      </c>
      <c r="S383">
        <f t="shared" ref="S383" si="4240">N383-N382</f>
        <v>2059</v>
      </c>
      <c r="T383" s="8">
        <f t="shared" ref="T383" si="4241">R383/V383</f>
        <v>0.21020329881089375</v>
      </c>
      <c r="U383" s="8">
        <f t="shared" ref="U383" si="4242">SUM(R377:R383)/SUM(V377:V383)</f>
        <v>0.20854399818212804</v>
      </c>
      <c r="V383">
        <f t="shared" ref="V383" si="4243">B383-B382</f>
        <v>2607</v>
      </c>
      <c r="W383">
        <f t="shared" ref="W383" si="4244">C383-D383-E383</f>
        <v>12586</v>
      </c>
      <c r="X383" s="3">
        <f t="shared" ref="X383" si="4245">F383/W383</f>
        <v>1.589067217543302E-2</v>
      </c>
      <c r="Y383">
        <f t="shared" ref="Y383" si="4246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247">Z383-AC383-AF383</f>
        <v>61</v>
      </c>
      <c r="AJ383">
        <f t="shared" ref="AJ383" si="4248">AA383-AD383-AG383</f>
        <v>23</v>
      </c>
      <c r="AK383">
        <f t="shared" ref="AK383" si="4249">AB383-AE383-AH383</f>
        <v>325</v>
      </c>
      <c r="AL383">
        <v>8</v>
      </c>
      <c r="AM383">
        <v>8</v>
      </c>
      <c r="AN383">
        <v>29</v>
      </c>
      <c r="AT383">
        <f t="shared" ref="AT383" si="4250">BN383-BN382</f>
        <v>12313</v>
      </c>
      <c r="AU383">
        <f t="shared" ref="AU383" si="4251">BO383-BO382</f>
        <v>588</v>
      </c>
      <c r="AV383">
        <f t="shared" ref="AV383" si="4252">AU383/AT383</f>
        <v>4.7754405912450254E-2</v>
      </c>
      <c r="AW383">
        <f t="shared" ref="AW383" si="4253">BV383-BV382</f>
        <v>65</v>
      </c>
      <c r="AX383">
        <f t="shared" ref="AX383" si="4254">BW383-BW382</f>
        <v>1</v>
      </c>
      <c r="AY383">
        <f t="shared" ref="AY383" si="4255">CL383-CL382</f>
        <v>538</v>
      </c>
      <c r="AZ383">
        <f t="shared" ref="AZ383" si="4256">CM383-CM382</f>
        <v>16</v>
      </c>
      <c r="BA383">
        <f t="shared" ref="BA383" si="4257">CD383-CD382</f>
        <v>38</v>
      </c>
      <c r="BB383">
        <f t="shared" ref="BB383" si="4258">CE383-CE382</f>
        <v>3</v>
      </c>
      <c r="BC383">
        <f t="shared" ref="BC383" si="4259">AX383/AW383</f>
        <v>1.5384615384615385E-2</v>
      </c>
      <c r="BD383">
        <f t="shared" ref="BD383" si="4260">AZ383/AY383</f>
        <v>2.9739776951672861E-2</v>
      </c>
      <c r="BE383">
        <f t="shared" si="3674"/>
        <v>7.8947368421052627E-2</v>
      </c>
      <c r="BF383">
        <f t="shared" ref="BF383" si="4261">SUM(AU377:AU383)/SUM(AT377:AT383)</f>
        <v>4.6154569608050595E-2</v>
      </c>
      <c r="BG383">
        <f t="shared" ref="BG383" si="4262">SUM(AU370:AU383)/SUM(AT370:AT383)</f>
        <v>4.639028500043578E-2</v>
      </c>
      <c r="BH383">
        <f t="shared" ref="BH383" si="4263">SUM(AX377:AX383)/SUM(AW377:AW383)</f>
        <v>1.444043321299639E-2</v>
      </c>
      <c r="BI383">
        <f t="shared" ref="BI383" si="4264">SUM(AZ377:AZ383)/SUM(AY377:AY383)</f>
        <v>3.6005009392611143E-2</v>
      </c>
      <c r="BJ383">
        <f t="shared" ref="BJ383" si="4265">SUM(BB377:BB383)/SUM(BA377:BA383)</f>
        <v>1.2345679012345678E-2</v>
      </c>
      <c r="BN383" s="20">
        <v>4488235</v>
      </c>
      <c r="BO383" s="20">
        <v>381343</v>
      </c>
      <c r="BP383" s="20">
        <v>1378831</v>
      </c>
      <c r="BQ383" s="20">
        <v>267610</v>
      </c>
      <c r="BR383" s="20">
        <v>292083</v>
      </c>
      <c r="BS383" s="20">
        <v>60729</v>
      </c>
      <c r="BT383" s="21">
        <f t="shared" si="3960"/>
        <v>1646441</v>
      </c>
      <c r="BU383" s="21">
        <f t="shared" si="2991"/>
        <v>352812</v>
      </c>
      <c r="BV383" s="20">
        <v>36832</v>
      </c>
      <c r="BW383" s="20">
        <v>2900</v>
      </c>
      <c r="BX383" s="20">
        <v>9070</v>
      </c>
      <c r="BY383" s="20">
        <v>3105</v>
      </c>
      <c r="BZ383" s="20">
        <v>2134</v>
      </c>
      <c r="CA383" s="20">
        <v>632</v>
      </c>
      <c r="CB383" s="21">
        <f t="shared" si="3961"/>
        <v>12175</v>
      </c>
      <c r="CC383" s="21">
        <f t="shared" si="2993"/>
        <v>2766</v>
      </c>
      <c r="CD383" s="20">
        <v>28034</v>
      </c>
      <c r="CE383" s="20">
        <v>1702</v>
      </c>
      <c r="CF383" s="20">
        <v>5206</v>
      </c>
      <c r="CG383" s="20">
        <v>1756</v>
      </c>
      <c r="CH383" s="20">
        <v>1163</v>
      </c>
      <c r="CI383" s="20">
        <v>449</v>
      </c>
      <c r="CJ383" s="21">
        <f t="shared" si="3962"/>
        <v>6962</v>
      </c>
      <c r="CK383" s="21">
        <f t="shared" si="2995"/>
        <v>1612</v>
      </c>
      <c r="CL383" s="20">
        <v>202016</v>
      </c>
      <c r="CM383" s="20">
        <v>16724</v>
      </c>
      <c r="CN383" s="20">
        <v>64416</v>
      </c>
      <c r="CO383" s="20">
        <v>5036</v>
      </c>
      <c r="CP383" s="20">
        <v>14525</v>
      </c>
      <c r="CQ383" s="20">
        <v>805</v>
      </c>
      <c r="CR383" s="21">
        <f t="shared" si="3963"/>
        <v>69452</v>
      </c>
      <c r="CS383" s="21">
        <f t="shared" si="2997"/>
        <v>15330</v>
      </c>
    </row>
    <row r="384" spans="1:97" x14ac:dyDescent="0.35">
      <c r="A384" s="14">
        <f t="shared" si="2761"/>
        <v>44290</v>
      </c>
      <c r="B384" s="9">
        <f t="shared" si="3928"/>
        <v>1648288</v>
      </c>
      <c r="C384">
        <f t="shared" ref="C384" si="4266">BU384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267">-(J384-J383)+L384</f>
        <v>6</v>
      </c>
      <c r="N384" s="7">
        <f t="shared" ref="N384" si="4268">B384-C384</f>
        <v>1295045</v>
      </c>
      <c r="O384" s="4">
        <f t="shared" ref="O384" si="4269">C384/B384</f>
        <v>0.2143090285192879</v>
      </c>
      <c r="R384">
        <f t="shared" ref="R384" si="4270">C384-C383</f>
        <v>431</v>
      </c>
      <c r="S384">
        <f t="shared" ref="S384" si="4271">N384-N383</f>
        <v>1416</v>
      </c>
      <c r="T384" s="8">
        <f t="shared" ref="T384" si="4272">R384/V384</f>
        <v>0.23335138061721711</v>
      </c>
      <c r="U384" s="8">
        <f t="shared" ref="U384" si="4273">SUM(R378:R384)/SUM(V378:V384)</f>
        <v>0.20977209944751382</v>
      </c>
      <c r="V384">
        <f t="shared" ref="V384" si="4274">B384-B383</f>
        <v>1847</v>
      </c>
      <c r="W384">
        <f t="shared" ref="W384" si="4275">C384-D384-E384</f>
        <v>12801</v>
      </c>
      <c r="X384" s="3">
        <f t="shared" ref="X384" si="4276">F384/W384</f>
        <v>1.5701898289196155E-2</v>
      </c>
      <c r="Y384">
        <f t="shared" ref="Y384" si="4277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278">Z384-AC384-AF384</f>
        <v>59</v>
      </c>
      <c r="AJ384">
        <f t="shared" ref="AJ384" si="4279">AA384-AD384-AG384</f>
        <v>24</v>
      </c>
      <c r="AK384">
        <f t="shared" ref="AK384" si="4280">AB384-AE384-AH384</f>
        <v>343</v>
      </c>
      <c r="AL384">
        <v>8</v>
      </c>
      <c r="AM384">
        <v>8</v>
      </c>
      <c r="AN384">
        <v>29</v>
      </c>
      <c r="AT384">
        <f t="shared" ref="AT384" si="4281">BN384-BN383</f>
        <v>6947</v>
      </c>
      <c r="AU384">
        <f t="shared" ref="AU384" si="4282">BO384-BO383</f>
        <v>467</v>
      </c>
      <c r="AV384">
        <f t="shared" ref="AV384" si="4283">AU384/AT384</f>
        <v>6.7223261839643014E-2</v>
      </c>
      <c r="AW384">
        <f t="shared" ref="AW384" si="4284">BV384-BV383</f>
        <v>23</v>
      </c>
      <c r="AX384">
        <f t="shared" ref="AX384" si="4285">BW384-BW383</f>
        <v>0</v>
      </c>
      <c r="AY384">
        <f t="shared" ref="AY384" si="4286">CL384-CL383</f>
        <v>177</v>
      </c>
      <c r="AZ384">
        <f t="shared" ref="AZ384" si="4287">CM384-CM383</f>
        <v>17</v>
      </c>
      <c r="BA384">
        <f t="shared" ref="BA384" si="4288">CD384-CD383</f>
        <v>16</v>
      </c>
      <c r="BB384">
        <f t="shared" ref="BB384" si="4289">CE384-CE383</f>
        <v>1</v>
      </c>
      <c r="BC384">
        <f t="shared" ref="BC384" si="4290">AX384/AW384</f>
        <v>0</v>
      </c>
      <c r="BD384">
        <f t="shared" ref="BD384" si="4291">AZ384/AY384</f>
        <v>9.6045197740112997E-2</v>
      </c>
      <c r="BE384">
        <f t="shared" si="3674"/>
        <v>6.25E-2</v>
      </c>
      <c r="BF384">
        <f t="shared" ref="BF384" si="4292">SUM(AU378:AU384)/SUM(AT378:AT384)</f>
        <v>4.6036226770171725E-2</v>
      </c>
      <c r="BG384">
        <f t="shared" ref="BG384" si="4293">SUM(AU371:AU384)/SUM(AT371:AT384)</f>
        <v>4.6642114134638694E-2</v>
      </c>
      <c r="BH384">
        <f t="shared" ref="BH384" si="4294">SUM(AX378:AX384)/SUM(AW378:AW384)</f>
        <v>1.0727056019070322E-2</v>
      </c>
      <c r="BI384">
        <f t="shared" ref="BI384" si="4295">SUM(AZ378:AZ384)/SUM(AY378:AY384)</f>
        <v>3.6438529784537391E-2</v>
      </c>
      <c r="BJ384">
        <f t="shared" ref="BJ384" si="4296">SUM(BB378:BB384)/SUM(BA378:BA384)</f>
        <v>1.7199017199017199E-2</v>
      </c>
      <c r="BN384" s="20">
        <v>4495182</v>
      </c>
      <c r="BO384" s="20">
        <v>381810</v>
      </c>
      <c r="BP384" s="20">
        <v>1380522</v>
      </c>
      <c r="BQ384" s="20">
        <v>267766</v>
      </c>
      <c r="BR384" s="20">
        <v>292432</v>
      </c>
      <c r="BS384" s="20">
        <v>60811</v>
      </c>
      <c r="BT384" s="21">
        <f t="shared" si="3960"/>
        <v>1648288</v>
      </c>
      <c r="BU384" s="21">
        <f t="shared" si="2991"/>
        <v>353243</v>
      </c>
      <c r="BV384" s="20">
        <v>36855</v>
      </c>
      <c r="BW384" s="20">
        <v>2900</v>
      </c>
      <c r="BX384" s="20">
        <v>9069</v>
      </c>
      <c r="BY384" s="20">
        <v>3109</v>
      </c>
      <c r="BZ384" s="20">
        <v>2136</v>
      </c>
      <c r="CA384" s="20">
        <v>632</v>
      </c>
      <c r="CB384" s="21">
        <f t="shared" si="3961"/>
        <v>12178</v>
      </c>
      <c r="CC384" s="21">
        <f t="shared" si="2993"/>
        <v>2768</v>
      </c>
      <c r="CD384" s="20">
        <v>28050</v>
      </c>
      <c r="CE384" s="20">
        <v>1703</v>
      </c>
      <c r="CF384" s="20">
        <v>5210</v>
      </c>
      <c r="CG384" s="20">
        <v>1756</v>
      </c>
      <c r="CH384" s="20">
        <v>1164</v>
      </c>
      <c r="CI384" s="20">
        <v>449</v>
      </c>
      <c r="CJ384" s="21">
        <f t="shared" si="3962"/>
        <v>6966</v>
      </c>
      <c r="CK384" s="21">
        <f t="shared" si="2995"/>
        <v>1613</v>
      </c>
      <c r="CL384" s="20">
        <v>202193</v>
      </c>
      <c r="CM384" s="20">
        <v>16741</v>
      </c>
      <c r="CN384" s="20">
        <v>64459</v>
      </c>
      <c r="CO384" s="20">
        <v>5042</v>
      </c>
      <c r="CP384" s="20">
        <v>14528</v>
      </c>
      <c r="CQ384" s="20">
        <v>808</v>
      </c>
      <c r="CR384" s="21">
        <f t="shared" si="3963"/>
        <v>69501</v>
      </c>
      <c r="CS384" s="21">
        <f t="shared" si="2997"/>
        <v>15336</v>
      </c>
    </row>
    <row r="385" spans="1:97" x14ac:dyDescent="0.35">
      <c r="A385" s="14">
        <f t="shared" si="2761"/>
        <v>44291</v>
      </c>
      <c r="B385" s="9">
        <f t="shared" si="3928"/>
        <v>1649172</v>
      </c>
      <c r="C385">
        <f t="shared" ref="C385" si="4297">BU385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298">-(J385-J384)+L385</f>
        <v>6</v>
      </c>
      <c r="N385" s="7">
        <f t="shared" ref="N385" si="4299">B385-C385</f>
        <v>1295782</v>
      </c>
      <c r="O385" s="4">
        <f t="shared" ref="O385" si="4300">C385/B385</f>
        <v>0.21428328882615033</v>
      </c>
      <c r="R385">
        <f t="shared" ref="R385" si="4301">C385-C384</f>
        <v>147</v>
      </c>
      <c r="S385">
        <f t="shared" ref="S385" si="4302">N385-N384</f>
        <v>737</v>
      </c>
      <c r="T385" s="8">
        <f t="shared" ref="T385" si="4303">R385/V385</f>
        <v>0.16628959276018099</v>
      </c>
      <c r="U385" s="8">
        <f t="shared" ref="U385" si="4304">SUM(R379:R385)/SUM(V379:V385)</f>
        <v>0.21218280006968238</v>
      </c>
      <c r="V385">
        <f t="shared" ref="V385" si="4305">B385-B384</f>
        <v>884</v>
      </c>
      <c r="W385">
        <f t="shared" ref="W385" si="4306">C385-D385-E385</f>
        <v>12734</v>
      </c>
      <c r="X385" s="3">
        <f t="shared" ref="X385" si="4307">F385/W385</f>
        <v>1.5784513899795821E-2</v>
      </c>
      <c r="Y385">
        <f t="shared" ref="Y385" si="4308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309">Z385-AC385-AF385</f>
        <v>59</v>
      </c>
      <c r="AJ385">
        <f t="shared" ref="AJ385" si="4310">AA385-AD385-AG385</f>
        <v>25</v>
      </c>
      <c r="AK385">
        <f t="shared" ref="AK385" si="4311">AB385-AE385-AH385</f>
        <v>344</v>
      </c>
      <c r="AL385">
        <v>8</v>
      </c>
      <c r="AM385">
        <v>8</v>
      </c>
      <c r="AN385">
        <v>29</v>
      </c>
      <c r="AT385">
        <f t="shared" ref="AT385" si="4312">BN385-BN384</f>
        <v>3096</v>
      </c>
      <c r="AU385">
        <f t="shared" ref="AU385" si="4313">BO385-BO384</f>
        <v>176</v>
      </c>
      <c r="AV385">
        <f t="shared" ref="AV385" si="4314">AU385/AT385</f>
        <v>5.6847545219638244E-2</v>
      </c>
      <c r="AW385">
        <f t="shared" ref="AW385" si="4315">BV385-BV384</f>
        <v>9</v>
      </c>
      <c r="AX385">
        <f t="shared" ref="AX385" si="4316">BW385-BW384</f>
        <v>4</v>
      </c>
      <c r="AY385">
        <f t="shared" ref="AY385" si="4317">CL385-CL384</f>
        <v>124</v>
      </c>
      <c r="AZ385">
        <f t="shared" ref="AZ385" si="4318">CM385-CM384</f>
        <v>-3</v>
      </c>
      <c r="BA385">
        <f t="shared" ref="BA385" si="4319">CD385-CD384</f>
        <v>11</v>
      </c>
      <c r="BB385">
        <f t="shared" ref="BB385" si="4320">CE385-CE384</f>
        <v>-2</v>
      </c>
      <c r="BC385">
        <f t="shared" ref="BC385" si="4321">AX385/AW385</f>
        <v>0.44444444444444442</v>
      </c>
      <c r="BD385">
        <f t="shared" ref="BD385" si="4322">AZ385/AY385</f>
        <v>-2.4193548387096774E-2</v>
      </c>
      <c r="BE385">
        <f t="shared" si="3674"/>
        <v>-0.18181818181818182</v>
      </c>
      <c r="BF385">
        <f t="shared" ref="BF385" si="4323">SUM(AU379:AU385)/SUM(AT379:AT385)</f>
        <v>4.6600078199978676E-2</v>
      </c>
      <c r="BG385">
        <f t="shared" ref="BG385" si="4324">SUM(AU372:AU385)/SUM(AT372:AT385)</f>
        <v>4.7096781681232082E-2</v>
      </c>
      <c r="BH385">
        <f t="shared" ref="BH385" si="4325">SUM(AX379:AX385)/SUM(AW379:AW385)</f>
        <v>1.920768307322929E-2</v>
      </c>
      <c r="BI385">
        <f t="shared" ref="BI385" si="4326">SUM(AZ379:AZ385)/SUM(AY379:AY385)</f>
        <v>3.1847133757961783E-2</v>
      </c>
      <c r="BJ385">
        <f t="shared" ref="BJ385" si="4327">SUM(BB379:BB385)/SUM(BA379:BA385)</f>
        <v>1.2468827930174564E-2</v>
      </c>
      <c r="BN385" s="20">
        <v>4498278</v>
      </c>
      <c r="BO385" s="20">
        <v>381986</v>
      </c>
      <c r="BP385" s="20">
        <v>1381404</v>
      </c>
      <c r="BQ385" s="20">
        <v>267768</v>
      </c>
      <c r="BR385" s="20">
        <v>292568</v>
      </c>
      <c r="BS385" s="20">
        <v>60822</v>
      </c>
      <c r="BT385" s="21">
        <f t="shared" si="3960"/>
        <v>1649172</v>
      </c>
      <c r="BU385" s="21">
        <f t="shared" si="2991"/>
        <v>353390</v>
      </c>
      <c r="BV385" s="20">
        <v>36864</v>
      </c>
      <c r="BW385" s="20">
        <v>2904</v>
      </c>
      <c r="BX385" s="20">
        <v>9072</v>
      </c>
      <c r="BY385" s="20">
        <v>3109</v>
      </c>
      <c r="BZ385" s="20">
        <v>2137</v>
      </c>
      <c r="CA385" s="20">
        <v>632</v>
      </c>
      <c r="CB385" s="21">
        <f t="shared" si="3961"/>
        <v>12181</v>
      </c>
      <c r="CC385" s="21">
        <f t="shared" si="2993"/>
        <v>2769</v>
      </c>
      <c r="CD385" s="20">
        <v>28061</v>
      </c>
      <c r="CE385" s="20">
        <v>1701</v>
      </c>
      <c r="CF385" s="20">
        <v>5215</v>
      </c>
      <c r="CG385" s="20">
        <v>1755</v>
      </c>
      <c r="CH385" s="20">
        <v>1165</v>
      </c>
      <c r="CI385" s="20">
        <v>449</v>
      </c>
      <c r="CJ385" s="21">
        <f t="shared" si="3962"/>
        <v>6970</v>
      </c>
      <c r="CK385" s="21">
        <f t="shared" si="2995"/>
        <v>1614</v>
      </c>
      <c r="CL385" s="20">
        <v>202317</v>
      </c>
      <c r="CM385" s="20">
        <v>16738</v>
      </c>
      <c r="CN385" s="20">
        <v>64503</v>
      </c>
      <c r="CO385" s="20">
        <v>5048</v>
      </c>
      <c r="CP385" s="20">
        <v>14534</v>
      </c>
      <c r="CQ385" s="20">
        <v>807</v>
      </c>
      <c r="CR385" s="21">
        <f t="shared" si="3963"/>
        <v>69551</v>
      </c>
      <c r="CS385" s="21">
        <f t="shared" si="2997"/>
        <v>15341</v>
      </c>
    </row>
    <row r="386" spans="1:97" x14ac:dyDescent="0.35">
      <c r="A386" s="14">
        <f t="shared" si="2761"/>
        <v>44292</v>
      </c>
      <c r="B386" s="9">
        <f t="shared" si="3928"/>
        <v>1651693</v>
      </c>
      <c r="C386">
        <f t="shared" ref="C386" si="4328">BU386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329">-(J386-J385)+L386</f>
        <v>-2</v>
      </c>
      <c r="N386" s="7">
        <f t="shared" ref="N386" si="4330">B386-C386</f>
        <v>1297791</v>
      </c>
      <c r="O386" s="4">
        <f t="shared" ref="O386" si="4331">C386/B386</f>
        <v>0.21426621048826872</v>
      </c>
      <c r="R386">
        <f t="shared" ref="R386" si="4332">C386-C385</f>
        <v>512</v>
      </c>
      <c r="S386">
        <f t="shared" ref="S386" si="4333">N386-N385</f>
        <v>2009</v>
      </c>
      <c r="T386" s="8">
        <f t="shared" ref="T386" si="4334">R386/V386</f>
        <v>0.20309401031336771</v>
      </c>
      <c r="U386" s="8">
        <f t="shared" ref="U386" si="4335">SUM(R380:R386)/SUM(V380:V386)</f>
        <v>0.21020492043919911</v>
      </c>
      <c r="V386">
        <f t="shared" ref="V386" si="4336">B386-B385</f>
        <v>2521</v>
      </c>
      <c r="W386">
        <f t="shared" ref="W386" si="4337">C386-D386-E386</f>
        <v>12424</v>
      </c>
      <c r="X386" s="3">
        <f t="shared" ref="X386" si="4338">F386/W386</f>
        <v>1.7466194462330973E-2</v>
      </c>
      <c r="Y386">
        <f t="shared" ref="Y386" si="4339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340">Z386-AC386-AF386</f>
        <v>53</v>
      </c>
      <c r="AJ386">
        <f t="shared" ref="AJ386" si="4341">AA386-AD386-AG386</f>
        <v>24</v>
      </c>
      <c r="AK386">
        <f t="shared" ref="AK386" si="4342">AB386-AE386-AH386</f>
        <v>310</v>
      </c>
      <c r="AL386">
        <v>9</v>
      </c>
      <c r="AM386">
        <v>9</v>
      </c>
      <c r="AN386">
        <v>28</v>
      </c>
      <c r="AT386">
        <f t="shared" ref="AT386" si="4343">BN386-BN385</f>
        <v>14628</v>
      </c>
      <c r="AU386">
        <f t="shared" ref="AU386" si="4344">BO386-BO385</f>
        <v>551</v>
      </c>
      <c r="AV386">
        <f t="shared" ref="AV386" si="4345">AU386/AT386</f>
        <v>3.7667487011211379E-2</v>
      </c>
      <c r="AW386">
        <f t="shared" ref="AW386" si="4346">BV386-BV385</f>
        <v>117</v>
      </c>
      <c r="AX386">
        <f t="shared" ref="AX386" si="4347">BW386-BW385</f>
        <v>1</v>
      </c>
      <c r="AY386">
        <f t="shared" ref="AY386" si="4348">CL386-CL385</f>
        <v>532</v>
      </c>
      <c r="AZ386">
        <f t="shared" ref="AZ386" si="4349">CM386-CM385</f>
        <v>19</v>
      </c>
      <c r="BA386">
        <f t="shared" ref="BA386" si="4350">CD386-CD385</f>
        <v>41</v>
      </c>
      <c r="BB386">
        <f t="shared" ref="BB386" si="4351">CE386-CE385</f>
        <v>0</v>
      </c>
      <c r="BC386">
        <f t="shared" ref="BC386" si="4352">AX386/AW386</f>
        <v>8.5470085470085479E-3</v>
      </c>
      <c r="BD386">
        <f t="shared" ref="BD386" si="4353">AZ386/AY386</f>
        <v>3.5714285714285712E-2</v>
      </c>
      <c r="BE386">
        <f t="shared" si="3674"/>
        <v>0</v>
      </c>
      <c r="BF386">
        <f t="shared" ref="BF386" si="4354">SUM(AU380:AU386)/SUM(AT380:AT386)</f>
        <v>4.6067256302322279E-2</v>
      </c>
      <c r="BG386">
        <f t="shared" ref="BG386" si="4355">SUM(AU373:AU386)/SUM(AT373:AT386)</f>
        <v>4.7607067633980808E-2</v>
      </c>
      <c r="BH386">
        <f t="shared" ref="BH386" si="4356">SUM(AX380:AX386)/SUM(AW380:AW386)</f>
        <v>1.4962593516209476E-2</v>
      </c>
      <c r="BI386">
        <f t="shared" ref="BI386" si="4357">SUM(AZ380:AZ386)/SUM(AY380:AY386)</f>
        <v>3.5598705501618123E-2</v>
      </c>
      <c r="BJ386">
        <f t="shared" ref="BJ386" si="4358">SUM(BB380:BB386)/SUM(BA380:BA386)</f>
        <v>1.0526315789473684E-2</v>
      </c>
      <c r="BN386" s="20">
        <v>4512906</v>
      </c>
      <c r="BO386" s="20">
        <v>382537</v>
      </c>
      <c r="BP386" s="20">
        <v>1382872</v>
      </c>
      <c r="BQ386" s="20">
        <v>268821</v>
      </c>
      <c r="BR386" s="20">
        <v>292886</v>
      </c>
      <c r="BS386" s="20">
        <v>61016</v>
      </c>
      <c r="BT386" s="21">
        <f t="shared" si="3960"/>
        <v>1651693</v>
      </c>
      <c r="BU386" s="21">
        <f t="shared" si="2991"/>
        <v>353902</v>
      </c>
      <c r="BV386" s="20">
        <v>36981</v>
      </c>
      <c r="BW386" s="20">
        <v>2905</v>
      </c>
      <c r="BX386" s="20">
        <v>9076</v>
      </c>
      <c r="BY386" s="20">
        <v>3123</v>
      </c>
      <c r="BZ386" s="20">
        <v>2138</v>
      </c>
      <c r="CA386" s="20">
        <v>633</v>
      </c>
      <c r="CB386" s="21">
        <f t="shared" si="3961"/>
        <v>12199</v>
      </c>
      <c r="CC386" s="21">
        <f t="shared" si="2993"/>
        <v>2771</v>
      </c>
      <c r="CD386" s="20">
        <v>28102</v>
      </c>
      <c r="CE386" s="20">
        <v>1701</v>
      </c>
      <c r="CF386" s="20">
        <v>5220</v>
      </c>
      <c r="CG386" s="20">
        <v>1757</v>
      </c>
      <c r="CH386" s="20">
        <v>1165</v>
      </c>
      <c r="CI386" s="20">
        <v>449</v>
      </c>
      <c r="CJ386" s="21">
        <f t="shared" si="3962"/>
        <v>6977</v>
      </c>
      <c r="CK386" s="21">
        <f t="shared" si="2995"/>
        <v>1614</v>
      </c>
      <c r="CL386" s="20">
        <v>202849</v>
      </c>
      <c r="CM386" s="20">
        <v>16757</v>
      </c>
      <c r="CN386" s="20">
        <v>64588</v>
      </c>
      <c r="CO386" s="20">
        <v>5073</v>
      </c>
      <c r="CP386" s="20">
        <v>14546</v>
      </c>
      <c r="CQ386" s="20">
        <v>809</v>
      </c>
      <c r="CR386" s="21">
        <f t="shared" si="3963"/>
        <v>69661</v>
      </c>
      <c r="CS386" s="21">
        <f t="shared" si="2997"/>
        <v>15355</v>
      </c>
    </row>
    <row r="387" spans="1:97" x14ac:dyDescent="0.35">
      <c r="A387" s="14">
        <f t="shared" si="2761"/>
        <v>44293</v>
      </c>
      <c r="B387" s="9">
        <f t="shared" si="3928"/>
        <v>1655061</v>
      </c>
      <c r="C387">
        <f t="shared" ref="C387" si="4359">BU387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360">-(J387-J386)+L387</f>
        <v>9</v>
      </c>
      <c r="N387" s="7">
        <f t="shared" ref="N387" si="4361">B387-C387</f>
        <v>1300405</v>
      </c>
      <c r="O387" s="4">
        <f t="shared" ref="O387" si="4362">C387/B387</f>
        <v>0.21428575744338124</v>
      </c>
      <c r="R387">
        <f t="shared" ref="R387" si="4363">C387-C386</f>
        <v>754</v>
      </c>
      <c r="S387">
        <f t="shared" ref="S387" si="4364">N387-N386</f>
        <v>2614</v>
      </c>
      <c r="T387" s="8">
        <f t="shared" ref="T387" si="4365">R387/V387</f>
        <v>0.22387173396674584</v>
      </c>
      <c r="U387" s="8">
        <f t="shared" ref="U387" si="4366">SUM(R381:R387)/SUM(V381:V387)</f>
        <v>0.21554550593555682</v>
      </c>
      <c r="V387">
        <f t="shared" ref="V387" si="4367">B387-B386</f>
        <v>3368</v>
      </c>
      <c r="W387">
        <f t="shared" ref="W387" si="4368">C387-D387-E387</f>
        <v>12703</v>
      </c>
      <c r="X387" s="3">
        <f t="shared" ref="X387" si="4369">F387/W387</f>
        <v>1.7003857356529952E-2</v>
      </c>
      <c r="Y387">
        <f t="shared" ref="Y387" si="4370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371">Z387-AC387-AF387</f>
        <v>51</v>
      </c>
      <c r="AJ387">
        <f t="shared" ref="AJ387" si="4372">AA387-AD387-AG387</f>
        <v>24</v>
      </c>
      <c r="AK387">
        <f t="shared" ref="AK387" si="4373">AB387-AE387-AH387</f>
        <v>313</v>
      </c>
      <c r="AL387">
        <v>6</v>
      </c>
      <c r="AM387">
        <v>6</v>
      </c>
      <c r="AN387">
        <v>17</v>
      </c>
      <c r="AT387">
        <f t="shared" ref="AT387" si="4374">BN387-BN386</f>
        <v>18670</v>
      </c>
      <c r="AU387">
        <f t="shared" ref="AU387" si="4375">BO387-BO386</f>
        <v>803</v>
      </c>
      <c r="AV387">
        <f t="shared" ref="AV387" si="4376">AU387/AT387</f>
        <v>4.3010176754151044E-2</v>
      </c>
      <c r="AW387">
        <f t="shared" ref="AW387" si="4377">BV387-BV386</f>
        <v>260</v>
      </c>
      <c r="AX387">
        <f t="shared" ref="AX387" si="4378">BW387-BW386</f>
        <v>7</v>
      </c>
      <c r="AY387">
        <f t="shared" ref="AY387" si="4379">CL387-CL386</f>
        <v>730</v>
      </c>
      <c r="AZ387">
        <f t="shared" ref="AZ387" si="4380">CM387-CM386</f>
        <v>24</v>
      </c>
      <c r="BA387">
        <f t="shared" ref="BA387" si="4381">CD387-CD386</f>
        <v>64</v>
      </c>
      <c r="BB387">
        <f t="shared" ref="BB387" si="4382">CE387-CE386</f>
        <v>1</v>
      </c>
      <c r="BC387">
        <f t="shared" ref="BC387" si="4383">AX387/AW387</f>
        <v>2.6923076923076925E-2</v>
      </c>
      <c r="BD387">
        <f t="shared" ref="BD387" si="4384">AZ387/AY387</f>
        <v>3.287671232876712E-2</v>
      </c>
      <c r="BE387">
        <f t="shared" si="3674"/>
        <v>1.5625E-2</v>
      </c>
      <c r="BF387">
        <f t="shared" ref="BF387" si="4385">SUM(AU381:AU387)/SUM(AT381:AT387)</f>
        <v>4.7202013584801569E-2</v>
      </c>
      <c r="BG387">
        <f t="shared" ref="BG387" si="4386">SUM(AU374:AU387)/SUM(AT374:AT387)</f>
        <v>4.7525202759038883E-2</v>
      </c>
      <c r="BH387">
        <f t="shared" ref="BH387" si="4387">SUM(AX381:AX387)/SUM(AW381:AW387)</f>
        <v>1.9836639439906652E-2</v>
      </c>
      <c r="BI387">
        <f t="shared" ref="BI387" si="4388">SUM(AZ381:AZ387)/SUM(AY381:AY387)</f>
        <v>3.4375967791886036E-2</v>
      </c>
      <c r="BJ387">
        <f t="shared" ref="BJ387" si="4389">SUM(BB381:BB387)/SUM(BA381:BA387)</f>
        <v>1.2626262626262626E-2</v>
      </c>
      <c r="BN387" s="20">
        <v>4531576</v>
      </c>
      <c r="BO387" s="20">
        <v>383340</v>
      </c>
      <c r="BP387" s="20">
        <v>1385334</v>
      </c>
      <c r="BQ387" s="20">
        <v>269727</v>
      </c>
      <c r="BR387" s="20">
        <v>293432</v>
      </c>
      <c r="BS387" s="20">
        <v>61224</v>
      </c>
      <c r="BT387" s="21">
        <f t="shared" si="3960"/>
        <v>1655061</v>
      </c>
      <c r="BU387" s="21">
        <f t="shared" si="2991"/>
        <v>354656</v>
      </c>
      <c r="BV387" s="20">
        <v>37241</v>
      </c>
      <c r="BW387" s="20">
        <v>2912</v>
      </c>
      <c r="BX387" s="20">
        <v>9083</v>
      </c>
      <c r="BY387" s="20">
        <v>3142</v>
      </c>
      <c r="BZ387" s="20">
        <v>2140</v>
      </c>
      <c r="CA387" s="20">
        <v>635</v>
      </c>
      <c r="CB387" s="21">
        <f t="shared" si="3961"/>
        <v>12225</v>
      </c>
      <c r="CC387" s="21">
        <f t="shared" si="2993"/>
        <v>2775</v>
      </c>
      <c r="CD387" s="20">
        <v>28166</v>
      </c>
      <c r="CE387" s="20">
        <v>1702</v>
      </c>
      <c r="CF387" s="20">
        <v>5224</v>
      </c>
      <c r="CG387" s="20">
        <v>1763</v>
      </c>
      <c r="CH387" s="20">
        <v>1166</v>
      </c>
      <c r="CI387" s="20">
        <v>449</v>
      </c>
      <c r="CJ387" s="21">
        <f t="shared" si="3962"/>
        <v>6987</v>
      </c>
      <c r="CK387" s="21">
        <f t="shared" si="2995"/>
        <v>1615</v>
      </c>
      <c r="CL387" s="20">
        <v>203579</v>
      </c>
      <c r="CM387" s="20">
        <v>16781</v>
      </c>
      <c r="CN387" s="20">
        <v>64699</v>
      </c>
      <c r="CO387" s="20">
        <v>5102</v>
      </c>
      <c r="CP387" s="20">
        <v>14570</v>
      </c>
      <c r="CQ387" s="20">
        <v>810</v>
      </c>
      <c r="CR387" s="21">
        <f t="shared" si="3963"/>
        <v>69801</v>
      </c>
      <c r="CS387" s="21">
        <f t="shared" si="2997"/>
        <v>15380</v>
      </c>
    </row>
    <row r="388" spans="1:97" x14ac:dyDescent="0.35">
      <c r="A388" s="14">
        <f t="shared" si="2761"/>
        <v>44294</v>
      </c>
      <c r="B388" s="9">
        <f t="shared" si="3928"/>
        <v>1658099</v>
      </c>
      <c r="C388">
        <f t="shared" ref="C388" si="4390">BU388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391">-(J388-J387)+L388</f>
        <v>5</v>
      </c>
      <c r="N388" s="7">
        <f t="shared" ref="N388" si="4392">B388-C388</f>
        <v>1302771</v>
      </c>
      <c r="O388" s="4">
        <f t="shared" ref="O388" si="4393">C388/B388</f>
        <v>0.21429842247055211</v>
      </c>
      <c r="R388">
        <f t="shared" ref="R388" si="4394">C388-C387</f>
        <v>672</v>
      </c>
      <c r="S388">
        <f t="shared" ref="S388" si="4395">N388-N387</f>
        <v>2366</v>
      </c>
      <c r="T388" s="8">
        <f t="shared" ref="T388" si="4396">R388/V388</f>
        <v>0.22119815668202766</v>
      </c>
      <c r="U388" s="8">
        <f t="shared" ref="U388" si="4397">SUM(R382:R388)/SUM(V382:V388)</f>
        <v>0.21535218689618829</v>
      </c>
      <c r="V388">
        <f t="shared" ref="V388" si="4398">B388-B387</f>
        <v>3038</v>
      </c>
      <c r="W388">
        <f t="shared" ref="W388" si="4399">C388-D388-E388</f>
        <v>12820</v>
      </c>
      <c r="X388" s="3">
        <f t="shared" ref="X388" si="4400">F388/W388</f>
        <v>1.7082683307332293E-2</v>
      </c>
      <c r="Y388">
        <f t="shared" ref="Y388" si="4401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402">Z388-AC388-AF388</f>
        <v>51</v>
      </c>
      <c r="AJ388">
        <f t="shared" ref="AJ388" si="4403">AA388-AD388-AG388</f>
        <v>23</v>
      </c>
      <c r="AK388">
        <f t="shared" ref="AK388" si="4404">AB388-AE388-AH388</f>
        <v>318</v>
      </c>
      <c r="AL388">
        <v>5</v>
      </c>
      <c r="AM388">
        <v>5</v>
      </c>
      <c r="AN388">
        <v>16</v>
      </c>
      <c r="AT388">
        <f t="shared" ref="AT388" si="4405">BN388-BN387</f>
        <v>14987</v>
      </c>
      <c r="AU388">
        <f t="shared" ref="AU388" si="4406">BO388-BO387</f>
        <v>688</v>
      </c>
      <c r="AV388">
        <f t="shared" ref="AV388" si="4407">AU388/AT388</f>
        <v>4.5906452258624143E-2</v>
      </c>
      <c r="AW388">
        <f t="shared" ref="AW388" si="4408">BV388-BV387</f>
        <v>123</v>
      </c>
      <c r="AX388">
        <f t="shared" ref="AX388" si="4409">BW388-BW387</f>
        <v>1</v>
      </c>
      <c r="AY388">
        <f t="shared" ref="AY388" si="4410">CL388-CL387</f>
        <v>619</v>
      </c>
      <c r="AZ388">
        <f t="shared" ref="AZ388" si="4411">CM388-CM387</f>
        <v>25</v>
      </c>
      <c r="BA388">
        <f t="shared" ref="BA388" si="4412">CD388-CD387</f>
        <v>66</v>
      </c>
      <c r="BB388">
        <f t="shared" ref="BB388" si="4413">CE388-CE387</f>
        <v>2</v>
      </c>
      <c r="BC388">
        <f t="shared" ref="BC388" si="4414">AX388/AW388</f>
        <v>8.130081300813009E-3</v>
      </c>
      <c r="BD388">
        <f t="shared" ref="BD388" si="4415">AZ388/AY388</f>
        <v>4.0387722132471729E-2</v>
      </c>
      <c r="BE388">
        <f t="shared" si="3674"/>
        <v>3.0303030303030304E-2</v>
      </c>
      <c r="BF388">
        <f t="shared" ref="BF388" si="4416">SUM(AU382:AU388)/SUM(AT382:AT388)</f>
        <v>4.6014675076944685E-2</v>
      </c>
      <c r="BG388">
        <f t="shared" ref="BG388" si="4417">SUM(AU375:AU388)/SUM(AT375:AT388)</f>
        <v>4.6984161423302237E-2</v>
      </c>
      <c r="BH388">
        <f t="shared" ref="BH388" si="4418">SUM(AX382:AX388)/SUM(AW382:AW388)</f>
        <v>1.5645371577574969E-2</v>
      </c>
      <c r="BI388">
        <f t="shared" ref="BI388" si="4419">SUM(AZ382:AZ388)/SUM(AY382:AY388)</f>
        <v>3.8009888751545116E-2</v>
      </c>
      <c r="BJ388">
        <f t="shared" ref="BJ388" si="4420">SUM(BB382:BB388)/SUM(BA382:BA388)</f>
        <v>2.097902097902098E-2</v>
      </c>
      <c r="BN388" s="20">
        <v>4546563</v>
      </c>
      <c r="BO388" s="20">
        <v>384028</v>
      </c>
      <c r="BP388" s="20">
        <v>1387790</v>
      </c>
      <c r="BQ388" s="20">
        <v>270309</v>
      </c>
      <c r="BR388" s="20">
        <v>293923</v>
      </c>
      <c r="BS388" s="20">
        <v>61405</v>
      </c>
      <c r="BT388" s="21">
        <f t="shared" si="3960"/>
        <v>1658099</v>
      </c>
      <c r="BU388" s="21">
        <f t="shared" si="2991"/>
        <v>355328</v>
      </c>
      <c r="BV388" s="20">
        <v>37364</v>
      </c>
      <c r="BW388" s="20">
        <v>2913</v>
      </c>
      <c r="BX388" s="20">
        <v>9097</v>
      </c>
      <c r="BY388" s="20">
        <v>3143</v>
      </c>
      <c r="BZ388" s="20">
        <v>2142</v>
      </c>
      <c r="CA388" s="20">
        <v>637</v>
      </c>
      <c r="CB388" s="21">
        <f t="shared" si="3961"/>
        <v>12240</v>
      </c>
      <c r="CC388" s="21">
        <f t="shared" si="2993"/>
        <v>2779</v>
      </c>
      <c r="CD388" s="20">
        <v>28232</v>
      </c>
      <c r="CE388" s="20">
        <v>1704</v>
      </c>
      <c r="CF388" s="20">
        <v>5235</v>
      </c>
      <c r="CG388" s="20">
        <v>1765</v>
      </c>
      <c r="CH388" s="20">
        <v>1166</v>
      </c>
      <c r="CI388" s="20">
        <v>449</v>
      </c>
      <c r="CJ388" s="21">
        <f t="shared" si="3962"/>
        <v>7000</v>
      </c>
      <c r="CK388" s="21">
        <f t="shared" si="2995"/>
        <v>1615</v>
      </c>
      <c r="CL388" s="20">
        <v>204198</v>
      </c>
      <c r="CM388" s="20">
        <v>16806</v>
      </c>
      <c r="CN388" s="20">
        <v>64866</v>
      </c>
      <c r="CO388" s="20">
        <v>5054</v>
      </c>
      <c r="CP388" s="20">
        <v>14597</v>
      </c>
      <c r="CQ388" s="20">
        <v>812</v>
      </c>
      <c r="CR388" s="21">
        <f t="shared" si="3963"/>
        <v>69920</v>
      </c>
      <c r="CS388" s="21">
        <f t="shared" si="2997"/>
        <v>15409</v>
      </c>
    </row>
    <row r="389" spans="1:97" x14ac:dyDescent="0.35">
      <c r="A389" s="14">
        <f t="shared" si="2761"/>
        <v>44295</v>
      </c>
      <c r="B389" s="9">
        <f t="shared" si="3928"/>
        <v>1660684</v>
      </c>
      <c r="C389">
        <f t="shared" ref="C389" si="4421">BU389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422">-(J389-J388)+L389</f>
        <v>12</v>
      </c>
      <c r="N389" s="7">
        <f t="shared" ref="N389" si="4423">B389-C389</f>
        <v>1304838</v>
      </c>
      <c r="O389" s="4">
        <f t="shared" ref="O389" si="4424">C389/B389</f>
        <v>0.21427676788600361</v>
      </c>
      <c r="R389">
        <f t="shared" ref="R389" si="4425">C389-C388</f>
        <v>518</v>
      </c>
      <c r="S389">
        <f t="shared" ref="S389" si="4426">N389-N388</f>
        <v>2067</v>
      </c>
      <c r="T389" s="8">
        <f t="shared" ref="T389" si="4427">R389/V389</f>
        <v>0.20038684719535782</v>
      </c>
      <c r="U389" s="8">
        <f t="shared" ref="U389" si="4428">SUM(R383:R389)/SUM(V383:V389)</f>
        <v>0.21258160237388724</v>
      </c>
      <c r="V389">
        <f t="shared" ref="V389" si="4429">B389-B388</f>
        <v>2585</v>
      </c>
      <c r="W389">
        <f t="shared" ref="W389" si="4430">C389-D389-E389</f>
        <v>12870</v>
      </c>
      <c r="X389" s="3">
        <f t="shared" ref="X389" si="4431">F389/W389</f>
        <v>1.7715617715617717E-2</v>
      </c>
      <c r="Y389">
        <f t="shared" ref="Y389" si="4432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433">Z389-AC389-AF389</f>
        <v>51</v>
      </c>
      <c r="AJ389">
        <f t="shared" ref="AJ389" si="4434">AA389-AD389-AG389</f>
        <v>22</v>
      </c>
      <c r="AK389">
        <f t="shared" ref="AK389" si="4435">AB389-AE389-AH389</f>
        <v>328</v>
      </c>
      <c r="AL389">
        <v>5</v>
      </c>
      <c r="AM389">
        <v>5</v>
      </c>
      <c r="AN389">
        <v>19</v>
      </c>
      <c r="AT389">
        <f t="shared" ref="AT389" si="4436">BN389-BN388</f>
        <v>13714</v>
      </c>
      <c r="AU389">
        <f t="shared" ref="AU389" si="4437">BO389-BO388</f>
        <v>571</v>
      </c>
      <c r="AV389">
        <f t="shared" ref="AV389" si="4438">AU389/AT389</f>
        <v>4.1636284089251858E-2</v>
      </c>
      <c r="AW389">
        <f t="shared" ref="AW389" si="4439">BV389-BV388</f>
        <v>123</v>
      </c>
      <c r="AX389">
        <f t="shared" ref="AX389" si="4440">BW389-BW388</f>
        <v>3</v>
      </c>
      <c r="AY389">
        <f t="shared" ref="AY389" si="4441">CL389-CL388</f>
        <v>512</v>
      </c>
      <c r="AZ389">
        <f t="shared" ref="AZ389" si="4442">CM389-CM388</f>
        <v>21</v>
      </c>
      <c r="BA389">
        <f t="shared" ref="BA389" si="4443">CD389-CD388</f>
        <v>76</v>
      </c>
      <c r="BB389">
        <f t="shared" ref="BB389" si="4444">CE389-CE388</f>
        <v>1</v>
      </c>
      <c r="BC389">
        <f t="shared" ref="BC389" si="4445">AX389/AW389</f>
        <v>2.4390243902439025E-2</v>
      </c>
      <c r="BD389">
        <f t="shared" ref="BD389" si="4446">AZ389/AY389</f>
        <v>4.1015625E-2</v>
      </c>
      <c r="BE389">
        <f t="shared" si="3674"/>
        <v>1.3157894736842105E-2</v>
      </c>
      <c r="BF389">
        <f t="shared" ref="BF389" si="4447">SUM(AU383:AU389)/SUM(AT383:AT389)</f>
        <v>4.5569320135143143E-2</v>
      </c>
      <c r="BG389">
        <f t="shared" ref="BG389" si="4448">SUM(AU376:AU389)/SUM(AT376:AT389)</f>
        <v>4.5506996795941917E-2</v>
      </c>
      <c r="BH389">
        <f t="shared" ref="BH389" si="4449">SUM(AX383:AX389)/SUM(AW383:AW389)</f>
        <v>2.361111111111111E-2</v>
      </c>
      <c r="BI389">
        <f t="shared" ref="BI389" si="4450">SUM(AZ383:AZ389)/SUM(AY383:AY389)</f>
        <v>3.6819306930693067E-2</v>
      </c>
      <c r="BJ389">
        <f t="shared" ref="BJ389" si="4451">SUM(BB383:BB389)/SUM(BA383:BA389)</f>
        <v>1.9230769230769232E-2</v>
      </c>
      <c r="BN389" s="20">
        <v>4560277</v>
      </c>
      <c r="BO389" s="20">
        <v>384599</v>
      </c>
      <c r="BP389" s="20">
        <v>1389582</v>
      </c>
      <c r="BQ389" s="20">
        <v>271102</v>
      </c>
      <c r="BR389" s="20">
        <v>294313</v>
      </c>
      <c r="BS389" s="20">
        <v>61533</v>
      </c>
      <c r="BT389" s="21">
        <f t="shared" si="3960"/>
        <v>1660684</v>
      </c>
      <c r="BU389" s="21">
        <f t="shared" si="2991"/>
        <v>355846</v>
      </c>
      <c r="BV389" s="20">
        <v>37487</v>
      </c>
      <c r="BW389" s="20">
        <v>2916</v>
      </c>
      <c r="BX389" s="20">
        <v>9094</v>
      </c>
      <c r="BY389" s="20">
        <v>3156</v>
      </c>
      <c r="BZ389" s="20">
        <v>2142</v>
      </c>
      <c r="CA389" s="20">
        <v>637</v>
      </c>
      <c r="CB389" s="21">
        <f t="shared" si="3961"/>
        <v>12250</v>
      </c>
      <c r="CC389" s="21">
        <f t="shared" si="2993"/>
        <v>2779</v>
      </c>
      <c r="CD389" s="20">
        <v>28308</v>
      </c>
      <c r="CE389" s="20">
        <v>1705</v>
      </c>
      <c r="CF389" s="20">
        <v>5247</v>
      </c>
      <c r="CG389" s="20">
        <v>1760</v>
      </c>
      <c r="CH389" s="20">
        <v>1168</v>
      </c>
      <c r="CI389" s="20">
        <v>449</v>
      </c>
      <c r="CJ389" s="21">
        <f t="shared" si="3962"/>
        <v>7007</v>
      </c>
      <c r="CK389" s="21">
        <f t="shared" si="2995"/>
        <v>1617</v>
      </c>
      <c r="CL389" s="20">
        <v>204710</v>
      </c>
      <c r="CM389" s="20">
        <v>16827</v>
      </c>
      <c r="CN389" s="20">
        <v>64905</v>
      </c>
      <c r="CO389" s="20">
        <v>5097</v>
      </c>
      <c r="CP389" s="20">
        <v>14612</v>
      </c>
      <c r="CQ389" s="20">
        <v>815</v>
      </c>
      <c r="CR389" s="21">
        <f t="shared" si="3963"/>
        <v>70002</v>
      </c>
      <c r="CS389" s="21">
        <f t="shared" si="2997"/>
        <v>15427</v>
      </c>
    </row>
    <row r="390" spans="1:97" x14ac:dyDescent="0.35">
      <c r="A390" s="14">
        <f t="shared" si="2761"/>
        <v>44296</v>
      </c>
      <c r="B390" s="9">
        <f t="shared" si="3928"/>
        <v>1663690</v>
      </c>
      <c r="C390">
        <f t="shared" ref="C390" si="4452">BU390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453">-(J390-J389)+L390</f>
        <v>13</v>
      </c>
      <c r="N390" s="7">
        <f t="shared" ref="N390" si="4454">B390-C390</f>
        <v>1307229</v>
      </c>
      <c r="O390" s="4">
        <f t="shared" ref="O390" si="4455">C390/B390</f>
        <v>0.214259267050953</v>
      </c>
      <c r="R390">
        <f t="shared" ref="R390" si="4456">C390-C389</f>
        <v>615</v>
      </c>
      <c r="S390">
        <f t="shared" ref="S390" si="4457">N390-N389</f>
        <v>2391</v>
      </c>
      <c r="T390" s="8">
        <f t="shared" ref="T390" si="4458">R390/V390</f>
        <v>0.20459081836327345</v>
      </c>
      <c r="U390" s="8">
        <f t="shared" ref="U390" si="4459">SUM(R384:R390)/SUM(V384:V390)</f>
        <v>0.21154849556496028</v>
      </c>
      <c r="V390">
        <f t="shared" ref="V390" si="4460">B390-B389</f>
        <v>3006</v>
      </c>
      <c r="W390">
        <f t="shared" ref="W390" si="4461">C390-D390-E390</f>
        <v>13038</v>
      </c>
      <c r="X390" s="3">
        <f t="shared" ref="X390" si="4462">F390/W390</f>
        <v>1.672035588280411E-2</v>
      </c>
      <c r="Y390">
        <f t="shared" ref="Y390" si="4463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464">Z390-AC390-AF390</f>
        <v>48</v>
      </c>
      <c r="AJ390">
        <f t="shared" ref="AJ390" si="4465">AA390-AD390-AG390</f>
        <v>23</v>
      </c>
      <c r="AK390">
        <f t="shared" ref="AK390" si="4466">AB390-AE390-AH390</f>
        <v>338</v>
      </c>
      <c r="AL390">
        <v>2</v>
      </c>
      <c r="AM390">
        <v>2</v>
      </c>
      <c r="AN390">
        <v>14</v>
      </c>
      <c r="AT390">
        <f t="shared" ref="AT390" si="4467">BN390-BN389</f>
        <v>14684</v>
      </c>
      <c r="AU390">
        <f t="shared" ref="AU390" si="4468">BO390-BO389</f>
        <v>675</v>
      </c>
      <c r="AV390">
        <f t="shared" ref="AV390" si="4469">AU390/AT390</f>
        <v>4.596840098065922E-2</v>
      </c>
      <c r="AW390">
        <f t="shared" ref="AW390" si="4470">BV390-BV389</f>
        <v>113</v>
      </c>
      <c r="AX390">
        <f t="shared" ref="AX390" si="4471">BW390-BW389</f>
        <v>2</v>
      </c>
      <c r="AY390">
        <f t="shared" ref="AY390" si="4472">CL390-CL389</f>
        <v>672</v>
      </c>
      <c r="AZ390">
        <f t="shared" ref="AZ390" si="4473">CM390-CM389</f>
        <v>23</v>
      </c>
      <c r="BA390">
        <f t="shared" ref="BA390" si="4474">CD390-CD389</f>
        <v>121</v>
      </c>
      <c r="BB390">
        <f t="shared" ref="BB390" si="4475">CE390-CE389</f>
        <v>1</v>
      </c>
      <c r="BC390">
        <f t="shared" ref="BC390" si="4476">AX390/AW390</f>
        <v>1.7699115044247787E-2</v>
      </c>
      <c r="BD390">
        <f t="shared" ref="BD390" si="4477">AZ390/AY390</f>
        <v>3.4226190476190479E-2</v>
      </c>
      <c r="BE390">
        <f t="shared" si="3674"/>
        <v>8.2644628099173556E-3</v>
      </c>
      <c r="BF390">
        <f t="shared" ref="BF390" si="4478">SUM(AU384:AU390)/SUM(AT384:AT390)</f>
        <v>4.5326660978253351E-2</v>
      </c>
      <c r="BG390">
        <f t="shared" ref="BG390" si="4479">SUM(AU377:AU390)/SUM(AT377:AT390)</f>
        <v>4.5736605583626327E-2</v>
      </c>
      <c r="BH390">
        <f t="shared" ref="BH390" si="4480">SUM(AX384:AX390)/SUM(AW384:AW390)</f>
        <v>2.34375E-2</v>
      </c>
      <c r="BI390">
        <f t="shared" ref="BI390" si="4481">SUM(AZ384:AZ390)/SUM(AY384:AY390)</f>
        <v>3.7433155080213901E-2</v>
      </c>
      <c r="BJ390">
        <f t="shared" ref="BJ390" si="4482">SUM(BB384:BB390)/SUM(BA384:BA390)</f>
        <v>1.0126582278481013E-2</v>
      </c>
      <c r="BN390" s="20">
        <v>4574961</v>
      </c>
      <c r="BO390" s="20">
        <v>385274</v>
      </c>
      <c r="BP390" s="20">
        <v>1391713</v>
      </c>
      <c r="BQ390" s="20">
        <v>271977</v>
      </c>
      <c r="BR390" s="20">
        <v>294749</v>
      </c>
      <c r="BS390" s="20">
        <v>61712</v>
      </c>
      <c r="BT390" s="21">
        <f t="shared" si="3960"/>
        <v>1663690</v>
      </c>
      <c r="BU390" s="21">
        <f t="shared" si="2991"/>
        <v>356461</v>
      </c>
      <c r="BV390" s="20">
        <v>37600</v>
      </c>
      <c r="BW390" s="20">
        <v>2918</v>
      </c>
      <c r="BX390" s="20">
        <v>9106</v>
      </c>
      <c r="BY390" s="20">
        <v>3163</v>
      </c>
      <c r="BZ390" s="20">
        <v>2144</v>
      </c>
      <c r="CA390" s="20">
        <v>638</v>
      </c>
      <c r="CB390" s="21">
        <f t="shared" si="3961"/>
        <v>12269</v>
      </c>
      <c r="CC390" s="21">
        <f t="shared" si="2993"/>
        <v>2782</v>
      </c>
      <c r="CD390" s="20">
        <v>28429</v>
      </c>
      <c r="CE390" s="20">
        <v>1706</v>
      </c>
      <c r="CF390" s="20">
        <v>5290</v>
      </c>
      <c r="CG390" s="20">
        <v>1734</v>
      </c>
      <c r="CH390" s="20">
        <v>1168</v>
      </c>
      <c r="CI390" s="20">
        <v>450</v>
      </c>
      <c r="CJ390" s="21">
        <f t="shared" si="3962"/>
        <v>7024</v>
      </c>
      <c r="CK390" s="21">
        <f t="shared" si="2995"/>
        <v>1618</v>
      </c>
      <c r="CL390" s="20">
        <v>205382</v>
      </c>
      <c r="CM390" s="20">
        <v>16850</v>
      </c>
      <c r="CN390" s="20">
        <v>65024</v>
      </c>
      <c r="CO390" s="20">
        <v>5094</v>
      </c>
      <c r="CP390" s="20">
        <v>14628</v>
      </c>
      <c r="CQ390" s="20">
        <v>818</v>
      </c>
      <c r="CR390" s="21">
        <f t="shared" si="3963"/>
        <v>70118</v>
      </c>
      <c r="CS390" s="21">
        <f t="shared" si="2997"/>
        <v>15446</v>
      </c>
    </row>
    <row r="391" spans="1:97" x14ac:dyDescent="0.35">
      <c r="A391" s="14">
        <f t="shared" si="2761"/>
        <v>44297</v>
      </c>
      <c r="B391" s="9">
        <f t="shared" si="3928"/>
        <v>1665599</v>
      </c>
      <c r="C391">
        <f t="shared" ref="C391" si="4483">BU391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484">-(J391-J390)+L391</f>
        <v>6</v>
      </c>
      <c r="N391" s="7">
        <f t="shared" ref="N391" si="4485">B391-C391</f>
        <v>1308706</v>
      </c>
      <c r="O391" s="4">
        <f t="shared" ref="O391" si="4486">C391/B391</f>
        <v>0.21427306332436558</v>
      </c>
      <c r="R391">
        <f t="shared" ref="R391" si="4487">C391-C390</f>
        <v>432</v>
      </c>
      <c r="S391">
        <f t="shared" ref="S391" si="4488">N391-N390</f>
        <v>1477</v>
      </c>
      <c r="T391" s="8">
        <f t="shared" ref="T391" si="4489">R391/V391</f>
        <v>0.22629649030906235</v>
      </c>
      <c r="U391" s="8">
        <f t="shared" ref="U391" si="4490">SUM(R385:R391)/SUM(V385:V391)</f>
        <v>0.21084859337993184</v>
      </c>
      <c r="V391">
        <f t="shared" ref="V391" si="4491">B391-B390</f>
        <v>1909</v>
      </c>
      <c r="W391">
        <f t="shared" ref="W391" si="4492">C391-D391-E391</f>
        <v>13264</v>
      </c>
      <c r="X391" s="3">
        <f t="shared" ref="X391" si="4493">F391/W391</f>
        <v>1.5983112183353437E-2</v>
      </c>
      <c r="Y391">
        <f t="shared" ref="Y391" si="4494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495">Z391-AC391-AF391</f>
        <v>50</v>
      </c>
      <c r="AJ391">
        <f t="shared" ref="AJ391" si="4496">AA391-AD391-AG391</f>
        <v>24</v>
      </c>
      <c r="AK391">
        <f t="shared" ref="AK391" si="4497">AB391-AE391-AH391</f>
        <v>353</v>
      </c>
      <c r="AL391">
        <v>2</v>
      </c>
      <c r="AM391">
        <v>2</v>
      </c>
      <c r="AN391">
        <v>14</v>
      </c>
      <c r="AT391">
        <f t="shared" ref="AT391" si="4498">BN391-BN390</f>
        <v>7141</v>
      </c>
      <c r="AU391">
        <f t="shared" ref="AU391" si="4499">BO391-BO390</f>
        <v>478</v>
      </c>
      <c r="AV391">
        <f t="shared" ref="AV391" si="4500">AU391/AT391</f>
        <v>6.6937403724968494E-2</v>
      </c>
      <c r="AW391">
        <f t="shared" ref="AW391" si="4501">BV391-BV390</f>
        <v>22</v>
      </c>
      <c r="AX391">
        <f t="shared" ref="AX391" si="4502">BW391-BW390</f>
        <v>-1</v>
      </c>
      <c r="AY391">
        <f t="shared" ref="AY391" si="4503">CL391-CL390</f>
        <v>193</v>
      </c>
      <c r="AZ391">
        <f t="shared" ref="AZ391" si="4504">CM391-CM390</f>
        <v>20</v>
      </c>
      <c r="BA391">
        <f t="shared" ref="BA391" si="4505">CD391-CD390</f>
        <v>18</v>
      </c>
      <c r="BB391">
        <f t="shared" ref="BB391" si="4506">CE391-CE390</f>
        <v>0</v>
      </c>
      <c r="BC391">
        <f t="shared" ref="BC391" si="4507">AX391/AW391</f>
        <v>-4.5454545454545456E-2</v>
      </c>
      <c r="BD391">
        <f t="shared" ref="BD391" si="4508">AZ391/AY391</f>
        <v>0.10362694300518134</v>
      </c>
      <c r="BE391">
        <f t="shared" si="3674"/>
        <v>0</v>
      </c>
      <c r="BF391">
        <f t="shared" ref="BF391" si="4509">SUM(AU385:AU391)/SUM(AT385:AT391)</f>
        <v>4.535204786010124E-2</v>
      </c>
      <c r="BG391">
        <f t="shared" ref="BG391" si="4510">SUM(AU378:AU391)/SUM(AT378:AT391)</f>
        <v>4.5690357101314409E-2</v>
      </c>
      <c r="BH391">
        <f t="shared" ref="BH391" si="4511">SUM(AX385:AX391)/SUM(AW385:AW391)</f>
        <v>2.2164276401564539E-2</v>
      </c>
      <c r="BI391">
        <f t="shared" ref="BI391" si="4512">SUM(AZ385:AZ391)/SUM(AY385:AY391)</f>
        <v>3.8143110585452396E-2</v>
      </c>
      <c r="BJ391">
        <f t="shared" ref="BJ391" si="4513">SUM(BB385:BB391)/SUM(BA385:BA391)</f>
        <v>7.556675062972292E-3</v>
      </c>
      <c r="BN391" s="20">
        <v>4582102</v>
      </c>
      <c r="BO391" s="20">
        <v>385752</v>
      </c>
      <c r="BP391" s="20">
        <v>1393385</v>
      </c>
      <c r="BQ391" s="20">
        <v>272214</v>
      </c>
      <c r="BR391" s="20">
        <v>295106</v>
      </c>
      <c r="BS391" s="20">
        <v>61787</v>
      </c>
      <c r="BT391" s="21">
        <f t="shared" si="3960"/>
        <v>1665599</v>
      </c>
      <c r="BU391" s="21">
        <f t="shared" si="2991"/>
        <v>356893</v>
      </c>
      <c r="BV391" s="20">
        <v>37622</v>
      </c>
      <c r="BW391" s="20">
        <v>2917</v>
      </c>
      <c r="BX391" s="20">
        <v>9118</v>
      </c>
      <c r="BY391" s="20">
        <v>3160</v>
      </c>
      <c r="BZ391" s="20">
        <v>2144</v>
      </c>
      <c r="CA391" s="20">
        <v>638</v>
      </c>
      <c r="CB391" s="21">
        <f t="shared" si="3961"/>
        <v>12278</v>
      </c>
      <c r="CC391" s="21">
        <f t="shared" si="2993"/>
        <v>2782</v>
      </c>
      <c r="CD391" s="20">
        <v>28447</v>
      </c>
      <c r="CE391" s="20">
        <v>1706</v>
      </c>
      <c r="CF391" s="20">
        <v>5295</v>
      </c>
      <c r="CG391" s="20">
        <v>1736</v>
      </c>
      <c r="CH391" s="20">
        <v>1168</v>
      </c>
      <c r="CI391" s="20">
        <v>450</v>
      </c>
      <c r="CJ391" s="21">
        <f t="shared" si="3962"/>
        <v>7031</v>
      </c>
      <c r="CK391" s="21">
        <f t="shared" si="2995"/>
        <v>1618</v>
      </c>
      <c r="CL391" s="20">
        <v>205575</v>
      </c>
      <c r="CM391" s="20">
        <v>16870</v>
      </c>
      <c r="CN391" s="20">
        <v>65067</v>
      </c>
      <c r="CO391" s="20">
        <v>5100</v>
      </c>
      <c r="CP391" s="20">
        <v>14639</v>
      </c>
      <c r="CQ391" s="20">
        <v>820</v>
      </c>
      <c r="CR391" s="21">
        <f t="shared" si="3963"/>
        <v>70167</v>
      </c>
      <c r="CS391" s="21">
        <f t="shared" si="2997"/>
        <v>15459</v>
      </c>
    </row>
    <row r="392" spans="1:97" x14ac:dyDescent="0.35">
      <c r="A392" s="14">
        <f t="shared" si="2761"/>
        <v>44298</v>
      </c>
      <c r="B392" s="9">
        <f t="shared" si="3928"/>
        <v>1666618</v>
      </c>
      <c r="C392">
        <f t="shared" ref="C392" si="4514">BU392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515">-(J392-J391)+L392</f>
        <v>4</v>
      </c>
      <c r="N392" s="7">
        <f t="shared" ref="N392" si="4516">B392-C392</f>
        <v>1309581</v>
      </c>
      <c r="O392" s="4">
        <f t="shared" ref="O392" si="4517">C392/B392</f>
        <v>0.21422845547089975</v>
      </c>
      <c r="R392">
        <f t="shared" ref="R392" si="4518">C392-C391</f>
        <v>144</v>
      </c>
      <c r="S392">
        <f t="shared" ref="S392" si="4519">N392-N391</f>
        <v>875</v>
      </c>
      <c r="T392" s="8">
        <f t="shared" ref="T392" si="4520">R392/V392</f>
        <v>0.14131501472031405</v>
      </c>
      <c r="U392" s="8">
        <f t="shared" ref="U392" si="4521">SUM(R386:R392)/SUM(V386:V392)</f>
        <v>0.20904505330734838</v>
      </c>
      <c r="V392">
        <f t="shared" ref="V392" si="4522">B392-B391</f>
        <v>1019</v>
      </c>
      <c r="W392">
        <f t="shared" ref="W392" si="4523">C392-D392-E392</f>
        <v>13212</v>
      </c>
      <c r="X392" s="3">
        <f t="shared" ref="X392" si="4524">F392/W392</f>
        <v>1.6651528913109295E-2</v>
      </c>
      <c r="Y392">
        <f t="shared" ref="Y392" si="4525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526">Z392-AC392-AF392</f>
        <v>48</v>
      </c>
      <c r="AJ392">
        <f t="shared" ref="AJ392" si="4527">AA392-AD392-AG392</f>
        <v>24</v>
      </c>
      <c r="AK392">
        <f t="shared" ref="AK392" si="4528">AB392-AE392-AH392</f>
        <v>361</v>
      </c>
      <c r="AL392">
        <v>2</v>
      </c>
      <c r="AM392">
        <v>2</v>
      </c>
      <c r="AN392">
        <v>14</v>
      </c>
      <c r="AT392">
        <f t="shared" ref="AT392" si="4529">BN392-BN391</f>
        <v>4351</v>
      </c>
      <c r="AU392">
        <f t="shared" ref="AU392" si="4530">BO392-BO391</f>
        <v>144</v>
      </c>
      <c r="AV392">
        <f t="shared" ref="AV392" si="4531">AU392/AT392</f>
        <v>3.3095840036773155E-2</v>
      </c>
      <c r="AW392">
        <f t="shared" ref="AW392" si="4532">BV392-BV391</f>
        <v>15</v>
      </c>
      <c r="AX392">
        <f t="shared" ref="AX392" si="4533">BW392-BW391</f>
        <v>-3</v>
      </c>
      <c r="AY392">
        <f t="shared" ref="AY392" si="4534">CL392-CL391</f>
        <v>103</v>
      </c>
      <c r="AZ392">
        <f t="shared" ref="AZ392" si="4535">CM392-CM391</f>
        <v>4</v>
      </c>
      <c r="BA392">
        <f t="shared" ref="BA392" si="4536">CD392-CD391</f>
        <v>6</v>
      </c>
      <c r="BB392">
        <f t="shared" ref="BB392" si="4537">CE392-CE391</f>
        <v>0</v>
      </c>
      <c r="BC392">
        <f t="shared" ref="BC392" si="4538">AX392/AW392</f>
        <v>-0.2</v>
      </c>
      <c r="BD392">
        <f t="shared" ref="BD392" si="4539">AZ392/AY392</f>
        <v>3.8834951456310676E-2</v>
      </c>
      <c r="BE392">
        <f t="shared" si="3674"/>
        <v>0</v>
      </c>
      <c r="BF392">
        <f t="shared" ref="BF392" si="4540">SUM(AU386:AU392)/SUM(AT386:AT392)</f>
        <v>4.4343634817125034E-2</v>
      </c>
      <c r="BG392">
        <f t="shared" ref="BG392" si="4541">SUM(AU379:AU392)/SUM(AT379:AT392)</f>
        <v>4.5447170489181454E-2</v>
      </c>
      <c r="BH392">
        <f t="shared" ref="BH392" si="4542">SUM(AX386:AX392)/SUM(AW386:AW392)</f>
        <v>1.2936610608020699E-2</v>
      </c>
      <c r="BI392">
        <f t="shared" ref="BI392" si="4543">SUM(AZ386:AZ392)/SUM(AY386:AY392)</f>
        <v>4.0464147575126452E-2</v>
      </c>
      <c r="BJ392">
        <f t="shared" ref="BJ392" si="4544">SUM(BB386:BB392)/SUM(BA386:BA392)</f>
        <v>1.2755102040816327E-2</v>
      </c>
      <c r="BN392" s="20">
        <v>4586453</v>
      </c>
      <c r="BO392" s="20">
        <v>385896</v>
      </c>
      <c r="BP392" s="20">
        <v>1394346</v>
      </c>
      <c r="BQ392" s="20">
        <v>272272</v>
      </c>
      <c r="BR392" s="20">
        <v>295237</v>
      </c>
      <c r="BS392" s="20">
        <v>61800</v>
      </c>
      <c r="BT392" s="21">
        <f t="shared" si="3960"/>
        <v>1666618</v>
      </c>
      <c r="BU392" s="21">
        <f t="shared" si="2991"/>
        <v>357037</v>
      </c>
      <c r="BV392" s="20">
        <v>37637</v>
      </c>
      <c r="BW392" s="20">
        <v>2914</v>
      </c>
      <c r="BX392" s="20">
        <v>9126</v>
      </c>
      <c r="BY392" s="20">
        <v>3159</v>
      </c>
      <c r="BZ392" s="20">
        <v>2144</v>
      </c>
      <c r="CA392" s="20">
        <v>638</v>
      </c>
      <c r="CB392" s="21">
        <f t="shared" si="3961"/>
        <v>12285</v>
      </c>
      <c r="CC392" s="21">
        <f t="shared" si="2993"/>
        <v>2782</v>
      </c>
      <c r="CD392" s="20">
        <v>28453</v>
      </c>
      <c r="CE392" s="20">
        <v>1706</v>
      </c>
      <c r="CF392" s="20">
        <v>5296</v>
      </c>
      <c r="CG392" s="20">
        <v>1736</v>
      </c>
      <c r="CH392" s="20">
        <v>1168</v>
      </c>
      <c r="CI392" s="20">
        <v>450</v>
      </c>
      <c r="CJ392" s="21">
        <f t="shared" si="3962"/>
        <v>7032</v>
      </c>
      <c r="CK392" s="21">
        <f t="shared" si="2995"/>
        <v>1618</v>
      </c>
      <c r="CL392" s="20">
        <v>205678</v>
      </c>
      <c r="CM392" s="20">
        <v>16874</v>
      </c>
      <c r="CN392" s="20">
        <v>65097</v>
      </c>
      <c r="CO392" s="20">
        <v>5102</v>
      </c>
      <c r="CP392" s="20">
        <v>14647</v>
      </c>
      <c r="CQ392" s="20">
        <v>820</v>
      </c>
      <c r="CR392" s="21">
        <f t="shared" si="3963"/>
        <v>70199</v>
      </c>
      <c r="CS392" s="21">
        <f t="shared" si="2997"/>
        <v>15467</v>
      </c>
    </row>
    <row r="393" spans="1:97" x14ac:dyDescent="0.35">
      <c r="A393" s="14">
        <f t="shared" si="2761"/>
        <v>44299</v>
      </c>
      <c r="B393" s="9">
        <f t="shared" si="3928"/>
        <v>1668910</v>
      </c>
      <c r="C393">
        <f t="shared" ref="C393" si="4545">BU393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546">-(J393-J392)+L393</f>
        <v>7</v>
      </c>
      <c r="N393" s="7">
        <f t="shared" ref="N393" si="4547">B393-C393</f>
        <v>1311426</v>
      </c>
      <c r="O393" s="4">
        <f t="shared" ref="O393" si="4548">C393/B393</f>
        <v>0.21420208399494281</v>
      </c>
      <c r="R393">
        <f t="shared" ref="R393" si="4549">C393-C392</f>
        <v>447</v>
      </c>
      <c r="S393">
        <f t="shared" ref="S393" si="4550">N393-N392</f>
        <v>1845</v>
      </c>
      <c r="T393" s="8">
        <f t="shared" ref="T393" si="4551">R393/V393</f>
        <v>0.1950261780104712</v>
      </c>
      <c r="U393" s="8">
        <f t="shared" ref="U393" si="4552">SUM(R387:R393)/SUM(V387:V393)</f>
        <v>0.20805018295870362</v>
      </c>
      <c r="V393">
        <f t="shared" ref="V393" si="4553">B393-B392</f>
        <v>2292</v>
      </c>
      <c r="W393">
        <f t="shared" ref="W393" si="4554">C393-D393-E393</f>
        <v>13043</v>
      </c>
      <c r="X393" s="3">
        <f t="shared" ref="X393" si="4555">F393/W393</f>
        <v>1.686728513378824E-2</v>
      </c>
      <c r="Y393">
        <f t="shared" ref="Y393" si="4556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557">Z393-AC393-AF393</f>
        <v>46</v>
      </c>
      <c r="AJ393">
        <f t="shared" ref="AJ393" si="4558">AA393-AD393-AG393</f>
        <v>23</v>
      </c>
      <c r="AK393">
        <f t="shared" ref="AK393" si="4559">AB393-AE393-AH393</f>
        <v>361</v>
      </c>
      <c r="AL393">
        <v>1</v>
      </c>
      <c r="AM393">
        <v>1</v>
      </c>
      <c r="AN393">
        <v>9</v>
      </c>
      <c r="AT393">
        <f t="shared" ref="AT393" si="4560">BN393-BN392</f>
        <v>15606</v>
      </c>
      <c r="AU393">
        <f t="shared" ref="AU393" si="4561">BO393-BO392</f>
        <v>573</v>
      </c>
      <c r="AV393">
        <f t="shared" ref="AV393" si="4562">AU393/AT393</f>
        <v>3.6716647443291041E-2</v>
      </c>
      <c r="AW393">
        <f t="shared" ref="AW393" si="4563">BV393-BV392</f>
        <v>171</v>
      </c>
      <c r="AX393">
        <f t="shared" ref="AX393" si="4564">BW393-BW392</f>
        <v>0</v>
      </c>
      <c r="AY393">
        <f t="shared" ref="AY393" si="4565">CL393-CL392</f>
        <v>567</v>
      </c>
      <c r="AZ393">
        <f t="shared" ref="AZ393" si="4566">CM393-CM392</f>
        <v>11</v>
      </c>
      <c r="BA393">
        <f t="shared" ref="BA393" si="4567">CD393-CD392</f>
        <v>47</v>
      </c>
      <c r="BB393">
        <f t="shared" ref="BB393" si="4568">CE393-CE392</f>
        <v>6</v>
      </c>
      <c r="BC393">
        <f t="shared" ref="BC393" si="4569">AX393/AW393</f>
        <v>0</v>
      </c>
      <c r="BD393">
        <f t="shared" ref="BD393" si="4570">AZ393/AY393</f>
        <v>1.9400352733686066E-2</v>
      </c>
      <c r="BE393">
        <f t="shared" si="3674"/>
        <v>0.1276595744680851</v>
      </c>
      <c r="BF393">
        <f t="shared" ref="BF393" si="4571">SUM(AU387:AU393)/SUM(AT387:AT393)</f>
        <v>4.4103956120377326E-2</v>
      </c>
      <c r="BG393">
        <f t="shared" ref="BG393" si="4572">SUM(AU380:AU393)/SUM(AT380:AT393)</f>
        <v>4.5059720823140019E-2</v>
      </c>
      <c r="BH393">
        <f t="shared" ref="BH393" si="4573">SUM(AX387:AX393)/SUM(AW387:AW393)</f>
        <v>1.0882708585247884E-2</v>
      </c>
      <c r="BI393">
        <f t="shared" ref="BI393" si="4574">SUM(AZ387:AZ393)/SUM(AY387:AY393)</f>
        <v>3.7691401648998819E-2</v>
      </c>
      <c r="BJ393">
        <f t="shared" ref="BJ393" si="4575">SUM(BB387:BB393)/SUM(BA387:BA393)</f>
        <v>2.7638190954773871E-2</v>
      </c>
      <c r="BN393" s="20">
        <v>4602059</v>
      </c>
      <c r="BO393" s="20">
        <v>386469</v>
      </c>
      <c r="BP393" s="20">
        <v>1395818</v>
      </c>
      <c r="BQ393" s="20">
        <v>273092</v>
      </c>
      <c r="BR393" s="20">
        <v>295522</v>
      </c>
      <c r="BS393" s="20">
        <v>61962</v>
      </c>
      <c r="BT393" s="21">
        <f t="shared" si="3960"/>
        <v>1668910</v>
      </c>
      <c r="BU393" s="21">
        <f t="shared" si="2991"/>
        <v>357484</v>
      </c>
      <c r="BV393" s="20">
        <v>37808</v>
      </c>
      <c r="BW393" s="20">
        <v>2914</v>
      </c>
      <c r="BX393" s="20">
        <v>9140</v>
      </c>
      <c r="BY393" s="20">
        <v>3164</v>
      </c>
      <c r="BZ393" s="20">
        <v>2144</v>
      </c>
      <c r="CA393" s="20">
        <v>638</v>
      </c>
      <c r="CB393" s="21">
        <f t="shared" si="3961"/>
        <v>12304</v>
      </c>
      <c r="CC393" s="21">
        <f t="shared" si="2993"/>
        <v>2782</v>
      </c>
      <c r="CD393" s="20">
        <v>28500</v>
      </c>
      <c r="CE393" s="20">
        <v>1712</v>
      </c>
      <c r="CF393" s="20">
        <v>5306</v>
      </c>
      <c r="CG393" s="20">
        <v>1736</v>
      </c>
      <c r="CH393" s="20">
        <v>1169</v>
      </c>
      <c r="CI393" s="20">
        <v>450</v>
      </c>
      <c r="CJ393" s="21">
        <f t="shared" si="3962"/>
        <v>7042</v>
      </c>
      <c r="CK393" s="21">
        <f t="shared" si="2995"/>
        <v>1619</v>
      </c>
      <c r="CL393" s="20">
        <v>206245</v>
      </c>
      <c r="CM393" s="20">
        <v>16885</v>
      </c>
      <c r="CN393" s="20">
        <v>65187</v>
      </c>
      <c r="CO393" s="20">
        <v>5110</v>
      </c>
      <c r="CP393" s="20">
        <v>14654</v>
      </c>
      <c r="CQ393" s="20">
        <v>820</v>
      </c>
      <c r="CR393" s="21">
        <f t="shared" si="3963"/>
        <v>70297</v>
      </c>
      <c r="CS393" s="21">
        <f t="shared" si="2997"/>
        <v>15474</v>
      </c>
    </row>
    <row r="394" spans="1:97" x14ac:dyDescent="0.35">
      <c r="A394" s="14">
        <f t="shared" si="2761"/>
        <v>44300</v>
      </c>
      <c r="B394" s="9">
        <f t="shared" si="3928"/>
        <v>1671928</v>
      </c>
      <c r="C394">
        <f t="shared" ref="C394" si="4576">BU394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577">-(J394-J393)+L394</f>
        <v>10</v>
      </c>
      <c r="N394" s="7">
        <f t="shared" ref="N394" si="4578">B394-C394</f>
        <v>1313789</v>
      </c>
      <c r="O394" s="4">
        <f t="shared" ref="O394" si="4579">C394/B394</f>
        <v>0.21420719074027111</v>
      </c>
      <c r="R394">
        <f t="shared" ref="R394" si="4580">C394-C393</f>
        <v>655</v>
      </c>
      <c r="S394">
        <f t="shared" ref="S394" si="4581">N394-N393</f>
        <v>2363</v>
      </c>
      <c r="T394" s="8">
        <f t="shared" ref="T394" si="4582">R394/V394</f>
        <v>0.21703114645460569</v>
      </c>
      <c r="U394" s="8">
        <f t="shared" ref="U394" si="4583">SUM(R388:R394)/SUM(V388:V394)</f>
        <v>0.2064978952985119</v>
      </c>
      <c r="V394">
        <f t="shared" ref="V394" si="4584">B394-B393</f>
        <v>3018</v>
      </c>
      <c r="W394">
        <f t="shared" ref="W394" si="4585">C394-D394-E394</f>
        <v>13705</v>
      </c>
      <c r="X394" s="3">
        <f t="shared" ref="X394" si="4586">F394/W394</f>
        <v>1.5906603429405326E-2</v>
      </c>
      <c r="Y394">
        <f t="shared" ref="Y394" si="4587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588">Z394-AC394-AF394</f>
        <v>46</v>
      </c>
      <c r="AJ394">
        <f t="shared" ref="AJ394" si="4589">AA394-AD394-AG394</f>
        <v>25</v>
      </c>
      <c r="AK394">
        <f t="shared" ref="AK394" si="4590">AB394-AE394-AH394</f>
        <v>367</v>
      </c>
      <c r="AL394">
        <v>1</v>
      </c>
      <c r="AM394">
        <v>1</v>
      </c>
      <c r="AN394">
        <v>9</v>
      </c>
      <c r="AT394">
        <f t="shared" ref="AT394" si="4591">BN394-BN393</f>
        <v>16516</v>
      </c>
      <c r="AU394">
        <f t="shared" ref="AU394" si="4592">BO394-BO393</f>
        <v>733</v>
      </c>
      <c r="AV394">
        <f t="shared" ref="AV394" si="4593">AU394/AT394</f>
        <v>4.4381206103172678E-2</v>
      </c>
      <c r="AW394">
        <f t="shared" ref="AW394" si="4594">BV394-BV393</f>
        <v>117</v>
      </c>
      <c r="AX394">
        <f t="shared" ref="AX394" si="4595">BW394-BW393</f>
        <v>1</v>
      </c>
      <c r="AY394">
        <f t="shared" ref="AY394" si="4596">CL394-CL393</f>
        <v>546</v>
      </c>
      <c r="AZ394">
        <f t="shared" ref="AZ394" si="4597">CM394-CM393</f>
        <v>24</v>
      </c>
      <c r="BA394">
        <f t="shared" ref="BA394" si="4598">CD394-CD393</f>
        <v>61</v>
      </c>
      <c r="BB394">
        <f t="shared" ref="BB394" si="4599">CE394-CE393</f>
        <v>2</v>
      </c>
      <c r="BC394">
        <f t="shared" ref="BC394" si="4600">AX394/AW394</f>
        <v>8.5470085470085479E-3</v>
      </c>
      <c r="BD394">
        <f t="shared" ref="BD394" si="4601">AZ394/AY394</f>
        <v>4.3956043956043959E-2</v>
      </c>
      <c r="BE394">
        <f t="shared" si="3674"/>
        <v>3.2786885245901641E-2</v>
      </c>
      <c r="BF394">
        <f t="shared" ref="BF394" si="4602">SUM(AU388:AU394)/SUM(AT388:AT394)</f>
        <v>4.4391314842699342E-2</v>
      </c>
      <c r="BG394">
        <f t="shared" ref="BG394" si="4603">SUM(AU381:AU394)/SUM(AT381:AT394)</f>
        <v>4.5796744977242426E-2</v>
      </c>
      <c r="BH394">
        <f t="shared" ref="BH394" si="4604">SUM(AX388:AX394)/SUM(AW388:AW394)</f>
        <v>4.3859649122807015E-3</v>
      </c>
      <c r="BI394">
        <f t="shared" ref="BI394" si="4605">SUM(AZ388:AZ394)/SUM(AY388:AY394)</f>
        <v>3.9850560398505604E-2</v>
      </c>
      <c r="BJ394">
        <f t="shared" ref="BJ394" si="4606">SUM(BB388:BB394)/SUM(BA388:BA394)</f>
        <v>3.0379746835443037E-2</v>
      </c>
      <c r="BN394" s="20">
        <v>4618575</v>
      </c>
      <c r="BO394" s="20">
        <v>387202</v>
      </c>
      <c r="BP394" s="20">
        <v>1397806</v>
      </c>
      <c r="BQ394" s="20">
        <v>274122</v>
      </c>
      <c r="BR394" s="20">
        <v>296010</v>
      </c>
      <c r="BS394" s="20">
        <v>62129</v>
      </c>
      <c r="BT394" s="21">
        <f t="shared" si="3960"/>
        <v>1671928</v>
      </c>
      <c r="BU394" s="21">
        <f t="shared" si="2991"/>
        <v>358139</v>
      </c>
      <c r="BV394" s="20">
        <v>37925</v>
      </c>
      <c r="BW394" s="20">
        <v>2915</v>
      </c>
      <c r="BX394" s="20">
        <v>9148</v>
      </c>
      <c r="BY394" s="20">
        <v>3175</v>
      </c>
      <c r="BZ394" s="20">
        <v>2147</v>
      </c>
      <c r="CA394" s="20">
        <v>638</v>
      </c>
      <c r="CB394" s="21">
        <f t="shared" si="3961"/>
        <v>12323</v>
      </c>
      <c r="CC394" s="21">
        <f t="shared" si="2993"/>
        <v>2785</v>
      </c>
      <c r="CD394" s="20">
        <v>28561</v>
      </c>
      <c r="CE394" s="20">
        <v>1714</v>
      </c>
      <c r="CF394" s="20">
        <v>5305</v>
      </c>
      <c r="CG394" s="20">
        <v>1741</v>
      </c>
      <c r="CH394" s="20">
        <v>1170</v>
      </c>
      <c r="CI394" s="20">
        <v>453</v>
      </c>
      <c r="CJ394" s="21">
        <f t="shared" si="3962"/>
        <v>7046</v>
      </c>
      <c r="CK394" s="21">
        <f t="shared" si="2995"/>
        <v>1623</v>
      </c>
      <c r="CL394" s="20">
        <v>206791</v>
      </c>
      <c r="CM394" s="20">
        <v>16909</v>
      </c>
      <c r="CN394" s="20">
        <v>65279</v>
      </c>
      <c r="CO394" s="20">
        <v>5142</v>
      </c>
      <c r="CP394" s="20">
        <v>14669</v>
      </c>
      <c r="CQ394" s="20">
        <v>823</v>
      </c>
      <c r="CR394" s="21">
        <f t="shared" si="3963"/>
        <v>70421</v>
      </c>
      <c r="CS394" s="21">
        <f t="shared" si="2997"/>
        <v>15492</v>
      </c>
    </row>
    <row r="395" spans="1:97" x14ac:dyDescent="0.35">
      <c r="A395" s="14">
        <f t="shared" si="2761"/>
        <v>44301</v>
      </c>
      <c r="B395" s="9">
        <f t="shared" si="3928"/>
        <v>1674868</v>
      </c>
      <c r="C395">
        <f t="shared" ref="C395" si="4607">BU395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608">-(J395-J394)+L395</f>
        <v>4</v>
      </c>
      <c r="N395" s="7">
        <f t="shared" ref="N395" si="4609">B395-C395</f>
        <v>1316191</v>
      </c>
      <c r="O395" s="4">
        <f t="shared" ref="O395" si="4610">C395/B395</f>
        <v>0.21415239887561288</v>
      </c>
      <c r="R395">
        <f t="shared" ref="R395" si="4611">C395-C394</f>
        <v>538</v>
      </c>
      <c r="S395">
        <f t="shared" ref="S395" si="4612">N395-N394</f>
        <v>2402</v>
      </c>
      <c r="T395" s="8">
        <f t="shared" ref="T395" si="4613">R395/V395</f>
        <v>0.18299319727891156</v>
      </c>
      <c r="U395" s="8">
        <f t="shared" ref="U395" si="4614">SUM(R389:R395)/SUM(V389:V395)</f>
        <v>0.19971375752877332</v>
      </c>
      <c r="V395">
        <f t="shared" ref="V395" si="4615">B395-B394</f>
        <v>2940</v>
      </c>
      <c r="W395">
        <f t="shared" ref="W395" si="4616">C395-D395-E395</f>
        <v>13233</v>
      </c>
      <c r="X395" s="3">
        <f t="shared" ref="X395" si="4617">F395/W395</f>
        <v>1.6247260636288067E-2</v>
      </c>
      <c r="Y395">
        <f t="shared" ref="Y395" si="4618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619">Z395-AC395-AF395</f>
        <v>45</v>
      </c>
      <c r="AJ395">
        <f t="shared" ref="AJ395" si="4620">AA395-AD395-AG395</f>
        <v>24</v>
      </c>
      <c r="AK395">
        <f t="shared" ref="AK395" si="4621">AB395-AE395-AH395</f>
        <v>357</v>
      </c>
      <c r="AL395">
        <v>2</v>
      </c>
      <c r="AM395">
        <v>2</v>
      </c>
      <c r="AN395">
        <v>18</v>
      </c>
      <c r="AT395">
        <f t="shared" ref="AT395" si="4622">BN395-BN394</f>
        <v>15098</v>
      </c>
      <c r="AU395">
        <f t="shared" ref="AU395" si="4623">BO395-BO394</f>
        <v>603</v>
      </c>
      <c r="AV395">
        <f t="shared" ref="AV395" si="4624">AU395/AT395</f>
        <v>3.9939064776791627E-2</v>
      </c>
      <c r="AW395">
        <f t="shared" ref="AW395" si="4625">BV395-BV394</f>
        <v>108</v>
      </c>
      <c r="AX395">
        <f t="shared" ref="AX395" si="4626">BW395-BW394</f>
        <v>5</v>
      </c>
      <c r="AY395">
        <f t="shared" ref="AY395" si="4627">CL395-CL394</f>
        <v>631</v>
      </c>
      <c r="AZ395">
        <f t="shared" ref="AZ395" si="4628">CM395-CM394</f>
        <v>21</v>
      </c>
      <c r="BA395">
        <f t="shared" ref="BA395" si="4629">CD395-CD394</f>
        <v>164</v>
      </c>
      <c r="BB395">
        <f t="shared" ref="BB395" si="4630">CE395-CE394</f>
        <v>1</v>
      </c>
      <c r="BC395">
        <f t="shared" ref="BC395" si="4631">AX395/AW395</f>
        <v>4.6296296296296294E-2</v>
      </c>
      <c r="BD395">
        <f t="shared" ref="BD395" si="4632">AZ395/AY395</f>
        <v>3.328050713153724E-2</v>
      </c>
      <c r="BE395">
        <f t="shared" si="3674"/>
        <v>6.0975609756097563E-3</v>
      </c>
      <c r="BF395">
        <f t="shared" ref="BF395" si="4633">SUM(AU389:AU395)/SUM(AT389:AT395)</f>
        <v>4.3358971415451725E-2</v>
      </c>
      <c r="BG395">
        <f t="shared" ref="BG395" si="4634">SUM(AU382:AU395)/SUM(AT382:AT395)</f>
        <v>4.4674057289885896E-2</v>
      </c>
      <c r="BH395">
        <f t="shared" ref="BH395" si="4635">SUM(AX389:AX395)/SUM(AW389:AW395)</f>
        <v>1.0463378176382661E-2</v>
      </c>
      <c r="BI395">
        <f t="shared" ref="BI395" si="4636">SUM(AZ389:AZ395)/SUM(AY389:AY395)</f>
        <v>3.8461538461538464E-2</v>
      </c>
      <c r="BJ395">
        <f t="shared" ref="BJ395" si="4637">SUM(BB389:BB395)/SUM(BA389:BA395)</f>
        <v>2.231237322515213E-2</v>
      </c>
      <c r="BN395" s="20">
        <v>4633673</v>
      </c>
      <c r="BO395" s="20">
        <v>387805</v>
      </c>
      <c r="BP395" s="20">
        <v>1400057</v>
      </c>
      <c r="BQ395" s="20">
        <v>274811</v>
      </c>
      <c r="BR395" s="20">
        <v>296423</v>
      </c>
      <c r="BS395" s="20">
        <v>62254</v>
      </c>
      <c r="BT395" s="21">
        <f t="shared" si="3960"/>
        <v>1674868</v>
      </c>
      <c r="BU395" s="21">
        <f t="shared" si="2991"/>
        <v>358677</v>
      </c>
      <c r="BV395" s="20">
        <v>38033</v>
      </c>
      <c r="BW395" s="20">
        <v>2920</v>
      </c>
      <c r="BX395" s="20">
        <v>9161</v>
      </c>
      <c r="BY395" s="20">
        <v>3182</v>
      </c>
      <c r="BZ395" s="20">
        <v>2148</v>
      </c>
      <c r="CA395" s="20">
        <v>638</v>
      </c>
      <c r="CB395" s="21">
        <f t="shared" si="3961"/>
        <v>12343</v>
      </c>
      <c r="CC395" s="21">
        <f t="shared" si="2993"/>
        <v>2786</v>
      </c>
      <c r="CD395" s="20">
        <v>28725</v>
      </c>
      <c r="CE395" s="20">
        <v>1715</v>
      </c>
      <c r="CF395" s="20">
        <v>5321</v>
      </c>
      <c r="CG395" s="20">
        <v>1739</v>
      </c>
      <c r="CH395" s="20">
        <v>1171</v>
      </c>
      <c r="CI395" s="20">
        <v>453</v>
      </c>
      <c r="CJ395" s="21">
        <f t="shared" si="3962"/>
        <v>7060</v>
      </c>
      <c r="CK395" s="21">
        <f t="shared" si="2995"/>
        <v>1624</v>
      </c>
      <c r="CL395" s="20">
        <v>207422</v>
      </c>
      <c r="CM395" s="20">
        <v>16930</v>
      </c>
      <c r="CN395" s="20">
        <v>65391</v>
      </c>
      <c r="CO395" s="20">
        <v>5133</v>
      </c>
      <c r="CP395" s="20">
        <v>14686</v>
      </c>
      <c r="CQ395" s="20">
        <v>825</v>
      </c>
      <c r="CR395" s="21">
        <f t="shared" si="3963"/>
        <v>70524</v>
      </c>
      <c r="CS395" s="21">
        <f t="shared" si="2997"/>
        <v>15511</v>
      </c>
    </row>
    <row r="396" spans="1:97" x14ac:dyDescent="0.35">
      <c r="A396" s="14">
        <f t="shared" si="2761"/>
        <v>44302</v>
      </c>
      <c r="B396" s="9">
        <f t="shared" si="3928"/>
        <v>1677382</v>
      </c>
      <c r="C396">
        <f t="shared" ref="C396" si="4638">BU396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639">-(J396-J395)+L396</f>
        <v>5</v>
      </c>
      <c r="N396" s="7">
        <f t="shared" ref="N396" si="4640">B396-C396</f>
        <v>1318237</v>
      </c>
      <c r="O396" s="4">
        <f t="shared" ref="O396" si="4641">C396/B396</f>
        <v>0.21411044115174718</v>
      </c>
      <c r="R396">
        <f t="shared" ref="R396" si="4642">C396-C395</f>
        <v>468</v>
      </c>
      <c r="S396">
        <f t="shared" ref="S396" si="4643">N396-N395</f>
        <v>2046</v>
      </c>
      <c r="T396" s="8">
        <f t="shared" ref="T396" si="4644">R396/V396</f>
        <v>0.18615751789976134</v>
      </c>
      <c r="U396" s="8">
        <f t="shared" ref="U396" si="4645">SUM(R390:R396)/SUM(V390:V396)</f>
        <v>0.19756857108635764</v>
      </c>
      <c r="V396">
        <f t="shared" ref="V396" si="4646">B396-B395</f>
        <v>2514</v>
      </c>
      <c r="W396">
        <f t="shared" ref="W396" si="4647">C396-D396-E396</f>
        <v>13707</v>
      </c>
      <c r="X396" s="3">
        <f t="shared" ref="X396" si="4648">F396/W396</f>
        <v>1.6487925877288978E-2</v>
      </c>
      <c r="Y396">
        <f t="shared" ref="Y396" si="4649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650">Z396-AC396-AF396</f>
        <v>47</v>
      </c>
      <c r="AJ396">
        <f t="shared" ref="AJ396" si="4651">AA396-AD396-AG396</f>
        <v>25</v>
      </c>
      <c r="AK396">
        <f t="shared" ref="AK396" si="4652">AB396-AE396-AH396</f>
        <v>379</v>
      </c>
      <c r="AL396">
        <v>2</v>
      </c>
      <c r="AM396">
        <v>2</v>
      </c>
      <c r="AN396">
        <v>19</v>
      </c>
      <c r="AT396">
        <f t="shared" ref="AT396" si="4653">BN396-BN395</f>
        <v>9681</v>
      </c>
      <c r="AU396">
        <f t="shared" ref="AU396" si="4654">BO396-BO395</f>
        <v>428</v>
      </c>
      <c r="AV396">
        <f t="shared" ref="AV396" si="4655">AU396/AT396</f>
        <v>4.4210308852391279E-2</v>
      </c>
      <c r="AW396">
        <f t="shared" ref="AW396" si="4656">BV396-BV395</f>
        <v>65</v>
      </c>
      <c r="AX396">
        <f t="shared" ref="AX396" si="4657">BW396-BW395</f>
        <v>8</v>
      </c>
      <c r="AY396">
        <f t="shared" ref="AY396" si="4658">CL396-CL395</f>
        <v>446</v>
      </c>
      <c r="AZ396">
        <f t="shared" ref="AZ396" si="4659">CM396-CM395</f>
        <v>19</v>
      </c>
      <c r="BA396">
        <f t="shared" ref="BA396" si="4660">CD396-CD395</f>
        <v>97</v>
      </c>
      <c r="BB396">
        <f t="shared" ref="BB396" si="4661">CE396-CE395</f>
        <v>-2</v>
      </c>
      <c r="BC396">
        <f t="shared" ref="BC396" si="4662">AX396/AW396</f>
        <v>0.12307692307692308</v>
      </c>
      <c r="BD396">
        <f t="shared" ref="BD396" si="4663">AZ396/AY396</f>
        <v>4.2600896860986545E-2</v>
      </c>
      <c r="BE396">
        <f t="shared" si="3674"/>
        <v>-2.0618556701030927E-2</v>
      </c>
      <c r="BF396">
        <f t="shared" ref="BF396" si="4664">SUM(AU390:AU396)/SUM(AT390:AT396)</f>
        <v>4.3742552090229543E-2</v>
      </c>
      <c r="BG396">
        <f t="shared" ref="BG396" si="4665">SUM(AU383:AU396)/SUM(AT383:AT396)</f>
        <v>4.4662907926800131E-2</v>
      </c>
      <c r="BH396">
        <f t="shared" ref="BH396" si="4666">SUM(AX390:AX396)/SUM(AW390:AW396)</f>
        <v>1.9639934533551555E-2</v>
      </c>
      <c r="BI396">
        <f t="shared" ref="BI396" si="4667">SUM(AZ390:AZ396)/SUM(AY390:AY396)</f>
        <v>3.8632045598480054E-2</v>
      </c>
      <c r="BJ396">
        <f t="shared" ref="BJ396" si="4668">SUM(BB390:BB396)/SUM(BA390:BA396)</f>
        <v>1.556420233463035E-2</v>
      </c>
      <c r="BN396" s="20">
        <v>4643354</v>
      </c>
      <c r="BO396" s="20">
        <v>388233</v>
      </c>
      <c r="BP396" s="20">
        <v>1402002</v>
      </c>
      <c r="BQ396" s="20">
        <v>275380</v>
      </c>
      <c r="BR396" s="20">
        <v>296800</v>
      </c>
      <c r="BS396" s="20">
        <v>62345</v>
      </c>
      <c r="BT396" s="21">
        <f t="shared" si="3960"/>
        <v>1677382</v>
      </c>
      <c r="BU396" s="21">
        <f t="shared" si="2991"/>
        <v>359145</v>
      </c>
      <c r="BV396" s="20">
        <v>38098</v>
      </c>
      <c r="BW396" s="20">
        <v>2928</v>
      </c>
      <c r="BX396" s="20">
        <v>9161</v>
      </c>
      <c r="BY396" s="20">
        <v>3202</v>
      </c>
      <c r="BZ396" s="20">
        <v>2151</v>
      </c>
      <c r="CA396" s="20">
        <v>640</v>
      </c>
      <c r="CB396" s="21">
        <f t="shared" si="3961"/>
        <v>12363</v>
      </c>
      <c r="CC396" s="21">
        <f t="shared" si="2993"/>
        <v>2791</v>
      </c>
      <c r="CD396" s="20">
        <v>28822</v>
      </c>
      <c r="CE396" s="20">
        <v>1713</v>
      </c>
      <c r="CF396" s="20">
        <v>5341</v>
      </c>
      <c r="CG396" s="20">
        <v>1731</v>
      </c>
      <c r="CH396" s="20">
        <v>1172</v>
      </c>
      <c r="CI396" s="20">
        <v>453</v>
      </c>
      <c r="CJ396" s="21">
        <f t="shared" si="3962"/>
        <v>7072</v>
      </c>
      <c r="CK396" s="21">
        <f t="shared" si="2995"/>
        <v>1625</v>
      </c>
      <c r="CL396" s="20">
        <v>207868</v>
      </c>
      <c r="CM396" s="20">
        <v>16949</v>
      </c>
      <c r="CN396" s="20">
        <v>65517</v>
      </c>
      <c r="CO396" s="20">
        <v>5138</v>
      </c>
      <c r="CP396" s="20">
        <v>14700</v>
      </c>
      <c r="CQ396" s="20">
        <v>826</v>
      </c>
      <c r="CR396" s="21">
        <f t="shared" si="3963"/>
        <v>70655</v>
      </c>
      <c r="CS396" s="21">
        <f t="shared" si="2997"/>
        <v>15526</v>
      </c>
    </row>
    <row r="397" spans="1:97" x14ac:dyDescent="0.35">
      <c r="A397" s="14">
        <f t="shared" si="2761"/>
        <v>44303</v>
      </c>
      <c r="B397" s="9">
        <f t="shared" si="3928"/>
        <v>1677920</v>
      </c>
      <c r="C397">
        <f t="shared" ref="C397" si="4669">BU397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670">-(J397-J396)+L397</f>
        <v>15</v>
      </c>
      <c r="N397" s="7">
        <f t="shared" ref="N397" si="4671">B397-C397</f>
        <v>1318660</v>
      </c>
      <c r="O397" s="4">
        <f t="shared" ref="O397" si="4672">C397/B397</f>
        <v>0.21411032707161248</v>
      </c>
      <c r="R397">
        <f t="shared" ref="R397" si="4673">C397-C396</f>
        <v>115</v>
      </c>
      <c r="S397">
        <f t="shared" ref="S397" si="4674">N397-N396</f>
        <v>423</v>
      </c>
      <c r="T397" s="8">
        <f t="shared" ref="T397" si="4675">R397/V397</f>
        <v>0.21375464684014869</v>
      </c>
      <c r="U397" s="8">
        <f t="shared" ref="U397" si="4676">SUM(R391:R397)/SUM(V391:V397)</f>
        <v>0.19669711876317639</v>
      </c>
      <c r="V397">
        <f t="shared" ref="V397" si="4677">B397-B396</f>
        <v>538</v>
      </c>
      <c r="W397">
        <f t="shared" ref="W397" si="4678">C397-D397-E397</f>
        <v>13392</v>
      </c>
      <c r="X397" s="3">
        <f t="shared" ref="X397" si="4679">F397/W397</f>
        <v>1.7398446833930704E-2</v>
      </c>
      <c r="Y397">
        <f t="shared" ref="Y397" si="4680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681">Z397-AC397-AF397</f>
        <v>52</v>
      </c>
      <c r="AJ397">
        <f t="shared" ref="AJ397" si="4682">AA397-AD397-AG397</f>
        <v>24</v>
      </c>
      <c r="AK397">
        <f t="shared" ref="AK397" si="4683">AB397-AE397-AH397</f>
        <v>384</v>
      </c>
      <c r="AL397">
        <v>1</v>
      </c>
      <c r="AM397">
        <v>1</v>
      </c>
      <c r="AN397">
        <v>16</v>
      </c>
      <c r="AT397">
        <f t="shared" ref="AT397" si="4684">BN397-BN396</f>
        <v>3799</v>
      </c>
      <c r="AU397">
        <f t="shared" ref="AU397" si="4685">BO397-BO396</f>
        <v>98</v>
      </c>
      <c r="AV397">
        <f t="shared" ref="AV397" si="4686">AU397/AT397</f>
        <v>2.5796262174256384E-2</v>
      </c>
      <c r="AW397">
        <f t="shared" ref="AW397" si="4687">BV397-BV396</f>
        <v>115</v>
      </c>
      <c r="AX397">
        <f t="shared" ref="AX397" si="4688">BW397-BW396</f>
        <v>3</v>
      </c>
      <c r="AY397">
        <f t="shared" ref="AY397" si="4689">CL397-CL396</f>
        <v>99</v>
      </c>
      <c r="AZ397">
        <f t="shared" ref="AZ397" si="4690">CM397-CM396</f>
        <v>-1</v>
      </c>
      <c r="BA397">
        <f t="shared" ref="BA397" si="4691">CD397-CD396</f>
        <v>3</v>
      </c>
      <c r="BB397">
        <f t="shared" ref="BB397" si="4692">CE397-CE396</f>
        <v>-1</v>
      </c>
      <c r="BC397">
        <f t="shared" ref="BC397" si="4693">AX397/AW397</f>
        <v>2.6086956521739129E-2</v>
      </c>
      <c r="BD397">
        <f t="shared" ref="BD397" si="4694">AZ397/AY397</f>
        <v>-1.0101010101010102E-2</v>
      </c>
      <c r="BE397">
        <f t="shared" si="3674"/>
        <v>-0.33333333333333331</v>
      </c>
      <c r="BF397">
        <f t="shared" ref="BF397" si="4695">SUM(AU391:AU397)/SUM(AT391:AT397)</f>
        <v>4.2345412234042555E-2</v>
      </c>
      <c r="BG397">
        <f t="shared" ref="BG397" si="4696">SUM(AU384:AU397)/SUM(AT384:AT397)</f>
        <v>4.3972363105500949E-2</v>
      </c>
      <c r="BH397">
        <f t="shared" ref="BH397" si="4697">SUM(AX391:AX397)/SUM(AW391:AW397)</f>
        <v>2.1207177814029365E-2</v>
      </c>
      <c r="BI397">
        <f t="shared" ref="BI397" si="4698">SUM(AZ391:AZ397)/SUM(AY391:AY397)</f>
        <v>3.7911025145067695E-2</v>
      </c>
      <c r="BJ397">
        <f t="shared" ref="BJ397" si="4699">SUM(BB391:BB397)/SUM(BA391:BA397)</f>
        <v>1.5151515151515152E-2</v>
      </c>
      <c r="BN397" s="20">
        <v>4647153</v>
      </c>
      <c r="BO397" s="20">
        <v>388331</v>
      </c>
      <c r="BP397" s="20">
        <v>1402384</v>
      </c>
      <c r="BQ397" s="20">
        <v>275536</v>
      </c>
      <c r="BR397" s="20">
        <v>296897</v>
      </c>
      <c r="BS397" s="20">
        <v>62363</v>
      </c>
      <c r="BT397" s="21">
        <f t="shared" si="3960"/>
        <v>1677920</v>
      </c>
      <c r="BU397" s="21">
        <f t="shared" si="2991"/>
        <v>359260</v>
      </c>
      <c r="BV397" s="20">
        <v>38213</v>
      </c>
      <c r="BW397" s="20">
        <v>2931</v>
      </c>
      <c r="BX397" s="20">
        <v>9160</v>
      </c>
      <c r="BY397" s="20">
        <v>3210</v>
      </c>
      <c r="BZ397" s="20">
        <v>2151</v>
      </c>
      <c r="CA397" s="20">
        <v>640</v>
      </c>
      <c r="CB397" s="21">
        <f t="shared" si="3961"/>
        <v>12370</v>
      </c>
      <c r="CC397" s="21">
        <f t="shared" si="2993"/>
        <v>2791</v>
      </c>
      <c r="CD397" s="20">
        <v>28825</v>
      </c>
      <c r="CE397" s="20">
        <v>1712</v>
      </c>
      <c r="CF397" s="20">
        <v>5341</v>
      </c>
      <c r="CG397" s="20">
        <v>1730</v>
      </c>
      <c r="CH397" s="20">
        <v>1172</v>
      </c>
      <c r="CI397" s="20">
        <v>453</v>
      </c>
      <c r="CJ397" s="21">
        <f t="shared" si="3962"/>
        <v>7071</v>
      </c>
      <c r="CK397" s="21">
        <f t="shared" si="2995"/>
        <v>1625</v>
      </c>
      <c r="CL397" s="20">
        <v>207967</v>
      </c>
      <c r="CM397" s="20">
        <v>16948</v>
      </c>
      <c r="CN397" s="20">
        <v>65529</v>
      </c>
      <c r="CO397" s="20">
        <v>5141</v>
      </c>
      <c r="CP397" s="20">
        <v>14706</v>
      </c>
      <c r="CQ397" s="20">
        <v>826</v>
      </c>
      <c r="CR397" s="21">
        <f t="shared" si="3963"/>
        <v>70670</v>
      </c>
      <c r="CS397" s="21">
        <f t="shared" si="2997"/>
        <v>15532</v>
      </c>
    </row>
    <row r="398" spans="1:97" x14ac:dyDescent="0.35">
      <c r="A398" s="14">
        <f t="shared" si="2761"/>
        <v>44304</v>
      </c>
      <c r="B398" s="9">
        <f t="shared" si="3928"/>
        <v>1681849</v>
      </c>
      <c r="C398">
        <f t="shared" ref="C398" si="4700">BU398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701">-(J398-J397)+L398</f>
        <v>15</v>
      </c>
      <c r="N398" s="7">
        <f t="shared" ref="N398" si="4702">B398-C398</f>
        <v>1321883</v>
      </c>
      <c r="O398" s="4">
        <f t="shared" ref="O398" si="4703">C398/B398</f>
        <v>0.21402991588424405</v>
      </c>
      <c r="R398">
        <f t="shared" ref="R398" si="4704">C398-C397</f>
        <v>706</v>
      </c>
      <c r="S398">
        <f t="shared" ref="S398" si="4705">N398-N397</f>
        <v>3223</v>
      </c>
      <c r="T398" s="8">
        <f t="shared" ref="T398" si="4706">R398/V398</f>
        <v>0.17968948841944515</v>
      </c>
      <c r="U398" s="8">
        <f t="shared" ref="U398" si="4707">SUM(R392:R398)/SUM(V392:V398)</f>
        <v>0.18910769230769231</v>
      </c>
      <c r="V398">
        <f t="shared" ref="V398" si="4708">B398-B397</f>
        <v>3929</v>
      </c>
      <c r="W398">
        <f t="shared" ref="W398" si="4709">C398-D398-E398</f>
        <v>13406</v>
      </c>
      <c r="X398" s="3">
        <f t="shared" ref="X398" si="4710">F398/W398</f>
        <v>1.521706698493212E-2</v>
      </c>
      <c r="Y398">
        <f t="shared" ref="Y398" si="4711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712">Z398-AC398-AF398</f>
        <v>50</v>
      </c>
      <c r="AJ398">
        <f t="shared" ref="AJ398" si="4713">AA398-AD398-AG398</f>
        <v>24</v>
      </c>
      <c r="AK398">
        <f t="shared" ref="AK398" si="4714">AB398-AE398-AH398</f>
        <v>371</v>
      </c>
      <c r="AL398">
        <v>1</v>
      </c>
      <c r="AM398">
        <v>1</v>
      </c>
      <c r="AN398">
        <v>16</v>
      </c>
      <c r="AT398">
        <f t="shared" ref="AT398" si="4715">BN398-BN397</f>
        <v>18032</v>
      </c>
      <c r="AU398">
        <f t="shared" ref="AU398" si="4716">BO398-BO397</f>
        <v>841</v>
      </c>
      <c r="AV398">
        <f t="shared" ref="AV398" si="4717">AU398/AT398</f>
        <v>4.6639307897071873E-2</v>
      </c>
      <c r="AW398">
        <f t="shared" ref="AW398" si="4718">BV398-BV397</f>
        <v>69</v>
      </c>
      <c r="AX398">
        <f t="shared" ref="AX398" si="4719">BW398-BW397</f>
        <v>-1</v>
      </c>
      <c r="AY398">
        <f t="shared" ref="AY398" si="4720">CL398-CL397</f>
        <v>753</v>
      </c>
      <c r="AZ398">
        <f t="shared" ref="AZ398" si="4721">CM398-CM397</f>
        <v>35</v>
      </c>
      <c r="BA398">
        <f t="shared" ref="BA398" si="4722">CD398-CD397</f>
        <v>52</v>
      </c>
      <c r="BB398">
        <f t="shared" ref="BB398" si="4723">CE398-CE397</f>
        <v>2</v>
      </c>
      <c r="BC398">
        <f t="shared" ref="BC398" si="4724">AX398/AW398</f>
        <v>-1.4492753623188406E-2</v>
      </c>
      <c r="BD398">
        <f t="shared" ref="BD398" si="4725">AZ398/AY398</f>
        <v>4.6480743691899071E-2</v>
      </c>
      <c r="BE398">
        <f t="shared" si="3674"/>
        <v>3.8461538461538464E-2</v>
      </c>
      <c r="BF398">
        <f t="shared" ref="BF398" si="4726">SUM(AU392:AU398)/SUM(AT392:AT398)</f>
        <v>4.1163655621486946E-2</v>
      </c>
      <c r="BG398">
        <f t="shared" ref="BG398" si="4727">SUM(AU385:AU398)/SUM(AT385:AT398)</f>
        <v>4.3305118144973911E-2</v>
      </c>
      <c r="BH398">
        <f t="shared" ref="BH398" si="4728">SUM(AX392:AX398)/SUM(AW392:AW398)</f>
        <v>1.9696969696969695E-2</v>
      </c>
      <c r="BI398">
        <f t="shared" ref="BI398" si="4729">SUM(AZ392:AZ398)/SUM(AY392:AY398)</f>
        <v>3.5930047694753574E-2</v>
      </c>
      <c r="BJ398">
        <f t="shared" ref="BJ398" si="4730">SUM(BB392:BB398)/SUM(BA392:BA398)</f>
        <v>1.8604651162790697E-2</v>
      </c>
      <c r="BN398" s="20">
        <v>4665185</v>
      </c>
      <c r="BO398" s="20">
        <v>389172</v>
      </c>
      <c r="BP398" s="20">
        <v>1405571</v>
      </c>
      <c r="BQ398" s="20">
        <v>276278</v>
      </c>
      <c r="BR398" s="20">
        <v>297457</v>
      </c>
      <c r="BS398" s="20">
        <v>62509</v>
      </c>
      <c r="BT398" s="21">
        <f t="shared" si="3960"/>
        <v>1681849</v>
      </c>
      <c r="BU398" s="21">
        <f t="shared" si="2991"/>
        <v>359966</v>
      </c>
      <c r="BV398" s="20">
        <v>38282</v>
      </c>
      <c r="BW398" s="20">
        <v>2930</v>
      </c>
      <c r="BX398" s="20">
        <v>9172</v>
      </c>
      <c r="BY398" s="20">
        <v>3218</v>
      </c>
      <c r="BZ398" s="20">
        <v>2153</v>
      </c>
      <c r="CA398" s="20">
        <v>640</v>
      </c>
      <c r="CB398" s="21">
        <f t="shared" si="3961"/>
        <v>12390</v>
      </c>
      <c r="CC398" s="21">
        <f t="shared" si="2993"/>
        <v>2793</v>
      </c>
      <c r="CD398" s="20">
        <v>28877</v>
      </c>
      <c r="CE398" s="20">
        <v>1714</v>
      </c>
      <c r="CF398" s="20">
        <v>5349</v>
      </c>
      <c r="CG398" s="20">
        <v>1733</v>
      </c>
      <c r="CH398" s="20">
        <v>1172</v>
      </c>
      <c r="CI398" s="20">
        <v>453</v>
      </c>
      <c r="CJ398" s="21">
        <f t="shared" si="3962"/>
        <v>7082</v>
      </c>
      <c r="CK398" s="21">
        <f t="shared" si="2995"/>
        <v>1625</v>
      </c>
      <c r="CL398" s="20">
        <v>208720</v>
      </c>
      <c r="CM398" s="20">
        <v>16983</v>
      </c>
      <c r="CN398" s="20">
        <v>65664</v>
      </c>
      <c r="CO398" s="20">
        <v>5148</v>
      </c>
      <c r="CP398" s="20">
        <v>14729</v>
      </c>
      <c r="CQ398" s="20">
        <v>830</v>
      </c>
      <c r="CR398" s="21">
        <f t="shared" si="3963"/>
        <v>70812</v>
      </c>
      <c r="CS398" s="21">
        <f t="shared" si="2997"/>
        <v>15559</v>
      </c>
    </row>
    <row r="399" spans="1:97" x14ac:dyDescent="0.35">
      <c r="A399" s="14">
        <f t="shared" si="2761"/>
        <v>44305</v>
      </c>
      <c r="B399" s="9">
        <f t="shared" si="3928"/>
        <v>1682961</v>
      </c>
      <c r="C399">
        <f t="shared" ref="C399" si="4731">BU399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732">-(J399-J398)+L399</f>
        <v>2</v>
      </c>
      <c r="N399" s="7">
        <f t="shared" ref="N399" si="4733">B399-C399</f>
        <v>1322827</v>
      </c>
      <c r="O399" s="4">
        <f t="shared" ref="O399" si="4734">C399/B399</f>
        <v>0.21398832177335067</v>
      </c>
      <c r="R399">
        <f t="shared" ref="R399" si="4735">C399-C398</f>
        <v>168</v>
      </c>
      <c r="S399">
        <f t="shared" ref="S399" si="4736">N399-N398</f>
        <v>944</v>
      </c>
      <c r="T399" s="8">
        <f t="shared" ref="T399" si="4737">R399/V399</f>
        <v>0.15107913669064749</v>
      </c>
      <c r="U399" s="8">
        <f t="shared" ref="U399" si="4738">SUM(R393:R399)/SUM(V393:V399)</f>
        <v>0.18950009178241448</v>
      </c>
      <c r="V399">
        <f t="shared" ref="V399" si="4739">B399-B398</f>
        <v>1112</v>
      </c>
      <c r="W399">
        <f t="shared" ref="W399" si="4740">C399-D399-E399</f>
        <v>13582</v>
      </c>
      <c r="X399" s="3">
        <f t="shared" ref="X399" si="4741">F399/W399</f>
        <v>1.5093506111029303E-2</v>
      </c>
      <c r="Y399">
        <f t="shared" ref="Y399" si="4742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743">Z399-AC399-AF399</f>
        <v>52</v>
      </c>
      <c r="AJ399">
        <f t="shared" ref="AJ399" si="4744">AA399-AD399-AG399</f>
        <v>24</v>
      </c>
      <c r="AK399">
        <f t="shared" ref="AK399" si="4745">AB399-AE399-AH399</f>
        <v>396</v>
      </c>
      <c r="AL399">
        <v>1</v>
      </c>
      <c r="AM399">
        <v>1</v>
      </c>
      <c r="AN399">
        <v>16</v>
      </c>
      <c r="AT399">
        <f t="shared" ref="AT399" si="4746">BN399-BN398</f>
        <v>2526</v>
      </c>
      <c r="AU399">
        <f t="shared" ref="AU399" si="4747">BO399-BO398</f>
        <v>136</v>
      </c>
      <c r="AV399">
        <f t="shared" ref="AV399" si="4748">AU399/AT399</f>
        <v>5.3840063341250986E-2</v>
      </c>
      <c r="AW399">
        <f t="shared" ref="AW399" si="4749">BV399-BV398</f>
        <v>7</v>
      </c>
      <c r="AX399">
        <f t="shared" ref="AX399" si="4750">BW399-BW398</f>
        <v>-4</v>
      </c>
      <c r="AY399">
        <f t="shared" ref="AY399" si="4751">CL399-CL398</f>
        <v>57</v>
      </c>
      <c r="AZ399">
        <f t="shared" ref="AZ399" si="4752">CM399-CM398</f>
        <v>5</v>
      </c>
      <c r="BA399">
        <f t="shared" ref="BA399" si="4753">CD399-CD398</f>
        <v>7</v>
      </c>
      <c r="BB399">
        <f t="shared" ref="BB399" si="4754">CE399-CE398</f>
        <v>-1</v>
      </c>
      <c r="BC399">
        <f t="shared" ref="BC399" si="4755">AX399/AW399</f>
        <v>-0.5714285714285714</v>
      </c>
      <c r="BD399">
        <f t="shared" ref="BD399" si="4756">AZ399/AY399</f>
        <v>8.771929824561403E-2</v>
      </c>
      <c r="BE399">
        <f t="shared" si="3674"/>
        <v>-0.14285714285714285</v>
      </c>
      <c r="BF399">
        <f t="shared" ref="BF399" si="4757">SUM(AU393:AU399)/SUM(AT393:AT399)</f>
        <v>4.198971178222452E-2</v>
      </c>
      <c r="BG399">
        <f t="shared" ref="BG399" si="4758">SUM(AU386:AU399)/SUM(AT386:AT399)</f>
        <v>4.3214722043521628E-2</v>
      </c>
      <c r="BH399">
        <f t="shared" ref="BH399" si="4759">SUM(AX393:AX399)/SUM(AW393:AW399)</f>
        <v>1.8404907975460124E-2</v>
      </c>
      <c r="BI399">
        <f t="shared" ref="BI399" si="4760">SUM(AZ393:AZ399)/SUM(AY393:AY399)</f>
        <v>3.6786060019361085E-2</v>
      </c>
      <c r="BJ399">
        <f t="shared" ref="BJ399" si="4761">SUM(BB393:BB399)/SUM(BA393:BA399)</f>
        <v>1.6241299303944315E-2</v>
      </c>
      <c r="BN399" s="20">
        <v>4667711</v>
      </c>
      <c r="BO399" s="20">
        <v>389308</v>
      </c>
      <c r="BP399" s="20">
        <v>1406588</v>
      </c>
      <c r="BQ399" s="20">
        <v>276373</v>
      </c>
      <c r="BR399" s="20">
        <v>297594</v>
      </c>
      <c r="BS399" s="20">
        <v>62540</v>
      </c>
      <c r="BT399" s="21">
        <f t="shared" si="3960"/>
        <v>1682961</v>
      </c>
      <c r="BU399" s="21">
        <f t="shared" si="2991"/>
        <v>360134</v>
      </c>
      <c r="BV399" s="20">
        <v>38289</v>
      </c>
      <c r="BW399" s="20">
        <v>2926</v>
      </c>
      <c r="BX399" s="20">
        <v>9175</v>
      </c>
      <c r="BY399" s="20">
        <v>3218</v>
      </c>
      <c r="BZ399" s="20">
        <v>2153</v>
      </c>
      <c r="CA399" s="20">
        <v>640</v>
      </c>
      <c r="CB399" s="21">
        <f t="shared" si="3961"/>
        <v>12393</v>
      </c>
      <c r="CC399" s="21">
        <f t="shared" si="2993"/>
        <v>2793</v>
      </c>
      <c r="CD399" s="20">
        <v>28884</v>
      </c>
      <c r="CE399" s="20">
        <v>1713</v>
      </c>
      <c r="CF399" s="20">
        <v>5353</v>
      </c>
      <c r="CG399" s="20">
        <v>1730</v>
      </c>
      <c r="CH399" s="20">
        <v>1172</v>
      </c>
      <c r="CI399" s="20">
        <v>453</v>
      </c>
      <c r="CJ399" s="21">
        <f t="shared" si="3962"/>
        <v>7083</v>
      </c>
      <c r="CK399" s="21">
        <f t="shared" si="2995"/>
        <v>1625</v>
      </c>
      <c r="CL399" s="20">
        <v>208777</v>
      </c>
      <c r="CM399" s="20">
        <v>16988</v>
      </c>
      <c r="CN399" s="20">
        <v>65691</v>
      </c>
      <c r="CO399" s="20">
        <v>5148</v>
      </c>
      <c r="CP399" s="20">
        <v>14733</v>
      </c>
      <c r="CQ399" s="20">
        <v>830</v>
      </c>
      <c r="CR399" s="21">
        <f t="shared" si="3963"/>
        <v>70839</v>
      </c>
      <c r="CS399" s="21">
        <f t="shared" si="2997"/>
        <v>15563</v>
      </c>
    </row>
    <row r="400" spans="1:97" x14ac:dyDescent="0.35">
      <c r="A400" s="14">
        <f t="shared" si="2761"/>
        <v>44306</v>
      </c>
      <c r="B400" s="9">
        <f t="shared" si="3928"/>
        <v>1686043</v>
      </c>
      <c r="C400">
        <f t="shared" ref="C400" si="4762">BU400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763">-(J400-J399)+L400</f>
        <v>6</v>
      </c>
      <c r="N400" s="7">
        <f t="shared" ref="N400" si="4764">B400-C400</f>
        <v>1325360</v>
      </c>
      <c r="O400" s="4">
        <f t="shared" ref="O400" si="4765">C400/B400</f>
        <v>0.21392277658398984</v>
      </c>
      <c r="R400">
        <f t="shared" ref="R400" si="4766">C400-C399</f>
        <v>549</v>
      </c>
      <c r="S400">
        <f t="shared" ref="S400" si="4767">N400-N399</f>
        <v>2533</v>
      </c>
      <c r="T400" s="8">
        <f t="shared" ref="T400" si="4768">R400/V400</f>
        <v>0.17813108371187542</v>
      </c>
      <c r="U400" s="8">
        <f t="shared" ref="U400" si="4769">SUM(R394:R400)/SUM(V394:V400)</f>
        <v>0.18671569485787662</v>
      </c>
      <c r="V400">
        <f t="shared" ref="V400" si="4770">B400-B399</f>
        <v>3082</v>
      </c>
      <c r="W400">
        <f t="shared" ref="W400" si="4771">C400-D400-E400</f>
        <v>13025</v>
      </c>
      <c r="X400" s="3">
        <f t="shared" ref="X400" si="4772">F400/W400</f>
        <v>1.6506717850287907E-2</v>
      </c>
      <c r="Y400">
        <f t="shared" ref="Y400" si="4773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774">Z400-AC400-AF400</f>
        <v>47</v>
      </c>
      <c r="AJ400">
        <f t="shared" ref="AJ400:AJ401" si="4775">AA400-AD400-AG400</f>
        <v>22</v>
      </c>
      <c r="AK400">
        <f t="shared" ref="AK400:AK401" si="4776">AB400-AE400-AH400</f>
        <v>369</v>
      </c>
      <c r="AL400">
        <v>1</v>
      </c>
      <c r="AM400">
        <v>1</v>
      </c>
      <c r="AN400">
        <v>14</v>
      </c>
      <c r="AT400">
        <f t="shared" ref="AT400" si="4777">BN400-BN399</f>
        <v>16979</v>
      </c>
      <c r="AU400">
        <f t="shared" ref="AU400" si="4778">BO400-BO399</f>
        <v>595</v>
      </c>
      <c r="AV400">
        <f t="shared" ref="AV400" si="4779">AU400/AT400</f>
        <v>3.504328876847871E-2</v>
      </c>
      <c r="AW400">
        <f t="shared" ref="AW400" si="4780">BV400-BV399</f>
        <v>324</v>
      </c>
      <c r="AX400">
        <f t="shared" ref="AX400" si="4781">BW400-BW399</f>
        <v>7</v>
      </c>
      <c r="AY400">
        <f t="shared" ref="AY400" si="4782">CL400-CL399</f>
        <v>590</v>
      </c>
      <c r="AZ400">
        <f t="shared" ref="AZ400" si="4783">CM400-CM399</f>
        <v>18</v>
      </c>
      <c r="BA400">
        <f t="shared" ref="BA400" si="4784">CD400-CD399</f>
        <v>111</v>
      </c>
      <c r="BB400">
        <f t="shared" ref="BB400" si="4785">CE400-CE399</f>
        <v>2</v>
      </c>
      <c r="BC400">
        <f t="shared" ref="BC400" si="4786">AX400/AW400</f>
        <v>2.1604938271604937E-2</v>
      </c>
      <c r="BD400">
        <f t="shared" ref="BD400" si="4787">AZ400/AY400</f>
        <v>3.0508474576271188E-2</v>
      </c>
      <c r="BE400">
        <f t="shared" si="3674"/>
        <v>1.8018018018018018E-2</v>
      </c>
      <c r="BF400">
        <f t="shared" ref="BF400" si="4788">SUM(AU394:AU400)/SUM(AT394:AT400)</f>
        <v>4.1558252955912429E-2</v>
      </c>
      <c r="BG400">
        <f t="shared" ref="BG400" si="4789">SUM(AU387:AU400)/SUM(AT387:AT400)</f>
        <v>4.2879429981837656E-2</v>
      </c>
      <c r="BH400">
        <f t="shared" ref="BH400" si="4790">SUM(AX394:AX400)/SUM(AW394:AW400)</f>
        <v>2.3602484472049691E-2</v>
      </c>
      <c r="BI400">
        <f t="shared" ref="BI400" si="4791">SUM(AZ394:AZ400)/SUM(AY394:AY400)</f>
        <v>3.8757206918641894E-2</v>
      </c>
      <c r="BJ400">
        <f t="shared" ref="BJ400" si="4792">SUM(BB394:BB400)/SUM(BA394:BA400)</f>
        <v>6.0606060606060606E-3</v>
      </c>
      <c r="BN400" s="20">
        <v>4684690</v>
      </c>
      <c r="BO400" s="20">
        <v>389903</v>
      </c>
      <c r="BP400" s="20">
        <v>1408623</v>
      </c>
      <c r="BQ400" s="20">
        <v>277420</v>
      </c>
      <c r="BR400" s="20">
        <v>298002</v>
      </c>
      <c r="BS400" s="20">
        <v>62681</v>
      </c>
      <c r="BT400" s="21">
        <f t="shared" si="3960"/>
        <v>1686043</v>
      </c>
      <c r="BU400" s="21">
        <f t="shared" si="2991"/>
        <v>360683</v>
      </c>
      <c r="BV400" s="20">
        <v>38613</v>
      </c>
      <c r="BW400" s="20">
        <v>2933</v>
      </c>
      <c r="BX400" s="20">
        <v>9189</v>
      </c>
      <c r="BY400" s="20">
        <v>3234</v>
      </c>
      <c r="BZ400" s="20">
        <v>2158</v>
      </c>
      <c r="CA400" s="20">
        <v>640</v>
      </c>
      <c r="CB400" s="21">
        <f t="shared" si="3961"/>
        <v>12423</v>
      </c>
      <c r="CC400" s="21">
        <f t="shared" si="2993"/>
        <v>2798</v>
      </c>
      <c r="CD400" s="20">
        <v>28995</v>
      </c>
      <c r="CE400" s="20">
        <v>1715</v>
      </c>
      <c r="CF400" s="20">
        <v>5320</v>
      </c>
      <c r="CG400" s="20">
        <v>1775</v>
      </c>
      <c r="CH400" s="20">
        <v>1172</v>
      </c>
      <c r="CI400" s="20">
        <v>453</v>
      </c>
      <c r="CJ400" s="21">
        <f t="shared" si="3962"/>
        <v>7095</v>
      </c>
      <c r="CK400" s="21">
        <f t="shared" si="2995"/>
        <v>1625</v>
      </c>
      <c r="CL400" s="20">
        <v>209367</v>
      </c>
      <c r="CM400" s="20">
        <v>17006</v>
      </c>
      <c r="CN400" s="20">
        <v>65813</v>
      </c>
      <c r="CO400" s="20">
        <v>5159</v>
      </c>
      <c r="CP400" s="20">
        <v>14753</v>
      </c>
      <c r="CQ400" s="20">
        <v>830</v>
      </c>
      <c r="CR400" s="21">
        <f t="shared" si="3963"/>
        <v>70972</v>
      </c>
      <c r="CS400" s="21">
        <f t="shared" si="2997"/>
        <v>15583</v>
      </c>
    </row>
    <row r="401" spans="1:97" x14ac:dyDescent="0.35">
      <c r="A401" s="14">
        <f t="shared" si="2761"/>
        <v>44307</v>
      </c>
      <c r="B401" s="9">
        <f t="shared" si="3928"/>
        <v>1688663</v>
      </c>
      <c r="C401">
        <f t="shared" ref="C401" si="4793">BU401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794">-(J401-J400)+L401</f>
        <v>6</v>
      </c>
      <c r="N401" s="7">
        <f t="shared" ref="N401" si="4795">B401-C401</f>
        <v>1327479</v>
      </c>
      <c r="O401" s="4">
        <f t="shared" ref="O401" si="4796">C401/B401</f>
        <v>0.21388755482887942</v>
      </c>
      <c r="R401">
        <f t="shared" ref="R401" si="4797">C401-C400</f>
        <v>501</v>
      </c>
      <c r="S401">
        <f t="shared" ref="S401" si="4798">N401-N400</f>
        <v>2119</v>
      </c>
      <c r="T401" s="8">
        <f t="shared" ref="T401" si="4799">R401/V401</f>
        <v>0.19122137404580153</v>
      </c>
      <c r="U401" s="8">
        <f t="shared" ref="U401" si="4800">SUM(R395:R401)/SUM(V395:V401)</f>
        <v>0.18195398864654916</v>
      </c>
      <c r="V401">
        <f t="shared" ref="V401" si="4801">B401-B400</f>
        <v>2620</v>
      </c>
      <c r="W401">
        <f t="shared" ref="W401" si="4802">C401-D401-E401</f>
        <v>12892</v>
      </c>
      <c r="X401" s="3">
        <f t="shared" ref="X401" si="4803">F401/W401</f>
        <v>1.6987278932671424E-2</v>
      </c>
      <c r="Y401">
        <f t="shared" ref="Y401" si="4804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774"/>
        <v>51</v>
      </c>
      <c r="AJ401">
        <f t="shared" si="4775"/>
        <v>21</v>
      </c>
      <c r="AK401">
        <f t="shared" si="4776"/>
        <v>376</v>
      </c>
      <c r="AL401">
        <v>1</v>
      </c>
      <c r="AM401">
        <v>1</v>
      </c>
      <c r="AN401">
        <v>15</v>
      </c>
      <c r="AT401">
        <f t="shared" ref="AT401" si="4805">BN401-BN400</f>
        <v>12553</v>
      </c>
      <c r="AU401">
        <f t="shared" ref="AU401" si="4806">BO401-BO400</f>
        <v>579</v>
      </c>
      <c r="AV401">
        <f t="shared" ref="AV401" si="4807">AU401/AT401</f>
        <v>4.6124432406596035E-2</v>
      </c>
      <c r="AW401">
        <f t="shared" ref="AW401" si="4808">BV401-BV400</f>
        <v>80</v>
      </c>
      <c r="AX401">
        <f t="shared" ref="AX401" si="4809">BW401-BW400</f>
        <v>3</v>
      </c>
      <c r="AY401">
        <f t="shared" ref="AY401" si="4810">CL401-CL400</f>
        <v>514</v>
      </c>
      <c r="AZ401">
        <f t="shared" ref="AZ401" si="4811">CM401-CM400</f>
        <v>15</v>
      </c>
      <c r="BA401">
        <f t="shared" ref="BA401" si="4812">CD401-CD400</f>
        <v>95</v>
      </c>
      <c r="BB401">
        <f t="shared" ref="BB401" si="4813">CE401-CE400</f>
        <v>0</v>
      </c>
      <c r="BC401">
        <f t="shared" ref="BC401" si="4814">AX401/AW401</f>
        <v>3.7499999999999999E-2</v>
      </c>
      <c r="BD401">
        <f t="shared" ref="BD401" si="4815">AZ401/AY401</f>
        <v>2.9182879377431907E-2</v>
      </c>
      <c r="BE401">
        <f t="shared" si="3674"/>
        <v>0</v>
      </c>
      <c r="BF401">
        <f t="shared" ref="BF401" si="4816">SUM(AU395:AU401)/SUM(AT395:AT401)</f>
        <v>4.1694208572736056E-2</v>
      </c>
      <c r="BG401">
        <f t="shared" ref="BG401" si="4817">SUM(AU388:AU401)/SUM(AT388:AT401)</f>
        <v>4.311057724229931E-2</v>
      </c>
      <c r="BH401">
        <f t="shared" ref="BH401" si="4818">SUM(AX395:AX401)/SUM(AW395:AW401)</f>
        <v>2.734375E-2</v>
      </c>
      <c r="BI401">
        <f t="shared" ref="BI401" si="4819">SUM(AZ395:AZ401)/SUM(AY395:AY401)</f>
        <v>3.6245954692556634E-2</v>
      </c>
      <c r="BJ401">
        <f t="shared" ref="BJ401" si="4820">SUM(BB395:BB401)/SUM(BA395:BA401)</f>
        <v>1.890359168241966E-3</v>
      </c>
      <c r="BN401" s="20">
        <v>4697243</v>
      </c>
      <c r="BO401" s="20">
        <v>390482</v>
      </c>
      <c r="BP401" s="20">
        <v>1410421</v>
      </c>
      <c r="BQ401" s="20">
        <v>278242</v>
      </c>
      <c r="BR401" s="20">
        <v>298376</v>
      </c>
      <c r="BS401" s="20">
        <v>62808</v>
      </c>
      <c r="BT401" s="21">
        <f t="shared" si="3960"/>
        <v>1688663</v>
      </c>
      <c r="BU401" s="21">
        <f t="shared" si="2991"/>
        <v>361184</v>
      </c>
      <c r="BV401" s="20">
        <v>38693</v>
      </c>
      <c r="BW401" s="20">
        <v>2936</v>
      </c>
      <c r="BX401" s="20">
        <v>9199</v>
      </c>
      <c r="BY401" s="20">
        <v>3237</v>
      </c>
      <c r="BZ401" s="20">
        <v>2158</v>
      </c>
      <c r="CA401" s="20">
        <v>640</v>
      </c>
      <c r="CB401" s="21">
        <f t="shared" si="3961"/>
        <v>12436</v>
      </c>
      <c r="CC401" s="21">
        <f t="shared" si="2993"/>
        <v>2798</v>
      </c>
      <c r="CD401" s="20">
        <v>29090</v>
      </c>
      <c r="CE401" s="20">
        <v>1715</v>
      </c>
      <c r="CF401" s="20">
        <v>5337</v>
      </c>
      <c r="CG401" s="20">
        <v>1782</v>
      </c>
      <c r="CH401" s="20">
        <v>1172</v>
      </c>
      <c r="CI401" s="20">
        <v>454</v>
      </c>
      <c r="CJ401" s="21">
        <f t="shared" si="3962"/>
        <v>7119</v>
      </c>
      <c r="CK401" s="21">
        <f t="shared" si="2995"/>
        <v>1626</v>
      </c>
      <c r="CL401" s="20">
        <v>209881</v>
      </c>
      <c r="CM401" s="20">
        <v>17021</v>
      </c>
      <c r="CN401" s="20">
        <v>65944</v>
      </c>
      <c r="CO401" s="20">
        <v>5152</v>
      </c>
      <c r="CP401" s="20">
        <v>14761</v>
      </c>
      <c r="CQ401" s="20">
        <v>832</v>
      </c>
      <c r="CR401" s="21">
        <f t="shared" si="3963"/>
        <v>71096</v>
      </c>
      <c r="CS401" s="21">
        <f t="shared" si="2997"/>
        <v>15593</v>
      </c>
    </row>
    <row r="402" spans="1:97" x14ac:dyDescent="0.35">
      <c r="A402" s="14">
        <f t="shared" si="2761"/>
        <v>44308</v>
      </c>
      <c r="B402" s="9">
        <f t="shared" si="3928"/>
        <v>1689313</v>
      </c>
      <c r="C402">
        <f t="shared" ref="C402" si="4821">BU402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822">-(J402-J401)+L402</f>
        <v>9</v>
      </c>
      <c r="N402" s="7">
        <f t="shared" ref="N402" si="4823">B402-C402</f>
        <v>1328001</v>
      </c>
      <c r="O402" s="4">
        <f t="shared" ref="O402" si="4824">C402/B402</f>
        <v>0.21388102737621742</v>
      </c>
      <c r="R402">
        <f t="shared" ref="R402" si="4825">C402-C401</f>
        <v>128</v>
      </c>
      <c r="S402">
        <f t="shared" ref="S402" si="4826">N402-N401</f>
        <v>522</v>
      </c>
      <c r="T402" s="8">
        <f t="shared" ref="T402" si="4827">R402/V402</f>
        <v>0.19692307692307692</v>
      </c>
      <c r="U402" s="8">
        <f t="shared" ref="U402" si="4828">SUM(R396:R402)/SUM(V396:V402)</f>
        <v>0.18241606092073381</v>
      </c>
      <c r="V402">
        <f t="shared" ref="V402" si="4829">B402-B401</f>
        <v>650</v>
      </c>
      <c r="W402">
        <f t="shared" ref="W402" si="4830">C402-D402-E402</f>
        <v>12336</v>
      </c>
      <c r="X402" s="3">
        <f t="shared" ref="X402" si="4831">F402/W402</f>
        <v>1.9049935149156941E-2</v>
      </c>
      <c r="Y402">
        <f t="shared" ref="Y402" si="4832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833">Z402-AC402-AF402</f>
        <v>47</v>
      </c>
      <c r="AJ402">
        <f t="shared" ref="AJ402" si="4834">AA402-AD402-AG402</f>
        <v>20</v>
      </c>
      <c r="AK402">
        <f t="shared" ref="AK402" si="4835">AB402-AE402-AH402</f>
        <v>371</v>
      </c>
      <c r="AL402">
        <v>1</v>
      </c>
      <c r="AM402">
        <v>1</v>
      </c>
      <c r="AN402">
        <v>14</v>
      </c>
      <c r="AT402">
        <f t="shared" ref="AT402" si="4836">BN402-BN401</f>
        <v>4517</v>
      </c>
      <c r="AU402">
        <f t="shared" ref="AU402" si="4837">BO402-BO401</f>
        <v>109</v>
      </c>
      <c r="AV402">
        <f t="shared" ref="AV402" si="4838">AU402/AT402</f>
        <v>2.4131060438344034E-2</v>
      </c>
      <c r="AW402">
        <f t="shared" ref="AW402" si="4839">BV402-BV401</f>
        <v>102</v>
      </c>
      <c r="AX402">
        <f t="shared" ref="AX402" si="4840">BW402-BW401</f>
        <v>-1</v>
      </c>
      <c r="AY402">
        <f t="shared" ref="AY402" si="4841">CL402-CL401</f>
        <v>497</v>
      </c>
      <c r="AZ402">
        <f t="shared" ref="AZ402" si="4842">CM402-CM401</f>
        <v>26</v>
      </c>
      <c r="BA402">
        <f t="shared" ref="BA402" si="4843">CD402-CD401</f>
        <v>41</v>
      </c>
      <c r="BB402">
        <f t="shared" ref="BB402" si="4844">CE402-CE401</f>
        <v>1</v>
      </c>
      <c r="BC402">
        <f t="shared" ref="BC402" si="4845">AX402/AW402</f>
        <v>-9.8039215686274508E-3</v>
      </c>
      <c r="BD402">
        <f t="shared" ref="BD402" si="4846">AZ402/AY402</f>
        <v>5.2313883299798795E-2</v>
      </c>
      <c r="BE402">
        <f t="shared" si="3674"/>
        <v>2.4390243902439025E-2</v>
      </c>
      <c r="BF402">
        <f t="shared" ref="BF402" si="4847">SUM(AU396:AU402)/SUM(AT396:AT402)</f>
        <v>4.0918236961534508E-2</v>
      </c>
      <c r="BG402">
        <f t="shared" ref="BG402" si="4848">SUM(AU389:AU402)/SUM(AT389:AT402)</f>
        <v>4.2288188560345885E-2</v>
      </c>
      <c r="BH402">
        <f t="shared" ref="BH402" si="4849">SUM(AX396:AX402)/SUM(AW396:AW402)</f>
        <v>1.968503937007874E-2</v>
      </c>
      <c r="BI402">
        <f t="shared" ref="BI402" si="4850">SUM(AZ396:AZ402)/SUM(AY396:AY402)</f>
        <v>3.9580514208389712E-2</v>
      </c>
      <c r="BJ402">
        <f t="shared" ref="BJ402" si="4851">SUM(BB396:BB402)/SUM(BA396:BA402)</f>
        <v>2.4630541871921183E-3</v>
      </c>
      <c r="BN402" s="20">
        <v>4701760</v>
      </c>
      <c r="BO402" s="20">
        <v>390591</v>
      </c>
      <c r="BP402" s="20">
        <v>1410833</v>
      </c>
      <c r="BQ402" s="20">
        <v>278480</v>
      </c>
      <c r="BR402" s="20">
        <v>298453</v>
      </c>
      <c r="BS402" s="20">
        <v>62859</v>
      </c>
      <c r="BT402" s="21">
        <f t="shared" si="3960"/>
        <v>1689313</v>
      </c>
      <c r="BU402" s="21">
        <f t="shared" si="2991"/>
        <v>361312</v>
      </c>
      <c r="BV402" s="20">
        <v>38795</v>
      </c>
      <c r="BW402" s="20">
        <v>2935</v>
      </c>
      <c r="BX402" s="20">
        <v>9216</v>
      </c>
      <c r="BY402" s="20">
        <v>3237</v>
      </c>
      <c r="BZ402" s="20">
        <v>2159</v>
      </c>
      <c r="CA402" s="20">
        <v>640</v>
      </c>
      <c r="CB402" s="21">
        <f t="shared" si="3961"/>
        <v>12453</v>
      </c>
      <c r="CC402" s="21">
        <f t="shared" si="2993"/>
        <v>2799</v>
      </c>
      <c r="CD402" s="20">
        <v>29131</v>
      </c>
      <c r="CE402" s="20">
        <v>1716</v>
      </c>
      <c r="CF402" s="20">
        <v>5342</v>
      </c>
      <c r="CG402" s="20">
        <v>1787</v>
      </c>
      <c r="CH402" s="20">
        <v>1172</v>
      </c>
      <c r="CI402" s="20">
        <v>455</v>
      </c>
      <c r="CJ402" s="21">
        <f t="shared" si="3962"/>
        <v>7129</v>
      </c>
      <c r="CK402" s="21">
        <f t="shared" si="2995"/>
        <v>1627</v>
      </c>
      <c r="CL402" s="20">
        <v>210378</v>
      </c>
      <c r="CM402" s="20">
        <v>17047</v>
      </c>
      <c r="CN402" s="20">
        <v>66040</v>
      </c>
      <c r="CO402" s="20">
        <v>5154</v>
      </c>
      <c r="CP402" s="20">
        <v>14771</v>
      </c>
      <c r="CQ402" s="20">
        <v>847</v>
      </c>
      <c r="CR402" s="21">
        <f t="shared" si="3963"/>
        <v>71194</v>
      </c>
      <c r="CS402" s="21">
        <f t="shared" si="2997"/>
        <v>15618</v>
      </c>
    </row>
    <row r="403" spans="1:97" x14ac:dyDescent="0.35">
      <c r="A403" s="14">
        <f t="shared" si="2761"/>
        <v>44309</v>
      </c>
      <c r="B403" s="9">
        <f t="shared" si="3928"/>
        <v>1694543</v>
      </c>
      <c r="C403">
        <f t="shared" ref="C403" si="4852">BU403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853">-(J403-J402)+L403</f>
        <v>11</v>
      </c>
      <c r="N403" s="7">
        <f t="shared" ref="N403" si="4854">B403-C403</f>
        <v>1332301</v>
      </c>
      <c r="O403" s="4">
        <f t="shared" ref="O403" si="4855">C403/B403</f>
        <v>0.21376973024585388</v>
      </c>
      <c r="R403">
        <f t="shared" ref="R403" si="4856">C403-C402</f>
        <v>930</v>
      </c>
      <c r="S403">
        <f t="shared" ref="S403" si="4857">N403-N402</f>
        <v>4300</v>
      </c>
      <c r="T403" s="8">
        <f t="shared" ref="T403" si="4858">R403/V403</f>
        <v>0.17782026768642448</v>
      </c>
      <c r="U403" s="8">
        <f t="shared" ref="U403" si="4859">SUM(R397:R403)/SUM(V397:V403)</f>
        <v>0.18046733873317405</v>
      </c>
      <c r="V403">
        <f t="shared" ref="V403" si="4860">B403-B402</f>
        <v>5230</v>
      </c>
      <c r="W403">
        <f t="shared" ref="W403" si="4861">C403-D403-E403</f>
        <v>12721</v>
      </c>
      <c r="X403" s="3">
        <f t="shared" ref="X403" si="4862">F403/W403</f>
        <v>1.7058407357912114E-2</v>
      </c>
      <c r="Y403">
        <f t="shared" ref="Y403" si="4863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864">Z403-AC403-AF403</f>
        <v>46</v>
      </c>
      <c r="AJ403">
        <f t="shared" ref="AJ403" si="4865">AA403-AD403-AG403</f>
        <v>20</v>
      </c>
      <c r="AK403">
        <f t="shared" ref="AK403" si="4866">AB403-AE403-AH403</f>
        <v>371</v>
      </c>
      <c r="AL403">
        <v>1</v>
      </c>
      <c r="AM403">
        <v>1</v>
      </c>
      <c r="AN403">
        <v>16</v>
      </c>
      <c r="AT403">
        <f t="shared" ref="AT403" si="4867">BN403-BN402</f>
        <v>27642</v>
      </c>
      <c r="AU403">
        <f t="shared" ref="AU403" si="4868">BO403-BO402</f>
        <v>1025</v>
      </c>
      <c r="AV403">
        <f t="shared" ref="AV403" si="4869">AU403/AT403</f>
        <v>3.7081253165472831E-2</v>
      </c>
      <c r="AW403">
        <f t="shared" ref="AW403" si="4870">BV403-BV402</f>
        <v>169</v>
      </c>
      <c r="AX403">
        <f t="shared" ref="AX403" si="4871">BW403-BW402</f>
        <v>4</v>
      </c>
      <c r="AY403">
        <f t="shared" ref="AY403" si="4872">CL403-CL402</f>
        <v>581</v>
      </c>
      <c r="AZ403">
        <f t="shared" ref="AZ403" si="4873">CM403-CM402</f>
        <v>15</v>
      </c>
      <c r="BA403">
        <f t="shared" ref="BA403" si="4874">CD403-CD402</f>
        <v>49</v>
      </c>
      <c r="BB403">
        <f t="shared" ref="BB403" si="4875">CE403-CE402</f>
        <v>0</v>
      </c>
      <c r="BC403">
        <f t="shared" ref="BC403" si="4876">AX403/AW403</f>
        <v>2.3668639053254437E-2</v>
      </c>
      <c r="BD403">
        <f t="shared" ref="BD403" si="4877">AZ403/AY403</f>
        <v>2.5817555938037865E-2</v>
      </c>
      <c r="BE403">
        <f t="shared" si="3674"/>
        <v>0</v>
      </c>
      <c r="BF403">
        <f t="shared" ref="BF403" si="4878">SUM(AU397:AU403)/SUM(AT397:AT403)</f>
        <v>3.9315265898103385E-2</v>
      </c>
      <c r="BG403">
        <f t="shared" ref="BG403" si="4879">SUM(AU390:AU403)/SUM(AT390:AT403)</f>
        <v>4.1490022172949004E-2</v>
      </c>
      <c r="BH403">
        <f t="shared" ref="BH403" si="4880">SUM(AX397:AX403)/SUM(AW397:AW403)</f>
        <v>1.2702078521939953E-2</v>
      </c>
      <c r="BI403">
        <f t="shared" ref="BI403" si="4881">SUM(AZ397:AZ403)/SUM(AY397:AY403)</f>
        <v>3.6557748301520546E-2</v>
      </c>
      <c r="BJ403">
        <f t="shared" ref="BJ403" si="4882">SUM(BB397:BB403)/SUM(BA397:BA403)</f>
        <v>8.3798882681564244E-3</v>
      </c>
      <c r="BN403" s="20">
        <v>4729402</v>
      </c>
      <c r="BO403" s="20">
        <v>391616</v>
      </c>
      <c r="BP403" s="20">
        <v>1414820</v>
      </c>
      <c r="BQ403" s="20">
        <v>279723</v>
      </c>
      <c r="BR403" s="20">
        <v>299179</v>
      </c>
      <c r="BS403" s="20">
        <v>63063</v>
      </c>
      <c r="BT403" s="21">
        <f t="shared" si="3960"/>
        <v>1694543</v>
      </c>
      <c r="BU403" s="21">
        <f t="shared" si="2991"/>
        <v>362242</v>
      </c>
      <c r="BV403" s="20">
        <v>38964</v>
      </c>
      <c r="BW403" s="20">
        <v>2939</v>
      </c>
      <c r="BX403" s="20">
        <v>9222</v>
      </c>
      <c r="BY403" s="20">
        <v>3255</v>
      </c>
      <c r="BZ403" s="20">
        <v>2161</v>
      </c>
      <c r="CA403" s="20">
        <v>640</v>
      </c>
      <c r="CB403" s="21">
        <f t="shared" si="3961"/>
        <v>12477</v>
      </c>
      <c r="CC403" s="21">
        <f t="shared" si="2993"/>
        <v>2801</v>
      </c>
      <c r="CD403" s="20">
        <v>29180</v>
      </c>
      <c r="CE403" s="20">
        <v>1716</v>
      </c>
      <c r="CF403" s="20">
        <v>5349</v>
      </c>
      <c r="CG403" s="20">
        <v>1791</v>
      </c>
      <c r="CH403" s="20">
        <v>1172</v>
      </c>
      <c r="CI403" s="20">
        <v>455</v>
      </c>
      <c r="CJ403" s="21">
        <f t="shared" si="3962"/>
        <v>7140</v>
      </c>
      <c r="CK403" s="21">
        <f t="shared" si="2995"/>
        <v>1627</v>
      </c>
      <c r="CL403" s="20">
        <v>210959</v>
      </c>
      <c r="CM403" s="20">
        <v>17062</v>
      </c>
      <c r="CN403" s="20">
        <v>66171</v>
      </c>
      <c r="CO403" s="20">
        <v>5139</v>
      </c>
      <c r="CP403" s="20">
        <v>14781</v>
      </c>
      <c r="CQ403" s="20">
        <v>848</v>
      </c>
      <c r="CR403" s="21">
        <f t="shared" si="3963"/>
        <v>71310</v>
      </c>
      <c r="CS403" s="21">
        <f t="shared" si="2997"/>
        <v>15629</v>
      </c>
    </row>
    <row r="404" spans="1:97" x14ac:dyDescent="0.35">
      <c r="A404" s="14">
        <f t="shared" si="2761"/>
        <v>44310</v>
      </c>
      <c r="B404" s="9">
        <f t="shared" si="3928"/>
        <v>1697048</v>
      </c>
      <c r="C404">
        <f t="shared" ref="C404" si="4883">BU404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884">-(J404-J403)+L404</f>
        <v>5</v>
      </c>
      <c r="N404" s="7">
        <f t="shared" ref="N404" si="4885">B404-C404</f>
        <v>1334370</v>
      </c>
      <c r="O404" s="4">
        <f t="shared" ref="O404" si="4886">C404/B404</f>
        <v>0.21371110304481664</v>
      </c>
      <c r="R404">
        <f t="shared" ref="R404" si="4887">C404-C403</f>
        <v>436</v>
      </c>
      <c r="S404">
        <f t="shared" ref="S404" si="4888">N404-N403</f>
        <v>2069</v>
      </c>
      <c r="T404" s="8">
        <f t="shared" ref="T404" si="4889">R404/V404</f>
        <v>0.17405189620758482</v>
      </c>
      <c r="U404" s="8">
        <f t="shared" ref="U404" si="4890">SUM(R398:R404)/SUM(V398:V404)</f>
        <v>0.17869092429945629</v>
      </c>
      <c r="V404">
        <f t="shared" ref="V404" si="4891">B404-B403</f>
        <v>2505</v>
      </c>
      <c r="W404">
        <f t="shared" ref="W404" si="4892">C404-D404-E404</f>
        <v>12638</v>
      </c>
      <c r="X404" s="3">
        <f t="shared" ref="X404" si="4893">F404/W404</f>
        <v>1.6537426808039248E-2</v>
      </c>
      <c r="Y404">
        <f t="shared" ref="Y404" si="4894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895">Z404-AC404-AF404</f>
        <v>46</v>
      </c>
      <c r="AJ404">
        <f t="shared" ref="AJ404" si="4896">AA404-AD404-AG404</f>
        <v>20</v>
      </c>
      <c r="AK404">
        <f t="shared" ref="AK404" si="4897">AB404-AE404-AH404</f>
        <v>364</v>
      </c>
      <c r="AL404">
        <v>1</v>
      </c>
      <c r="AM404">
        <v>1</v>
      </c>
      <c r="AN404">
        <v>13</v>
      </c>
      <c r="AT404">
        <f t="shared" ref="AT404" si="4898">BN404-BN403</f>
        <v>12506</v>
      </c>
      <c r="AU404">
        <f t="shared" ref="AU404" si="4899">BO404-BO403</f>
        <v>489</v>
      </c>
      <c r="AV404">
        <f t="shared" ref="AV404" si="4900">AU404/AT404</f>
        <v>3.9101231408923715E-2</v>
      </c>
      <c r="AW404">
        <f t="shared" ref="AW404" si="4901">BV404-BV403</f>
        <v>106</v>
      </c>
      <c r="AX404">
        <f t="shared" ref="AX404" si="4902">BW404-BW403</f>
        <v>0</v>
      </c>
      <c r="AY404">
        <f t="shared" ref="AY404" si="4903">CL404-CL403</f>
        <v>597</v>
      </c>
      <c r="AZ404">
        <f t="shared" ref="AZ404" si="4904">CM404-CM403</f>
        <v>14</v>
      </c>
      <c r="BA404">
        <f t="shared" ref="BA404" si="4905">CD404-CD403</f>
        <v>133</v>
      </c>
      <c r="BB404">
        <f t="shared" ref="BB404" si="4906">CE404-CE403</f>
        <v>3</v>
      </c>
      <c r="BC404">
        <f t="shared" ref="BC404" si="4907">AX404/AW404</f>
        <v>0</v>
      </c>
      <c r="BD404">
        <f t="shared" ref="BD404" si="4908">AZ404/AY404</f>
        <v>2.3450586264656615E-2</v>
      </c>
      <c r="BE404">
        <f t="shared" si="3674"/>
        <v>2.2556390977443608E-2</v>
      </c>
      <c r="BF404">
        <f t="shared" ref="BF404" si="4909">SUM(AU398:AU404)/SUM(AT398:AT404)</f>
        <v>3.9829032768719332E-2</v>
      </c>
      <c r="BG404">
        <f t="shared" ref="BG404" si="4910">SUM(AU391:AU404)/SUM(AT391:AT404)</f>
        <v>4.0917177307768331E-2</v>
      </c>
      <c r="BH404">
        <f t="shared" ref="BH404" si="4911">SUM(AX398:AX404)/SUM(AW398:AW404)</f>
        <v>9.3348891481913644E-3</v>
      </c>
      <c r="BI404">
        <f t="shared" ref="BI404" si="4912">SUM(AZ398:AZ404)/SUM(AY398:AY404)</f>
        <v>3.5664530509891337E-2</v>
      </c>
      <c r="BJ404">
        <f t="shared" ref="BJ404" si="4913">SUM(BB398:BB404)/SUM(BA398:BA404)</f>
        <v>1.4344262295081968E-2</v>
      </c>
      <c r="BN404" s="20">
        <v>4741908</v>
      </c>
      <c r="BO404" s="20">
        <v>392105</v>
      </c>
      <c r="BP404" s="20">
        <v>1416865</v>
      </c>
      <c r="BQ404" s="20">
        <v>280183</v>
      </c>
      <c r="BR404" s="20">
        <v>299515</v>
      </c>
      <c r="BS404" s="20">
        <v>63163</v>
      </c>
      <c r="BT404" s="21">
        <f t="shared" si="3960"/>
        <v>1697048</v>
      </c>
      <c r="BU404" s="21">
        <f t="shared" si="2991"/>
        <v>362678</v>
      </c>
      <c r="BV404" s="20">
        <v>39070</v>
      </c>
      <c r="BW404" s="20">
        <v>2939</v>
      </c>
      <c r="BX404" s="20">
        <v>9230</v>
      </c>
      <c r="BY404" s="20">
        <v>3260</v>
      </c>
      <c r="BZ404" s="20">
        <v>2164</v>
      </c>
      <c r="CA404" s="20">
        <v>642</v>
      </c>
      <c r="CB404" s="21">
        <f t="shared" si="3961"/>
        <v>12490</v>
      </c>
      <c r="CC404" s="21">
        <f t="shared" si="2993"/>
        <v>2806</v>
      </c>
      <c r="CD404" s="20">
        <v>29313</v>
      </c>
      <c r="CE404" s="20">
        <v>1719</v>
      </c>
      <c r="CF404" s="20">
        <v>5400</v>
      </c>
      <c r="CG404" s="20">
        <v>1754</v>
      </c>
      <c r="CH404" s="20">
        <v>1172</v>
      </c>
      <c r="CI404" s="20">
        <v>456</v>
      </c>
      <c r="CJ404" s="21">
        <f t="shared" si="3962"/>
        <v>7154</v>
      </c>
      <c r="CK404" s="21">
        <f t="shared" si="2995"/>
        <v>1628</v>
      </c>
      <c r="CL404" s="20">
        <v>211556</v>
      </c>
      <c r="CM404" s="20">
        <v>17076</v>
      </c>
      <c r="CN404" s="20">
        <v>66289</v>
      </c>
      <c r="CO404" s="20">
        <v>5129</v>
      </c>
      <c r="CP404" s="20">
        <v>14793</v>
      </c>
      <c r="CQ404" s="20">
        <v>849</v>
      </c>
      <c r="CR404" s="21">
        <f t="shared" si="3963"/>
        <v>71418</v>
      </c>
      <c r="CS404" s="21">
        <f t="shared" si="2997"/>
        <v>15642</v>
      </c>
    </row>
    <row r="405" spans="1:97" x14ac:dyDescent="0.35">
      <c r="A405" s="14">
        <f t="shared" si="2761"/>
        <v>44311</v>
      </c>
      <c r="B405" s="9">
        <f t="shared" ref="B405:B436" si="4914">BT405</f>
        <v>1697974</v>
      </c>
      <c r="C405">
        <f t="shared" ref="C405" si="4915">BU405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916">-(J405-J404)+L405</f>
        <v>10</v>
      </c>
      <c r="N405" s="7">
        <f t="shared" ref="N405" si="4917">B405-C405</f>
        <v>1335123</v>
      </c>
      <c r="O405" s="4">
        <f t="shared" ref="O405" si="4918">C405/B405</f>
        <v>0.21369644058154011</v>
      </c>
      <c r="R405">
        <f t="shared" ref="R405" si="4919">C405-C404</f>
        <v>173</v>
      </c>
      <c r="S405">
        <f t="shared" ref="S405" si="4920">N405-N404</f>
        <v>753</v>
      </c>
      <c r="T405" s="8">
        <f t="shared" ref="T405" si="4921">R405/V405</f>
        <v>0.18682505399568033</v>
      </c>
      <c r="U405" s="8">
        <f t="shared" ref="U405" si="4922">SUM(R399:R405)/SUM(V399:V405)</f>
        <v>0.17891472868217054</v>
      </c>
      <c r="V405">
        <f t="shared" ref="V405" si="4923">B405-B404</f>
        <v>926</v>
      </c>
      <c r="W405">
        <f t="shared" ref="W405" si="4924">C405-D405-E405</f>
        <v>12575</v>
      </c>
      <c r="X405" s="3">
        <f t="shared" ref="X405" si="4925">F405/W405</f>
        <v>1.4870775347912524E-2</v>
      </c>
      <c r="Y405">
        <f t="shared" ref="Y405" si="4926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927">Z405-AC405-AF405</f>
        <v>50</v>
      </c>
      <c r="AJ405">
        <f t="shared" ref="AJ405" si="4928">AA405-AD405-AG405</f>
        <v>21</v>
      </c>
      <c r="AK405">
        <f t="shared" ref="AK405" si="4929">AB405-AE405-AH405</f>
        <v>371</v>
      </c>
      <c r="AL405">
        <v>1</v>
      </c>
      <c r="AM405">
        <v>1</v>
      </c>
      <c r="AN405">
        <v>13</v>
      </c>
      <c r="AT405">
        <f t="shared" ref="AT405" si="4930">BN405-BN404</f>
        <v>3951</v>
      </c>
      <c r="AU405">
        <f t="shared" ref="AU405" si="4931">BO405-BO404</f>
        <v>192</v>
      </c>
      <c r="AV405">
        <f t="shared" ref="AV405" si="4932">AU405/AT405</f>
        <v>4.8595292331055431E-2</v>
      </c>
      <c r="AW405">
        <f t="shared" ref="AW405" si="4933">BV405-BV404</f>
        <v>6</v>
      </c>
      <c r="AX405">
        <f t="shared" ref="AX405" si="4934">BW405-BW404</f>
        <v>0</v>
      </c>
      <c r="AY405">
        <f t="shared" ref="AY405" si="4935">CL405-CL404</f>
        <v>101</v>
      </c>
      <c r="AZ405">
        <f t="shared" ref="AZ405" si="4936">CM405-CM404</f>
        <v>13</v>
      </c>
      <c r="BA405">
        <f t="shared" ref="BA405" si="4937">CD405-CD404</f>
        <v>11</v>
      </c>
      <c r="BB405">
        <f t="shared" ref="BB405" si="4938">CE405-CE404</f>
        <v>0</v>
      </c>
      <c r="BC405">
        <f t="shared" ref="BC405" si="4939">AX405/AW405</f>
        <v>0</v>
      </c>
      <c r="BD405">
        <f t="shared" ref="BD405" si="4940">AZ405/AY405</f>
        <v>0.12871287128712872</v>
      </c>
      <c r="BE405">
        <f t="shared" si="3674"/>
        <v>0</v>
      </c>
      <c r="BF405">
        <f t="shared" ref="BF405" si="4941">SUM(AU399:AU405)/SUM(AT399:AT405)</f>
        <v>3.8736147953491833E-2</v>
      </c>
      <c r="BG405">
        <f t="shared" ref="BG405" si="4942">SUM(AU392:AU405)/SUM(AT392:AT405)</f>
        <v>3.9967757103513135E-2</v>
      </c>
      <c r="BH405">
        <f t="shared" ref="BH405" si="4943">SUM(AX399:AX405)/SUM(AW399:AW405)</f>
        <v>1.1335012594458438E-2</v>
      </c>
      <c r="BI405">
        <f t="shared" ref="BI405" si="4944">SUM(AZ399:AZ405)/SUM(AY399:AY405)</f>
        <v>3.6091249574395641E-2</v>
      </c>
      <c r="BJ405">
        <f t="shared" ref="BJ405" si="4945">SUM(BB399:BB405)/SUM(BA399:BA405)</f>
        <v>1.1185682326621925E-2</v>
      </c>
      <c r="BN405" s="20">
        <v>4745859</v>
      </c>
      <c r="BO405" s="20">
        <v>392297</v>
      </c>
      <c r="BP405" s="20">
        <v>1417737</v>
      </c>
      <c r="BQ405" s="20">
        <v>280237</v>
      </c>
      <c r="BR405" s="20">
        <v>299670</v>
      </c>
      <c r="BS405" s="20">
        <v>63181</v>
      </c>
      <c r="BT405" s="21">
        <f t="shared" ref="BT405:BT436" si="4946">SUM(BP405:BQ405)</f>
        <v>1697974</v>
      </c>
      <c r="BU405" s="21">
        <f t="shared" si="2991"/>
        <v>362851</v>
      </c>
      <c r="BV405" s="20">
        <v>39076</v>
      </c>
      <c r="BW405" s="20">
        <v>2939</v>
      </c>
      <c r="BX405" s="20">
        <v>9233</v>
      </c>
      <c r="BY405" s="20">
        <v>3260</v>
      </c>
      <c r="BZ405" s="20">
        <v>2165</v>
      </c>
      <c r="CA405" s="20">
        <v>642</v>
      </c>
      <c r="CB405" s="21">
        <f t="shared" ref="CB405:CB436" si="4947">SUM(BX405:BY405)</f>
        <v>12493</v>
      </c>
      <c r="CC405" s="21">
        <f t="shared" si="2993"/>
        <v>2807</v>
      </c>
      <c r="CD405" s="20">
        <v>29324</v>
      </c>
      <c r="CE405" s="20">
        <v>1719</v>
      </c>
      <c r="CF405" s="20">
        <v>5399</v>
      </c>
      <c r="CG405" s="20">
        <v>1757</v>
      </c>
      <c r="CH405" s="20">
        <v>1172</v>
      </c>
      <c r="CI405" s="20">
        <v>456</v>
      </c>
      <c r="CJ405" s="21">
        <f t="shared" ref="CJ405:CJ436" si="4948">SUM(CF405:CG405)</f>
        <v>7156</v>
      </c>
      <c r="CK405" s="21">
        <f t="shared" si="2995"/>
        <v>1628</v>
      </c>
      <c r="CL405" s="20">
        <v>211657</v>
      </c>
      <c r="CM405" s="20">
        <v>17089</v>
      </c>
      <c r="CN405" s="20">
        <v>66315</v>
      </c>
      <c r="CO405" s="20">
        <v>5126</v>
      </c>
      <c r="CP405" s="20">
        <v>14798</v>
      </c>
      <c r="CQ405" s="20">
        <v>849</v>
      </c>
      <c r="CR405" s="21">
        <f t="shared" ref="CR405:CR436" si="4949">SUM(CN405:CO405)</f>
        <v>71441</v>
      </c>
      <c r="CS405" s="21">
        <f t="shared" si="2997"/>
        <v>15647</v>
      </c>
    </row>
    <row r="406" spans="1:97" x14ac:dyDescent="0.35">
      <c r="A406" s="14">
        <f t="shared" si="2761"/>
        <v>44312</v>
      </c>
      <c r="B406" s="9">
        <f t="shared" si="4914"/>
        <v>1698324</v>
      </c>
      <c r="C406">
        <f t="shared" ref="C406" si="4950">BU406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951">-(J406-J405)+L406</f>
        <v>5</v>
      </c>
      <c r="N406" s="7">
        <f t="shared" ref="N406" si="4952">B406-C406</f>
        <v>1335426</v>
      </c>
      <c r="O406" s="4">
        <f t="shared" ref="O406" si="4953">C406/B406</f>
        <v>0.21368007518000098</v>
      </c>
      <c r="R406">
        <f t="shared" ref="R406" si="4954">C406-C405</f>
        <v>47</v>
      </c>
      <c r="S406">
        <f t="shared" ref="S406" si="4955">N406-N405</f>
        <v>303</v>
      </c>
      <c r="T406" s="8">
        <f t="shared" ref="T406" si="4956">R406/V406</f>
        <v>0.13428571428571429</v>
      </c>
      <c r="U406" s="8">
        <f t="shared" ref="U406" si="4957">SUM(R400:R406)/SUM(V400:V406)</f>
        <v>0.17991277745232051</v>
      </c>
      <c r="V406">
        <f t="shared" ref="V406" si="4958">B406-B405</f>
        <v>350</v>
      </c>
      <c r="W406">
        <f t="shared" ref="W406" si="4959">C406-D406-E406</f>
        <v>12405</v>
      </c>
      <c r="X406" s="3">
        <f t="shared" ref="X406" si="4960">F406/W406</f>
        <v>1.4429665457476823E-2</v>
      </c>
      <c r="Y406">
        <f t="shared" ref="Y406" si="4961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962">Z406-AC406-AF406</f>
        <v>51</v>
      </c>
      <c r="AJ406">
        <f t="shared" ref="AJ406" si="4963">AA406-AD406-AG406</f>
        <v>20</v>
      </c>
      <c r="AK406">
        <f t="shared" ref="AK406" si="4964">AB406-AE406-AH406</f>
        <v>367</v>
      </c>
      <c r="AL406">
        <v>1</v>
      </c>
      <c r="AM406">
        <v>1</v>
      </c>
      <c r="AN406">
        <v>13</v>
      </c>
      <c r="AT406">
        <f t="shared" ref="AT406" si="4965">BN406-BN405</f>
        <v>1261</v>
      </c>
      <c r="AU406">
        <f t="shared" ref="AU406" si="4966">BO406-BO405</f>
        <v>74</v>
      </c>
      <c r="AV406">
        <f t="shared" ref="AV406" si="4967">AU406/AT406</f>
        <v>5.8683584456780333E-2</v>
      </c>
      <c r="AW406">
        <f t="shared" ref="AW406" si="4968">BV406-BV405</f>
        <v>7</v>
      </c>
      <c r="AX406">
        <f t="shared" ref="AX406" si="4969">BW406-BW405</f>
        <v>0</v>
      </c>
      <c r="AY406">
        <f t="shared" ref="AY406" si="4970">CL406-CL405</f>
        <v>108</v>
      </c>
      <c r="AZ406">
        <f t="shared" ref="AZ406" si="4971">CM406-CM405</f>
        <v>-4</v>
      </c>
      <c r="BA406">
        <f t="shared" ref="BA406" si="4972">CD406-CD405</f>
        <v>15</v>
      </c>
      <c r="BB406">
        <f t="shared" ref="BB406" si="4973">CE406-CE405</f>
        <v>0</v>
      </c>
      <c r="BC406">
        <f t="shared" ref="BC406" si="4974">AX406/AW406</f>
        <v>0</v>
      </c>
      <c r="BD406">
        <f t="shared" ref="BD406" si="4975">AZ406/AY406</f>
        <v>-3.7037037037037035E-2</v>
      </c>
      <c r="BE406">
        <f t="shared" si="3674"/>
        <v>0</v>
      </c>
      <c r="BF406">
        <f t="shared" ref="BF406" si="4976">SUM(AU400:AU406)/SUM(AT400:AT406)</f>
        <v>3.8572454003954211E-2</v>
      </c>
      <c r="BG406">
        <f t="shared" ref="BG406" si="4977">SUM(AU393:AU406)/SUM(AT393:AT406)</f>
        <v>4.0300746264011901E-2</v>
      </c>
      <c r="BH406">
        <f t="shared" ref="BH406" si="4978">SUM(AX400:AX406)/SUM(AW400:AW406)</f>
        <v>1.6372795969773299E-2</v>
      </c>
      <c r="BI406">
        <f t="shared" ref="BI406" si="4979">SUM(AZ400:AZ406)/SUM(AY400:AY406)</f>
        <v>3.246318607764391E-2</v>
      </c>
      <c r="BJ406">
        <f t="shared" ref="BJ406" si="4980">SUM(BB400:BB406)/SUM(BA400:BA406)</f>
        <v>1.3186813186813187E-2</v>
      </c>
      <c r="BN406" s="20">
        <v>4747120</v>
      </c>
      <c r="BO406" s="20">
        <v>392371</v>
      </c>
      <c r="BP406" s="20">
        <v>1417968</v>
      </c>
      <c r="BQ406" s="20">
        <v>280356</v>
      </c>
      <c r="BR406" s="20">
        <v>299702</v>
      </c>
      <c r="BS406" s="20">
        <v>63196</v>
      </c>
      <c r="BT406" s="21">
        <f t="shared" si="4946"/>
        <v>1698324</v>
      </c>
      <c r="BU406" s="21">
        <f t="shared" si="2991"/>
        <v>362898</v>
      </c>
      <c r="BV406" s="20">
        <v>39083</v>
      </c>
      <c r="BW406" s="20">
        <v>2939</v>
      </c>
      <c r="BX406" s="20">
        <v>9238</v>
      </c>
      <c r="BY406" s="20">
        <v>3260</v>
      </c>
      <c r="BZ406" s="20">
        <v>2166</v>
      </c>
      <c r="CA406" s="20">
        <v>642</v>
      </c>
      <c r="CB406" s="21">
        <f t="shared" si="4947"/>
        <v>12498</v>
      </c>
      <c r="CC406" s="21">
        <f t="shared" si="2993"/>
        <v>2808</v>
      </c>
      <c r="CD406" s="20">
        <v>29339</v>
      </c>
      <c r="CE406" s="20">
        <v>1719</v>
      </c>
      <c r="CF406" s="20">
        <v>5403</v>
      </c>
      <c r="CG406" s="20">
        <v>1758</v>
      </c>
      <c r="CH406" s="20">
        <v>1172</v>
      </c>
      <c r="CI406" s="20">
        <v>456</v>
      </c>
      <c r="CJ406" s="21">
        <f t="shared" si="4948"/>
        <v>7161</v>
      </c>
      <c r="CK406" s="21">
        <f t="shared" si="2995"/>
        <v>1628</v>
      </c>
      <c r="CL406" s="20">
        <v>211765</v>
      </c>
      <c r="CM406" s="20">
        <v>17085</v>
      </c>
      <c r="CN406" s="20">
        <v>66347</v>
      </c>
      <c r="CO406" s="20">
        <v>5131</v>
      </c>
      <c r="CP406" s="20">
        <v>14801</v>
      </c>
      <c r="CQ406" s="20">
        <v>849</v>
      </c>
      <c r="CR406" s="21">
        <f t="shared" si="4949"/>
        <v>71478</v>
      </c>
      <c r="CS406" s="21">
        <f t="shared" si="2997"/>
        <v>15650</v>
      </c>
    </row>
    <row r="407" spans="1:97" x14ac:dyDescent="0.35">
      <c r="A407" s="14">
        <f t="shared" si="2761"/>
        <v>44313</v>
      </c>
      <c r="B407" s="9">
        <f t="shared" si="4914"/>
        <v>1701544</v>
      </c>
      <c r="C407">
        <f t="shared" ref="C407" si="4981">BU407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982">-(J407-J406)+L407</f>
        <v>1</v>
      </c>
      <c r="N407" s="7">
        <f t="shared" ref="N407" si="4983">B407-C407</f>
        <v>1338169</v>
      </c>
      <c r="O407" s="4">
        <f t="shared" ref="O407" si="4984">C407/B407</f>
        <v>0.21355604086641308</v>
      </c>
      <c r="R407">
        <f t="shared" ref="R407" si="4985">C407-C406</f>
        <v>477</v>
      </c>
      <c r="S407">
        <f t="shared" ref="S407" si="4986">N407-N406</f>
        <v>2743</v>
      </c>
      <c r="T407" s="8">
        <f t="shared" ref="T407" si="4987">R407/V407</f>
        <v>0.14813664596273293</v>
      </c>
      <c r="U407" s="8">
        <f t="shared" ref="U407" si="4988">SUM(R401:R407)/SUM(V401:V407)</f>
        <v>0.17366621508289787</v>
      </c>
      <c r="V407">
        <f t="shared" ref="V407" si="4989">B407-B406</f>
        <v>3220</v>
      </c>
      <c r="W407">
        <f t="shared" ref="W407" si="4990">C407-D407-E407</f>
        <v>12047</v>
      </c>
      <c r="X407" s="3">
        <f t="shared" ref="X407" si="4991">F407/W407</f>
        <v>1.5273512077695691E-2</v>
      </c>
      <c r="Y407">
        <f t="shared" ref="Y407" si="4992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993">Z407-AC407-AF407</f>
        <v>49</v>
      </c>
      <c r="AJ407">
        <f t="shared" ref="AJ407" si="4994">AA407-AD407-AG407</f>
        <v>20</v>
      </c>
      <c r="AK407">
        <f t="shared" ref="AK407" si="4995">AB407-AE407-AH407</f>
        <v>347</v>
      </c>
      <c r="AL407">
        <v>1</v>
      </c>
      <c r="AM407">
        <v>1</v>
      </c>
      <c r="AN407">
        <v>13</v>
      </c>
      <c r="AT407">
        <f t="shared" ref="AT407" si="4996">BN407-BN406</f>
        <v>14422</v>
      </c>
      <c r="AU407">
        <f t="shared" ref="AU407" si="4997">BO407-BO406</f>
        <v>496</v>
      </c>
      <c r="AV407">
        <f t="shared" ref="AV407" si="4998">AU407/AT407</f>
        <v>3.4391901261960893E-2</v>
      </c>
      <c r="AW407">
        <f t="shared" ref="AW407" si="4999">BV407-BV406</f>
        <v>83</v>
      </c>
      <c r="AX407">
        <f t="shared" ref="AX407" si="5000">BW407-BW406</f>
        <v>4</v>
      </c>
      <c r="AY407">
        <f t="shared" ref="AY407" si="5001">CL407-CL406</f>
        <v>446</v>
      </c>
      <c r="AZ407">
        <f t="shared" ref="AZ407" si="5002">CM407-CM406</f>
        <v>15</v>
      </c>
      <c r="BA407">
        <f t="shared" ref="BA407" si="5003">CD407-CD406</f>
        <v>48</v>
      </c>
      <c r="BB407">
        <f t="shared" ref="BB407" si="5004">CE407-CE406</f>
        <v>-2</v>
      </c>
      <c r="BC407">
        <f t="shared" ref="BC407" si="5005">AX407/AW407</f>
        <v>4.8192771084337352E-2</v>
      </c>
      <c r="BD407">
        <f t="shared" ref="BD407" si="5006">AZ407/AY407</f>
        <v>3.3632286995515695E-2</v>
      </c>
      <c r="BE407">
        <f t="shared" si="3674"/>
        <v>-4.1666666666666664E-2</v>
      </c>
      <c r="BF407">
        <f t="shared" ref="BF407" si="5007">SUM(AU401:AU407)/SUM(AT401:AT407)</f>
        <v>3.8567636496122416E-2</v>
      </c>
      <c r="BG407">
        <f t="shared" ref="BG407" si="5008">SUM(AU394:AU407)/SUM(AT394:AT407)</f>
        <v>4.0117128471373123E-2</v>
      </c>
      <c r="BH407">
        <f t="shared" ref="BH407" si="5009">SUM(AX401:AX407)/SUM(AW401:AW407)</f>
        <v>1.8083182640144666E-2</v>
      </c>
      <c r="BI407">
        <f t="shared" ref="BI407" si="5010">SUM(AZ401:AZ407)/SUM(AY401:AY407)</f>
        <v>3.3052039381153309E-2</v>
      </c>
      <c r="BJ407">
        <f t="shared" ref="BJ407" si="5011">SUM(BB401:BB407)/SUM(BA401:BA407)</f>
        <v>5.1020408163265302E-3</v>
      </c>
      <c r="BN407" s="20">
        <v>4761542</v>
      </c>
      <c r="BO407" s="20">
        <v>392867</v>
      </c>
      <c r="BP407" s="20">
        <v>1420417</v>
      </c>
      <c r="BQ407" s="20">
        <v>281127</v>
      </c>
      <c r="BR407" s="20">
        <v>300053</v>
      </c>
      <c r="BS407" s="20">
        <v>63322</v>
      </c>
      <c r="BT407" s="21">
        <f t="shared" si="4946"/>
        <v>1701544</v>
      </c>
      <c r="BU407" s="21">
        <f t="shared" si="2991"/>
        <v>363375</v>
      </c>
      <c r="BV407" s="20">
        <v>39166</v>
      </c>
      <c r="BW407" s="20">
        <v>2943</v>
      </c>
      <c r="BX407" s="20">
        <v>9248</v>
      </c>
      <c r="BY407" s="20">
        <v>3267</v>
      </c>
      <c r="BZ407" s="20">
        <v>2166</v>
      </c>
      <c r="CA407" s="20">
        <v>642</v>
      </c>
      <c r="CB407" s="21">
        <f t="shared" si="4947"/>
        <v>12515</v>
      </c>
      <c r="CC407" s="21">
        <f t="shared" si="2993"/>
        <v>2808</v>
      </c>
      <c r="CD407" s="20">
        <v>29387</v>
      </c>
      <c r="CE407" s="20">
        <v>1717</v>
      </c>
      <c r="CF407" s="20">
        <v>5410</v>
      </c>
      <c r="CG407" s="20">
        <v>1761</v>
      </c>
      <c r="CH407" s="20">
        <v>1172</v>
      </c>
      <c r="CI407" s="20">
        <v>456</v>
      </c>
      <c r="CJ407" s="21">
        <f t="shared" si="4948"/>
        <v>7171</v>
      </c>
      <c r="CK407" s="21">
        <f t="shared" si="2995"/>
        <v>1628</v>
      </c>
      <c r="CL407" s="20">
        <v>212211</v>
      </c>
      <c r="CM407" s="20">
        <v>17100</v>
      </c>
      <c r="CN407" s="20">
        <v>66434</v>
      </c>
      <c r="CO407" s="20">
        <v>5144</v>
      </c>
      <c r="CP407" s="20">
        <v>14811</v>
      </c>
      <c r="CQ407" s="20">
        <v>849</v>
      </c>
      <c r="CR407" s="21">
        <f t="shared" si="4949"/>
        <v>71578</v>
      </c>
      <c r="CS407" s="21">
        <f t="shared" si="2997"/>
        <v>15660</v>
      </c>
    </row>
    <row r="408" spans="1:97" x14ac:dyDescent="0.35">
      <c r="A408" s="14">
        <f t="shared" si="2761"/>
        <v>44314</v>
      </c>
      <c r="B408" s="9">
        <f t="shared" si="4914"/>
        <v>1704202</v>
      </c>
      <c r="C408">
        <f t="shared" ref="C408" si="5012">BU408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013">-(J408-J407)+L408</f>
        <v>2</v>
      </c>
      <c r="N408" s="7">
        <f t="shared" ref="N408" si="5014">B408-C408</f>
        <v>1340359</v>
      </c>
      <c r="O408" s="4">
        <f t="shared" ref="O408" si="5015">C408/B408</f>
        <v>0.21349757833871807</v>
      </c>
      <c r="R408">
        <f t="shared" ref="R408" si="5016">C408-C407</f>
        <v>468</v>
      </c>
      <c r="S408">
        <f t="shared" ref="S408" si="5017">N408-N407</f>
        <v>2190</v>
      </c>
      <c r="T408" s="8">
        <f t="shared" ref="T408" si="5018">R408/V408</f>
        <v>0.17607223476297967</v>
      </c>
      <c r="U408" s="8">
        <f t="shared" ref="U408" si="5019">SUM(R402:R408)/SUM(V402:V408)</f>
        <v>0.17111783255035717</v>
      </c>
      <c r="V408">
        <f t="shared" ref="V408" si="5020">B408-B407</f>
        <v>2658</v>
      </c>
      <c r="W408">
        <f t="shared" ref="W408" si="5021">C408-D408-E408</f>
        <v>11937</v>
      </c>
      <c r="X408" s="3">
        <f t="shared" ref="X408" si="5022">F408/W408</f>
        <v>1.5414258188824663E-2</v>
      </c>
      <c r="Y408">
        <f t="shared" ref="Y408" si="5023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024">Z408-AC408-AF408</f>
        <v>46</v>
      </c>
      <c r="AJ408">
        <f t="shared" ref="AJ408" si="5025">AA408-AD408-AG408</f>
        <v>19</v>
      </c>
      <c r="AK408">
        <f t="shared" ref="AK408" si="5026">AB408-AE408-AH408</f>
        <v>338</v>
      </c>
      <c r="AL408">
        <v>1</v>
      </c>
      <c r="AM408">
        <v>1</v>
      </c>
      <c r="AN408">
        <v>13</v>
      </c>
      <c r="AT408">
        <f t="shared" ref="AT408" si="5027">BN408-BN407</f>
        <v>14471</v>
      </c>
      <c r="AU408">
        <f t="shared" ref="AU408" si="5028">BO408-BO407</f>
        <v>516</v>
      </c>
      <c r="AV408">
        <f t="shared" ref="AV408" si="5029">AU408/AT408</f>
        <v>3.565752194043259E-2</v>
      </c>
      <c r="AW408">
        <f t="shared" ref="AW408" si="5030">BV408-BV407</f>
        <v>100</v>
      </c>
      <c r="AX408">
        <f t="shared" ref="AX408" si="5031">BW408-BW407</f>
        <v>3</v>
      </c>
      <c r="AY408">
        <f t="shared" ref="AY408" si="5032">CL408-CL407</f>
        <v>500</v>
      </c>
      <c r="AZ408">
        <f t="shared" ref="AZ408" si="5033">CM408-CM407</f>
        <v>13</v>
      </c>
      <c r="BA408">
        <f t="shared" ref="BA408" si="5034">CD408-CD407</f>
        <v>103</v>
      </c>
      <c r="BB408">
        <f t="shared" ref="BB408" si="5035">CE408-CE407</f>
        <v>0</v>
      </c>
      <c r="BC408">
        <f t="shared" ref="BC408" si="5036">AX408/AW408</f>
        <v>0.03</v>
      </c>
      <c r="BD408">
        <f t="shared" ref="BD408" si="5037">AZ408/AY408</f>
        <v>2.5999999999999999E-2</v>
      </c>
      <c r="BE408">
        <f t="shared" si="3674"/>
        <v>0</v>
      </c>
      <c r="BF408">
        <f t="shared" ref="BF408" si="5038">SUM(AU402:AU408)/SUM(AT402:AT408)</f>
        <v>3.6828741906817314E-2</v>
      </c>
      <c r="BG408">
        <f t="shared" ref="BG408" si="5039">SUM(AU395:AU408)/SUM(AT395:AT408)</f>
        <v>3.9259899134897545E-2</v>
      </c>
      <c r="BH408">
        <f t="shared" ref="BH408" si="5040">SUM(AX402:AX408)/SUM(AW402:AW408)</f>
        <v>1.7452006980802792E-2</v>
      </c>
      <c r="BI408">
        <f t="shared" ref="BI408" si="5041">SUM(AZ402:AZ408)/SUM(AY402:AY408)</f>
        <v>3.2508833922261483E-2</v>
      </c>
      <c r="BJ408">
        <f t="shared" ref="BJ408" si="5042">SUM(BB402:BB408)/SUM(BA402:BA408)</f>
        <v>5.0000000000000001E-3</v>
      </c>
      <c r="BN408" s="20">
        <v>4776013</v>
      </c>
      <c r="BO408" s="20">
        <v>393383</v>
      </c>
      <c r="BP408" s="20">
        <v>1422284</v>
      </c>
      <c r="BQ408" s="20">
        <v>281918</v>
      </c>
      <c r="BR408" s="20">
        <v>300426</v>
      </c>
      <c r="BS408" s="20">
        <v>63417</v>
      </c>
      <c r="BT408" s="21">
        <f t="shared" si="4946"/>
        <v>1704202</v>
      </c>
      <c r="BU408" s="21">
        <f t="shared" si="2991"/>
        <v>363843</v>
      </c>
      <c r="BV408" s="20">
        <v>39266</v>
      </c>
      <c r="BW408" s="20">
        <v>2946</v>
      </c>
      <c r="BX408" s="20">
        <v>9261</v>
      </c>
      <c r="BY408" s="20">
        <v>3273</v>
      </c>
      <c r="BZ408" s="20">
        <v>2167</v>
      </c>
      <c r="CA408" s="20">
        <v>643</v>
      </c>
      <c r="CB408" s="21">
        <f t="shared" si="4947"/>
        <v>12534</v>
      </c>
      <c r="CC408" s="21">
        <f t="shared" si="2993"/>
        <v>2810</v>
      </c>
      <c r="CD408" s="20">
        <v>29490</v>
      </c>
      <c r="CE408" s="20">
        <v>1717</v>
      </c>
      <c r="CF408" s="20">
        <v>5416</v>
      </c>
      <c r="CG408" s="20">
        <v>1771</v>
      </c>
      <c r="CH408" s="20">
        <v>1172</v>
      </c>
      <c r="CI408" s="20">
        <v>456</v>
      </c>
      <c r="CJ408" s="21">
        <f t="shared" si="4948"/>
        <v>7187</v>
      </c>
      <c r="CK408" s="21">
        <f t="shared" si="2995"/>
        <v>1628</v>
      </c>
      <c r="CL408" s="20">
        <v>212711</v>
      </c>
      <c r="CM408" s="20">
        <v>17113</v>
      </c>
      <c r="CN408" s="20">
        <v>66517</v>
      </c>
      <c r="CO408" s="20">
        <v>5155</v>
      </c>
      <c r="CP408" s="20">
        <v>14824</v>
      </c>
      <c r="CQ408" s="20">
        <v>850</v>
      </c>
      <c r="CR408" s="21">
        <f t="shared" si="4949"/>
        <v>71672</v>
      </c>
      <c r="CS408" s="21">
        <f t="shared" si="2997"/>
        <v>15674</v>
      </c>
    </row>
    <row r="409" spans="1:97" x14ac:dyDescent="0.35">
      <c r="A409" s="14">
        <f t="shared" si="2761"/>
        <v>44315</v>
      </c>
      <c r="B409" s="9">
        <f t="shared" si="4914"/>
        <v>1707371</v>
      </c>
      <c r="C409">
        <f t="shared" ref="C409" si="5043">BU409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044">-(J409-J408)+L409</f>
        <v>8</v>
      </c>
      <c r="N409" s="7">
        <f t="shared" ref="N409" si="5045">B409-C409</f>
        <v>1342968</v>
      </c>
      <c r="O409" s="4">
        <f t="shared" ref="O409" si="5046">C409/B409</f>
        <v>0.2134293015402042</v>
      </c>
      <c r="R409">
        <f t="shared" ref="R409" si="5047">C409-C408</f>
        <v>560</v>
      </c>
      <c r="S409">
        <f t="shared" ref="S409" si="5048">N409-N408</f>
        <v>2609</v>
      </c>
      <c r="T409" s="8">
        <f t="shared" ref="T409" si="5049">R409/V409</f>
        <v>0.17671189649731778</v>
      </c>
      <c r="U409" s="8">
        <f t="shared" ref="U409" si="5050">SUM(R403:R409)/SUM(V403:V409)</f>
        <v>0.17117067227821464</v>
      </c>
      <c r="V409">
        <f t="shared" ref="V409" si="5051">B409-B408</f>
        <v>3169</v>
      </c>
      <c r="W409">
        <f t="shared" ref="W409" si="5052">C409-D409-E409</f>
        <v>11864</v>
      </c>
      <c r="X409" s="3">
        <f t="shared" ref="X409" si="5053">F409/W409</f>
        <v>1.5509103169251517E-2</v>
      </c>
      <c r="Y409">
        <f t="shared" ref="Y409" si="5054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055">Z409-AC409-AF409</f>
        <v>46</v>
      </c>
      <c r="AJ409">
        <f t="shared" ref="AJ409" si="5056">AA409-AD409-AG409</f>
        <v>18</v>
      </c>
      <c r="AK409">
        <f t="shared" ref="AK409" si="5057">AB409-AE409-AH409</f>
        <v>342</v>
      </c>
      <c r="AL409">
        <v>1</v>
      </c>
      <c r="AM409">
        <v>1</v>
      </c>
      <c r="AN409">
        <v>13</v>
      </c>
      <c r="AT409">
        <f t="shared" ref="AT409" si="5058">BN409-BN408</f>
        <v>17153</v>
      </c>
      <c r="AU409">
        <f t="shared" ref="AU409" si="5059">BO409-BO408</f>
        <v>618</v>
      </c>
      <c r="AV409">
        <f t="shared" ref="AV409" si="5060">AU409/AT409</f>
        <v>3.6028683029207718E-2</v>
      </c>
      <c r="AW409">
        <f t="shared" ref="AW409" si="5061">BV409-BV408</f>
        <v>104</v>
      </c>
      <c r="AX409">
        <f t="shared" ref="AX409" si="5062">BW409-BW408</f>
        <v>1</v>
      </c>
      <c r="AY409">
        <f t="shared" ref="AY409" si="5063">CL409-CL408</f>
        <v>675</v>
      </c>
      <c r="AZ409">
        <f t="shared" ref="AZ409" si="5064">CM409-CM408</f>
        <v>24</v>
      </c>
      <c r="BA409">
        <f t="shared" ref="BA409" si="5065">CD409-CD408</f>
        <v>67</v>
      </c>
      <c r="BB409">
        <f t="shared" ref="BB409" si="5066">CE409-CE408</f>
        <v>3</v>
      </c>
      <c r="BC409">
        <f t="shared" ref="BC409" si="5067">AX409/AW409</f>
        <v>9.6153846153846159E-3</v>
      </c>
      <c r="BD409">
        <f t="shared" ref="BD409" si="5068">AZ409/AY409</f>
        <v>3.5555555555555556E-2</v>
      </c>
      <c r="BE409">
        <f t="shared" si="3674"/>
        <v>4.4776119402985072E-2</v>
      </c>
      <c r="BF409">
        <f t="shared" ref="BF409" si="5069">SUM(AU403:AU409)/SUM(AT403:AT409)</f>
        <v>3.7306084939719493E-2</v>
      </c>
      <c r="BG409">
        <f t="shared" ref="BG409" si="5070">SUM(AU396:AU409)/SUM(AT396:AT409)</f>
        <v>3.8848099916610764E-2</v>
      </c>
      <c r="BH409">
        <f t="shared" ref="BH409" si="5071">SUM(AX403:AX409)/SUM(AW403:AW409)</f>
        <v>2.0869565217391306E-2</v>
      </c>
      <c r="BI409">
        <f t="shared" ref="BI409" si="5072">SUM(AZ403:AZ409)/SUM(AY403:AY409)</f>
        <v>2.9920212765957448E-2</v>
      </c>
      <c r="BJ409">
        <f t="shared" ref="BJ409" si="5073">SUM(BB403:BB409)/SUM(BA403:BA409)</f>
        <v>9.3896713615023476E-3</v>
      </c>
      <c r="BN409" s="20">
        <v>4793166</v>
      </c>
      <c r="BO409" s="20">
        <v>394001</v>
      </c>
      <c r="BP409" s="20">
        <v>1424600</v>
      </c>
      <c r="BQ409" s="20">
        <v>282771</v>
      </c>
      <c r="BR409" s="20">
        <v>300851</v>
      </c>
      <c r="BS409" s="20">
        <v>63552</v>
      </c>
      <c r="BT409" s="21">
        <f t="shared" si="4946"/>
        <v>1707371</v>
      </c>
      <c r="BU409" s="21">
        <f t="shared" si="2991"/>
        <v>364403</v>
      </c>
      <c r="BV409" s="20">
        <v>39370</v>
      </c>
      <c r="BW409" s="20">
        <v>2947</v>
      </c>
      <c r="BX409" s="20">
        <v>9275</v>
      </c>
      <c r="BY409" s="20">
        <v>3270</v>
      </c>
      <c r="BZ409" s="20">
        <v>2169</v>
      </c>
      <c r="CA409" s="20">
        <v>643</v>
      </c>
      <c r="CB409" s="21">
        <f t="shared" si="4947"/>
        <v>12545</v>
      </c>
      <c r="CC409" s="21">
        <f t="shared" si="2993"/>
        <v>2812</v>
      </c>
      <c r="CD409" s="20">
        <v>29557</v>
      </c>
      <c r="CE409" s="20">
        <v>1720</v>
      </c>
      <c r="CF409" s="20">
        <v>5422</v>
      </c>
      <c r="CG409" s="20">
        <v>1780</v>
      </c>
      <c r="CH409" s="20">
        <v>1173</v>
      </c>
      <c r="CI409" s="20">
        <v>456</v>
      </c>
      <c r="CJ409" s="21">
        <f t="shared" si="4948"/>
        <v>7202</v>
      </c>
      <c r="CK409" s="21">
        <f t="shared" si="2995"/>
        <v>1629</v>
      </c>
      <c r="CL409" s="20">
        <v>213386</v>
      </c>
      <c r="CM409" s="20">
        <v>17137</v>
      </c>
      <c r="CN409" s="20">
        <v>66623</v>
      </c>
      <c r="CO409" s="20">
        <v>5154</v>
      </c>
      <c r="CP409" s="20">
        <v>14837</v>
      </c>
      <c r="CQ409" s="20">
        <v>851</v>
      </c>
      <c r="CR409" s="21">
        <f t="shared" si="4949"/>
        <v>71777</v>
      </c>
      <c r="CS409" s="21">
        <f t="shared" si="2997"/>
        <v>15688</v>
      </c>
    </row>
    <row r="410" spans="1:97" x14ac:dyDescent="0.35">
      <c r="A410" s="14">
        <f t="shared" si="2761"/>
        <v>44316</v>
      </c>
      <c r="B410" s="9">
        <f t="shared" si="4914"/>
        <v>1709631</v>
      </c>
      <c r="C410">
        <f t="shared" ref="C410" si="5074">BU410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075">-(J410-J409)+L410</f>
        <v>5</v>
      </c>
      <c r="N410" s="7">
        <f t="shared" ref="N410" si="5076">B410-C410</f>
        <v>1344942</v>
      </c>
      <c r="O410" s="4">
        <f t="shared" ref="O410" si="5077">C410/B410</f>
        <v>0.21331445206597213</v>
      </c>
      <c r="R410">
        <f t="shared" ref="R410" si="5078">C410-C409</f>
        <v>286</v>
      </c>
      <c r="S410">
        <f t="shared" ref="S410" si="5079">N410-N409</f>
        <v>1974</v>
      </c>
      <c r="T410" s="8">
        <f t="shared" ref="T410" si="5080">R410/V410</f>
        <v>0.12654867256637167</v>
      </c>
      <c r="U410" s="8">
        <f t="shared" ref="U410" si="5081">SUM(R404:R410)/SUM(V404:V410)</f>
        <v>0.16218186638388124</v>
      </c>
      <c r="V410">
        <f t="shared" ref="V410" si="5082">B410-B409</f>
        <v>2260</v>
      </c>
      <c r="W410">
        <f t="shared" ref="W410" si="5083">C410-D410-E410</f>
        <v>11563</v>
      </c>
      <c r="X410" s="3">
        <f t="shared" ref="X410" si="5084">F410/W410</f>
        <v>1.6518204618178673E-2</v>
      </c>
      <c r="Y410">
        <f t="shared" ref="Y410" si="5085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086">Z410-AC410-AF410</f>
        <v>45</v>
      </c>
      <c r="AJ410">
        <f t="shared" ref="AJ410" si="5087">AA410-AD410-AG410</f>
        <v>19</v>
      </c>
      <c r="AK410">
        <f t="shared" ref="AK410" si="5088">AB410-AE410-AH410</f>
        <v>338</v>
      </c>
      <c r="AL410">
        <v>0</v>
      </c>
      <c r="AM410">
        <v>0</v>
      </c>
      <c r="AN410">
        <v>3</v>
      </c>
      <c r="AT410">
        <f t="shared" ref="AT410" si="5089">BN410-BN409</f>
        <v>8764</v>
      </c>
      <c r="AU410">
        <f t="shared" ref="AU410" si="5090">BO410-BO409</f>
        <v>309</v>
      </c>
      <c r="AV410">
        <f t="shared" ref="AV410" si="5091">AU410/AT410</f>
        <v>3.5257873117298034E-2</v>
      </c>
      <c r="AW410">
        <f t="shared" ref="AW410" si="5092">BV410-BV409</f>
        <v>48</v>
      </c>
      <c r="AX410">
        <f t="shared" ref="AX410" si="5093">BW410-BW409</f>
        <v>0</v>
      </c>
      <c r="AY410">
        <f t="shared" ref="AY410" si="5094">CL410-CL409</f>
        <v>295</v>
      </c>
      <c r="AZ410">
        <f t="shared" ref="AZ410" si="5095">CM410-CM409</f>
        <v>4</v>
      </c>
      <c r="BA410">
        <f t="shared" ref="BA410" si="5096">CD410-CD409</f>
        <v>29</v>
      </c>
      <c r="BB410">
        <f t="shared" ref="BB410" si="5097">CE410-CE409</f>
        <v>2</v>
      </c>
      <c r="BC410">
        <f t="shared" ref="BC410" si="5098">AX410/AW410</f>
        <v>0</v>
      </c>
      <c r="BD410">
        <f t="shared" ref="BD410" si="5099">AZ410/AY410</f>
        <v>1.3559322033898305E-2</v>
      </c>
      <c r="BE410">
        <f t="shared" si="3674"/>
        <v>6.8965517241379309E-2</v>
      </c>
      <c r="BF410">
        <f t="shared" ref="BF410" si="5100">SUM(AU404:AU410)/SUM(AT404:AT410)</f>
        <v>3.7144275314361347E-2</v>
      </c>
      <c r="BG410">
        <f t="shared" ref="BG410" si="5101">SUM(AU397:AU410)/SUM(AT397:AT410)</f>
        <v>3.8322318635859144E-2</v>
      </c>
      <c r="BH410">
        <f t="shared" ref="BH410" si="5102">SUM(AX404:AX410)/SUM(AW404:AW410)</f>
        <v>1.7621145374449341E-2</v>
      </c>
      <c r="BI410">
        <f t="shared" ref="BI410" si="5103">SUM(AZ404:AZ410)/SUM(AY404:AY410)</f>
        <v>2.9022777369581192E-2</v>
      </c>
      <c r="BJ410">
        <f t="shared" ref="BJ410" si="5104">SUM(BB404:BB410)/SUM(BA404:BA410)</f>
        <v>1.4778325123152709E-2</v>
      </c>
      <c r="BN410" s="20">
        <v>4801930</v>
      </c>
      <c r="BO410" s="20">
        <v>394310</v>
      </c>
      <c r="BP410" s="20">
        <v>1426465</v>
      </c>
      <c r="BQ410" s="20">
        <v>283166</v>
      </c>
      <c r="BR410" s="20">
        <v>301072</v>
      </c>
      <c r="BS410" s="20">
        <v>63617</v>
      </c>
      <c r="BT410" s="21">
        <f t="shared" si="4946"/>
        <v>1709631</v>
      </c>
      <c r="BU410" s="21">
        <f t="shared" si="2991"/>
        <v>364689</v>
      </c>
      <c r="BV410" s="20">
        <v>39418</v>
      </c>
      <c r="BW410" s="20">
        <v>2947</v>
      </c>
      <c r="BX410" s="20">
        <v>9279</v>
      </c>
      <c r="BY410" s="20">
        <v>3277</v>
      </c>
      <c r="BZ410" s="20">
        <v>2170</v>
      </c>
      <c r="CA410" s="20">
        <v>644</v>
      </c>
      <c r="CB410" s="21">
        <f t="shared" si="4947"/>
        <v>12556</v>
      </c>
      <c r="CC410" s="21">
        <f t="shared" si="2993"/>
        <v>2814</v>
      </c>
      <c r="CD410" s="20">
        <v>29586</v>
      </c>
      <c r="CE410" s="20">
        <v>1722</v>
      </c>
      <c r="CF410" s="20">
        <v>5426</v>
      </c>
      <c r="CG410" s="20">
        <v>1783</v>
      </c>
      <c r="CH410" s="20">
        <v>1175</v>
      </c>
      <c r="CI410" s="20">
        <v>456</v>
      </c>
      <c r="CJ410" s="21">
        <f t="shared" si="4948"/>
        <v>7209</v>
      </c>
      <c r="CK410" s="21">
        <f t="shared" si="2995"/>
        <v>1631</v>
      </c>
      <c r="CL410" s="20">
        <v>213681</v>
      </c>
      <c r="CM410" s="20">
        <v>17141</v>
      </c>
      <c r="CN410" s="20">
        <v>66678</v>
      </c>
      <c r="CO410" s="20">
        <v>5157</v>
      </c>
      <c r="CP410" s="20">
        <v>14843</v>
      </c>
      <c r="CQ410" s="20">
        <v>851</v>
      </c>
      <c r="CR410" s="21">
        <f t="shared" si="4949"/>
        <v>71835</v>
      </c>
      <c r="CS410" s="21">
        <f t="shared" si="2997"/>
        <v>15694</v>
      </c>
    </row>
    <row r="411" spans="1:97" x14ac:dyDescent="0.35">
      <c r="A411" s="14">
        <f t="shared" si="2761"/>
        <v>44317</v>
      </c>
      <c r="B411" s="9">
        <f t="shared" si="4914"/>
        <v>1712154</v>
      </c>
      <c r="C411">
        <f t="shared" ref="C411" si="5105">BU411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106">-(J411-J410)+L411</f>
        <v>9</v>
      </c>
      <c r="N411" s="7">
        <f t="shared" ref="N411" si="5107">B411-C411</f>
        <v>1346990</v>
      </c>
      <c r="O411" s="4">
        <f t="shared" ref="O411" si="5108">C411/B411</f>
        <v>0.21327754395924667</v>
      </c>
      <c r="R411">
        <f t="shared" ref="R411" si="5109">C411-C410</f>
        <v>475</v>
      </c>
      <c r="S411">
        <f t="shared" ref="S411" si="5110">N411-N410</f>
        <v>2048</v>
      </c>
      <c r="T411" s="8">
        <f t="shared" ref="T411" si="5111">R411/V411</f>
        <v>0.18826793499801822</v>
      </c>
      <c r="U411" s="8">
        <f t="shared" ref="U411" si="5112">SUM(R405:R411)/SUM(V405:V411)</f>
        <v>0.1645703693896465</v>
      </c>
      <c r="V411">
        <f t="shared" ref="V411" si="5113">B411-B410</f>
        <v>2523</v>
      </c>
      <c r="W411">
        <f t="shared" ref="W411" si="5114">C411-D411-E411</f>
        <v>11501</v>
      </c>
      <c r="X411" s="3">
        <f t="shared" ref="X411" si="5115">F411/W411</f>
        <v>1.6433353621424222E-2</v>
      </c>
      <c r="Y411">
        <f t="shared" ref="Y411" si="5116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117">Z411-AC411-AF411</f>
        <v>47</v>
      </c>
      <c r="AJ411">
        <f t="shared" ref="AJ411" si="5118">AA411-AD411-AG411</f>
        <v>21</v>
      </c>
      <c r="AK411">
        <f t="shared" ref="AK411" si="5119">AB411-AE411-AH411</f>
        <v>341</v>
      </c>
      <c r="AL411">
        <v>0</v>
      </c>
      <c r="AM411">
        <v>0</v>
      </c>
      <c r="AN411">
        <v>3</v>
      </c>
      <c r="AT411">
        <f t="shared" ref="AT411" si="5120">BN411-BN410</f>
        <v>14588</v>
      </c>
      <c r="AU411">
        <f t="shared" ref="AU411" si="5121">BO411-BO410</f>
        <v>510</v>
      </c>
      <c r="AV411">
        <f t="shared" ref="AV411" si="5122">AU411/AT411</f>
        <v>3.496024129421442E-2</v>
      </c>
      <c r="AW411">
        <f t="shared" ref="AW411" si="5123">BV411-BV410</f>
        <v>72</v>
      </c>
      <c r="AX411">
        <f t="shared" ref="AX411" si="5124">BW411-BW410</f>
        <v>6</v>
      </c>
      <c r="AY411">
        <f t="shared" ref="AY411" si="5125">CL411-CL410</f>
        <v>648</v>
      </c>
      <c r="AZ411">
        <f t="shared" ref="AZ411" si="5126">CM411-CM410</f>
        <v>21</v>
      </c>
      <c r="BA411">
        <f t="shared" ref="BA411" si="5127">CD411-CD410</f>
        <v>52</v>
      </c>
      <c r="BB411">
        <f t="shared" ref="BB411" si="5128">CE411-CE410</f>
        <v>1</v>
      </c>
      <c r="BC411">
        <f t="shared" ref="BC411" si="5129">AX411/AW411</f>
        <v>8.3333333333333329E-2</v>
      </c>
      <c r="BD411">
        <f t="shared" ref="BD411" si="5130">AZ411/AY411</f>
        <v>3.2407407407407406E-2</v>
      </c>
      <c r="BE411">
        <f t="shared" si="3674"/>
        <v>1.9230769230769232E-2</v>
      </c>
      <c r="BF411">
        <f t="shared" ref="BF411" si="5131">SUM(AU405:AU411)/SUM(AT405:AT411)</f>
        <v>3.6389223964616003E-2</v>
      </c>
      <c r="BG411">
        <f t="shared" ref="BG411" si="5132">SUM(AU398:AU411)/SUM(AT398:AT411)</f>
        <v>3.8313701177929323E-2</v>
      </c>
      <c r="BH411">
        <f t="shared" ref="BH411" si="5133">SUM(AX405:AX411)/SUM(AW405:AW411)</f>
        <v>3.3333333333333333E-2</v>
      </c>
      <c r="BI411">
        <f t="shared" ref="BI411" si="5134">SUM(AZ405:AZ411)/SUM(AY405:AY411)</f>
        <v>3.1013342949873783E-2</v>
      </c>
      <c r="BJ411">
        <f t="shared" ref="BJ411" si="5135">SUM(BB405:BB411)/SUM(BA405:BA411)</f>
        <v>1.2307692307692308E-2</v>
      </c>
      <c r="BN411" s="20">
        <v>4816518</v>
      </c>
      <c r="BO411" s="20">
        <v>394820</v>
      </c>
      <c r="BP411" s="20">
        <v>1428279</v>
      </c>
      <c r="BQ411" s="20">
        <v>283875</v>
      </c>
      <c r="BR411" s="20">
        <v>301411</v>
      </c>
      <c r="BS411" s="20">
        <v>63753</v>
      </c>
      <c r="BT411" s="21">
        <f t="shared" si="4946"/>
        <v>1712154</v>
      </c>
      <c r="BU411" s="21">
        <f t="shared" si="2991"/>
        <v>365164</v>
      </c>
      <c r="BV411" s="20">
        <v>39490</v>
      </c>
      <c r="BW411" s="20">
        <v>2953</v>
      </c>
      <c r="BX411" s="20">
        <v>9283</v>
      </c>
      <c r="BY411" s="20">
        <v>3286</v>
      </c>
      <c r="BZ411" s="20">
        <v>2172</v>
      </c>
      <c r="CA411" s="20">
        <v>644</v>
      </c>
      <c r="CB411" s="21">
        <f t="shared" si="4947"/>
        <v>12569</v>
      </c>
      <c r="CC411" s="21">
        <f t="shared" si="2993"/>
        <v>2816</v>
      </c>
      <c r="CD411" s="20">
        <v>29638</v>
      </c>
      <c r="CE411" s="20">
        <v>1723</v>
      </c>
      <c r="CF411" s="20">
        <v>5429</v>
      </c>
      <c r="CG411" s="20">
        <v>1789</v>
      </c>
      <c r="CH411" s="20">
        <v>1176</v>
      </c>
      <c r="CI411" s="20">
        <v>457</v>
      </c>
      <c r="CJ411" s="21">
        <f t="shared" si="4948"/>
        <v>7218</v>
      </c>
      <c r="CK411" s="21">
        <f t="shared" si="2995"/>
        <v>1633</v>
      </c>
      <c r="CL411" s="20">
        <v>214329</v>
      </c>
      <c r="CM411" s="20">
        <v>17162</v>
      </c>
      <c r="CN411" s="20">
        <v>66804</v>
      </c>
      <c r="CO411" s="20">
        <v>5136</v>
      </c>
      <c r="CP411" s="20">
        <v>14859</v>
      </c>
      <c r="CQ411" s="20">
        <v>855</v>
      </c>
      <c r="CR411" s="21">
        <f t="shared" si="4949"/>
        <v>71940</v>
      </c>
      <c r="CS411" s="21">
        <f t="shared" si="2997"/>
        <v>15714</v>
      </c>
    </row>
    <row r="412" spans="1:97" x14ac:dyDescent="0.35">
      <c r="A412" s="14">
        <f t="shared" si="2761"/>
        <v>44318</v>
      </c>
      <c r="B412" s="9">
        <f t="shared" si="4914"/>
        <v>1713817</v>
      </c>
      <c r="C412">
        <f t="shared" ref="C412" si="5136">BU412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137">-(J412-J411)+L412</f>
        <v>7</v>
      </c>
      <c r="N412" s="7">
        <f t="shared" ref="N412" si="5138">B412-C412</f>
        <v>1348327</v>
      </c>
      <c r="O412" s="4">
        <f t="shared" ref="O412" si="5139">C412/B412</f>
        <v>0.2132608090595437</v>
      </c>
      <c r="R412">
        <f t="shared" ref="R412" si="5140">C412-C411</f>
        <v>326</v>
      </c>
      <c r="S412">
        <f t="shared" ref="S412" si="5141">N412-N411</f>
        <v>1337</v>
      </c>
      <c r="T412" s="8">
        <f t="shared" ref="T412" si="5142">R412/V412</f>
        <v>0.19603126879134095</v>
      </c>
      <c r="U412" s="8">
        <f t="shared" ref="U412" si="5143">SUM(R406:R412)/SUM(V406:V412)</f>
        <v>0.1665719876286057</v>
      </c>
      <c r="V412">
        <f t="shared" ref="V412" si="5144">B412-B411</f>
        <v>1663</v>
      </c>
      <c r="W412">
        <f t="shared" ref="W412" si="5145">C412-D412-E412</f>
        <v>11572</v>
      </c>
      <c r="X412" s="3">
        <f t="shared" ref="X412" si="5146">F412/W412</f>
        <v>1.5468371932250259E-2</v>
      </c>
      <c r="Y412">
        <f t="shared" ref="Y412" si="5147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148">Z412-AC412-AF412</f>
        <v>49</v>
      </c>
      <c r="AJ412">
        <f t="shared" ref="AJ412" si="5149">AA412-AD412-AG412</f>
        <v>22</v>
      </c>
      <c r="AK412">
        <f t="shared" ref="AK412" si="5150">AB412-AE412-AH412</f>
        <v>350</v>
      </c>
      <c r="AL412">
        <v>0</v>
      </c>
      <c r="AM412">
        <v>0</v>
      </c>
      <c r="AN412">
        <v>3</v>
      </c>
      <c r="AT412">
        <f t="shared" ref="AT412" si="5151">BN412-BN411</f>
        <v>5784</v>
      </c>
      <c r="AU412">
        <f t="shared" ref="AU412" si="5152">BO412-BO411</f>
        <v>369</v>
      </c>
      <c r="AV412">
        <f t="shared" ref="AV412" si="5153">AU412/AT412</f>
        <v>6.3796680497925307E-2</v>
      </c>
      <c r="AW412">
        <f t="shared" ref="AW412" si="5154">BV412-BV411</f>
        <v>22</v>
      </c>
      <c r="AX412">
        <f t="shared" ref="AX412" si="5155">BW412-BW411</f>
        <v>0</v>
      </c>
      <c r="AY412">
        <f t="shared" ref="AY412" si="5156">CL412-CL411</f>
        <v>0</v>
      </c>
      <c r="AZ412">
        <f t="shared" ref="AZ412" si="5157">CM412-CM411</f>
        <v>0</v>
      </c>
      <c r="BA412">
        <f t="shared" ref="BA412" si="5158">CD412-CD411</f>
        <v>15</v>
      </c>
      <c r="BB412">
        <f t="shared" ref="BB412" si="5159">CE412-CE411</f>
        <v>3</v>
      </c>
      <c r="BC412">
        <f t="shared" ref="BC412" si="5160">AX412/AW412</f>
        <v>0</v>
      </c>
      <c r="BD412" t="e">
        <f t="shared" ref="BD412" si="5161">AZ412/AY412</f>
        <v>#DIV/0!</v>
      </c>
      <c r="BE412">
        <f t="shared" si="3674"/>
        <v>0.2</v>
      </c>
      <c r="BF412">
        <f t="shared" ref="BF412" si="5162">SUM(AU406:AU412)/SUM(AT406:AT412)</f>
        <v>3.7832110199756679E-2</v>
      </c>
      <c r="BG412">
        <f t="shared" ref="BG412" si="5163">SUM(AU399:AU412)/SUM(AT399:AT412)</f>
        <v>3.8296301482334823E-2</v>
      </c>
      <c r="BH412">
        <f t="shared" ref="BH412" si="5164">SUM(AX406:AX412)/SUM(AW406:AW412)</f>
        <v>3.2110091743119268E-2</v>
      </c>
      <c r="BI412">
        <f t="shared" ref="BI412" si="5165">SUM(AZ406:AZ412)/SUM(AY406:AY412)</f>
        <v>2.7320359281437126E-2</v>
      </c>
      <c r="BJ412">
        <f t="shared" ref="BJ412" si="5166">SUM(BB406:BB412)/SUM(BA406:BA412)</f>
        <v>2.1276595744680851E-2</v>
      </c>
      <c r="BN412" s="20">
        <v>4822302</v>
      </c>
      <c r="BO412" s="20">
        <v>395189</v>
      </c>
      <c r="BP412" s="20">
        <v>1429927</v>
      </c>
      <c r="BQ412" s="20">
        <v>283890</v>
      </c>
      <c r="BR412" s="20">
        <v>301724</v>
      </c>
      <c r="BS412" s="20">
        <v>63766</v>
      </c>
      <c r="BT412" s="21">
        <f t="shared" si="4946"/>
        <v>1713817</v>
      </c>
      <c r="BU412" s="21">
        <f t="shared" si="2991"/>
        <v>365490</v>
      </c>
      <c r="BV412" s="20">
        <v>39512</v>
      </c>
      <c r="BW412" s="20">
        <v>2953</v>
      </c>
      <c r="BX412" s="20">
        <v>9292</v>
      </c>
      <c r="BY412" s="20">
        <v>3285</v>
      </c>
      <c r="BZ412" s="20">
        <v>2174</v>
      </c>
      <c r="CA412" s="20">
        <v>643</v>
      </c>
      <c r="CB412" s="21">
        <f t="shared" si="4947"/>
        <v>12577</v>
      </c>
      <c r="CC412" s="21">
        <f t="shared" si="2993"/>
        <v>2817</v>
      </c>
      <c r="CD412" s="20">
        <v>29653</v>
      </c>
      <c r="CE412" s="20">
        <v>1726</v>
      </c>
      <c r="CF412" s="20">
        <v>5437</v>
      </c>
      <c r="CG412" s="20">
        <v>1788</v>
      </c>
      <c r="CH412" s="20">
        <v>1178</v>
      </c>
      <c r="CI412" s="20">
        <v>457</v>
      </c>
      <c r="CJ412" s="21">
        <f t="shared" si="4948"/>
        <v>7225</v>
      </c>
      <c r="CK412" s="21">
        <f t="shared" si="2995"/>
        <v>1635</v>
      </c>
      <c r="CL412" s="20">
        <v>214329</v>
      </c>
      <c r="CM412" s="20">
        <v>17162</v>
      </c>
      <c r="CN412" s="20">
        <v>66804</v>
      </c>
      <c r="CO412" s="20">
        <v>5136</v>
      </c>
      <c r="CP412" s="20">
        <v>14859</v>
      </c>
      <c r="CQ412" s="20">
        <v>855</v>
      </c>
      <c r="CR412" s="21">
        <f t="shared" si="4949"/>
        <v>71940</v>
      </c>
      <c r="CS412" s="21">
        <f t="shared" ref="CS412:CS479" si="5167">SUM(CP412:CQ412)</f>
        <v>15714</v>
      </c>
    </row>
    <row r="413" spans="1:97" x14ac:dyDescent="0.35">
      <c r="A413" s="14">
        <f t="shared" si="2761"/>
        <v>44319</v>
      </c>
      <c r="B413" s="9">
        <f t="shared" si="4914"/>
        <v>1714601</v>
      </c>
      <c r="C413">
        <f t="shared" ref="C413" si="5168">BU413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169">-(J413-J412)+L413</f>
        <v>1</v>
      </c>
      <c r="N413" s="7">
        <f t="shared" ref="N413" si="5170">B413-C413</f>
        <v>1349010</v>
      </c>
      <c r="O413" s="4">
        <f t="shared" ref="O413" si="5171">C413/B413</f>
        <v>0.21322220155009824</v>
      </c>
      <c r="R413">
        <f t="shared" ref="R413" si="5172">C413-C412</f>
        <v>101</v>
      </c>
      <c r="S413">
        <f t="shared" ref="S413" si="5173">N413-N412</f>
        <v>683</v>
      </c>
      <c r="T413" s="8">
        <f t="shared" ref="T413" si="5174">R413/V413</f>
        <v>0.12882653061224489</v>
      </c>
      <c r="U413" s="8">
        <f t="shared" ref="U413" si="5175">SUM(R407:R413)/SUM(V407:V413)</f>
        <v>0.16544817841125514</v>
      </c>
      <c r="V413">
        <f t="shared" ref="V413" si="5176">B413-B412</f>
        <v>784</v>
      </c>
      <c r="W413">
        <f t="shared" ref="W413" si="5177">C413-D413-E413</f>
        <v>11530</v>
      </c>
      <c r="X413" s="3">
        <f t="shared" ref="X413" si="5178">F413/W413</f>
        <v>1.569817866435386E-2</v>
      </c>
      <c r="Y413">
        <f t="shared" ref="Y413" si="5179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180">Z413-AC413-AF413</f>
        <v>48</v>
      </c>
      <c r="AJ413">
        <f t="shared" ref="AJ413" si="5181">AA413-AD413-AG413</f>
        <v>24</v>
      </c>
      <c r="AK413">
        <f t="shared" ref="AK413" si="5182">AB413-AE413-AH413</f>
        <v>354</v>
      </c>
      <c r="AL413">
        <v>0</v>
      </c>
      <c r="AM413">
        <v>0</v>
      </c>
      <c r="AN413">
        <v>3</v>
      </c>
      <c r="AT413">
        <f t="shared" ref="AT413" si="5183">BN413-BN412</f>
        <v>2394</v>
      </c>
      <c r="AU413">
        <f t="shared" ref="AU413" si="5184">BO413-BO412</f>
        <v>126</v>
      </c>
      <c r="AV413">
        <f t="shared" ref="AV413" si="5185">AU413/AT413</f>
        <v>5.2631578947368418E-2</v>
      </c>
      <c r="AW413">
        <f t="shared" ref="AW413" si="5186">BV413-BV412</f>
        <v>2</v>
      </c>
      <c r="AX413">
        <f t="shared" ref="AX413" si="5187">BW413-BW412</f>
        <v>0</v>
      </c>
      <c r="AY413">
        <f t="shared" ref="AY413" si="5188">CL413-CL412</f>
        <v>462</v>
      </c>
      <c r="AZ413">
        <f t="shared" ref="AZ413" si="5189">CM413-CM412</f>
        <v>20</v>
      </c>
      <c r="BA413">
        <f t="shared" ref="BA413" si="5190">CD413-CD412</f>
        <v>8</v>
      </c>
      <c r="BB413">
        <f t="shared" ref="BB413" si="5191">CE413-CE412</f>
        <v>1</v>
      </c>
      <c r="BC413">
        <f t="shared" ref="BC413" si="5192">AX413/AW413</f>
        <v>0</v>
      </c>
      <c r="BD413">
        <f t="shared" ref="BD413" si="5193">AZ413/AY413</f>
        <v>4.3290043290043288E-2</v>
      </c>
      <c r="BE413">
        <f t="shared" si="3674"/>
        <v>0.125</v>
      </c>
      <c r="BF413">
        <f t="shared" ref="BF413" si="5194">SUM(AU407:AU413)/SUM(AT407:AT413)</f>
        <v>3.7949881406620603E-2</v>
      </c>
      <c r="BG413">
        <f t="shared" ref="BG413" si="5195">SUM(AU400:AU413)/SUM(AT400:AT413)</f>
        <v>3.8264802369653149E-2</v>
      </c>
      <c r="BH413">
        <f t="shared" ref="BH413" si="5196">SUM(AX407:AX413)/SUM(AW407:AW413)</f>
        <v>3.248259860788863E-2</v>
      </c>
      <c r="BI413">
        <f t="shared" ref="BI413" si="5197">SUM(AZ407:AZ413)/SUM(AY407:AY413)</f>
        <v>3.2055518836748183E-2</v>
      </c>
      <c r="BJ413">
        <f t="shared" ref="BJ413" si="5198">SUM(BB407:BB413)/SUM(BA407:BA413)</f>
        <v>2.4844720496894408E-2</v>
      </c>
      <c r="BN413" s="20">
        <v>4824696</v>
      </c>
      <c r="BO413" s="20">
        <v>395315</v>
      </c>
      <c r="BP413" s="20">
        <v>1430665</v>
      </c>
      <c r="BQ413" s="20">
        <v>283936</v>
      </c>
      <c r="BR413" s="20">
        <v>301809</v>
      </c>
      <c r="BS413" s="20">
        <v>63782</v>
      </c>
      <c r="BT413" s="21">
        <f t="shared" si="4946"/>
        <v>1714601</v>
      </c>
      <c r="BU413" s="21">
        <f t="shared" si="2991"/>
        <v>365591</v>
      </c>
      <c r="BV413" s="20">
        <v>39514</v>
      </c>
      <c r="BW413" s="20">
        <v>2953</v>
      </c>
      <c r="BX413" s="20">
        <v>9291</v>
      </c>
      <c r="BY413" s="20">
        <v>3284</v>
      </c>
      <c r="BZ413" s="20">
        <v>2176</v>
      </c>
      <c r="CA413" s="20">
        <v>643</v>
      </c>
      <c r="CB413" s="21">
        <f t="shared" si="4947"/>
        <v>12575</v>
      </c>
      <c r="CC413" s="21">
        <f t="shared" si="2993"/>
        <v>2819</v>
      </c>
      <c r="CD413" s="20">
        <v>29661</v>
      </c>
      <c r="CE413" s="20">
        <v>1727</v>
      </c>
      <c r="CF413" s="20">
        <v>5436</v>
      </c>
      <c r="CG413" s="20">
        <v>1788</v>
      </c>
      <c r="CH413" s="20">
        <v>1178</v>
      </c>
      <c r="CI413" s="20">
        <v>457</v>
      </c>
      <c r="CJ413" s="21">
        <f t="shared" si="4948"/>
        <v>7224</v>
      </c>
      <c r="CK413" s="21">
        <f t="shared" si="2995"/>
        <v>1635</v>
      </c>
      <c r="CL413" s="20">
        <v>214791</v>
      </c>
      <c r="CM413" s="20">
        <v>17182</v>
      </c>
      <c r="CN413" s="20">
        <v>66910</v>
      </c>
      <c r="CO413" s="20">
        <v>5113</v>
      </c>
      <c r="CP413" s="20">
        <v>14873</v>
      </c>
      <c r="CQ413" s="20">
        <v>855</v>
      </c>
      <c r="CR413" s="21">
        <f t="shared" si="4949"/>
        <v>72023</v>
      </c>
      <c r="CS413" s="21">
        <f t="shared" si="5167"/>
        <v>15728</v>
      </c>
    </row>
    <row r="414" spans="1:97" x14ac:dyDescent="0.35">
      <c r="A414" s="14">
        <f t="shared" si="2761"/>
        <v>44320</v>
      </c>
      <c r="B414" s="9">
        <f t="shared" si="4914"/>
        <v>1717165</v>
      </c>
      <c r="C414">
        <f t="shared" ref="C414" si="5199">BU414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200">-(J414-J413)+L414</f>
        <v>4</v>
      </c>
      <c r="N414" s="7">
        <f t="shared" ref="N414" si="5201">B414-C414</f>
        <v>1351172</v>
      </c>
      <c r="O414" s="4">
        <f t="shared" ref="O414" si="5202">C414/B414</f>
        <v>0.21313793374544671</v>
      </c>
      <c r="R414">
        <f t="shared" ref="R414" si="5203">C414-C413</f>
        <v>402</v>
      </c>
      <c r="S414">
        <f t="shared" ref="S414" si="5204">N414-N413</f>
        <v>2162</v>
      </c>
      <c r="T414" s="8">
        <f t="shared" ref="T414" si="5205">R414/V414</f>
        <v>0.15678627145085802</v>
      </c>
      <c r="U414" s="8">
        <f t="shared" ref="U414" si="5206">SUM(R408:R414)/SUM(V408:V414)</f>
        <v>0.16759490429549964</v>
      </c>
      <c r="V414">
        <f t="shared" ref="V414" si="5207">B414-B413</f>
        <v>2564</v>
      </c>
      <c r="W414">
        <f t="shared" ref="W414" si="5208">C414-D414-E414</f>
        <v>11026</v>
      </c>
      <c r="X414" s="3">
        <f t="shared" ref="X414" si="5209">F414/W414</f>
        <v>1.7685470705604934E-2</v>
      </c>
      <c r="Y414">
        <f t="shared" ref="Y414" si="5210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211">Z414-AC414-AF414</f>
        <v>45</v>
      </c>
      <c r="AJ414">
        <f t="shared" ref="AJ414" si="5212">AA414-AD414-AG414</f>
        <v>22</v>
      </c>
      <c r="AK414">
        <f t="shared" ref="AK414" si="5213">AB414-AE414-AH414</f>
        <v>329</v>
      </c>
      <c r="AL414">
        <v>0</v>
      </c>
      <c r="AM414">
        <v>0</v>
      </c>
      <c r="AN414">
        <v>2</v>
      </c>
      <c r="AT414">
        <f t="shared" ref="AT414" si="5214">BN414-BN413</f>
        <v>13812</v>
      </c>
      <c r="AU414">
        <f t="shared" ref="AU414" si="5215">BO414-BO413</f>
        <v>423</v>
      </c>
      <c r="AV414">
        <f t="shared" ref="AV414" si="5216">AU414/AT414</f>
        <v>3.0625543006081668E-2</v>
      </c>
      <c r="AW414">
        <f t="shared" ref="AW414" si="5217">BV414-BV413</f>
        <v>100</v>
      </c>
      <c r="AX414">
        <f t="shared" ref="AX414" si="5218">BW414-BW413</f>
        <v>4</v>
      </c>
      <c r="AY414">
        <f t="shared" ref="AY414" si="5219">CL414-CL413</f>
        <v>842</v>
      </c>
      <c r="AZ414">
        <f t="shared" ref="AZ414" si="5220">CM414-CM413</f>
        <v>9</v>
      </c>
      <c r="BA414">
        <f t="shared" ref="BA414" si="5221">CD414-CD413</f>
        <v>73</v>
      </c>
      <c r="BB414">
        <f t="shared" ref="BB414" si="5222">CE414-CE413</f>
        <v>-1</v>
      </c>
      <c r="BC414">
        <f t="shared" ref="BC414" si="5223">AX414/AW414</f>
        <v>0.04</v>
      </c>
      <c r="BD414">
        <f t="shared" ref="BD414" si="5224">AZ414/AY414</f>
        <v>1.0688836104513063E-2</v>
      </c>
      <c r="BE414">
        <f t="shared" si="3674"/>
        <v>-1.3698630136986301E-2</v>
      </c>
      <c r="BF414">
        <f t="shared" ref="BF414" si="5225">SUM(AU408:AU414)/SUM(AT408:AT414)</f>
        <v>3.7302185380557649E-2</v>
      </c>
      <c r="BG414">
        <f t="shared" ref="BG414" si="5226">SUM(AU401:AU414)/SUM(AT401:AT414)</f>
        <v>3.793444200288653E-2</v>
      </c>
      <c r="BH414">
        <f t="shared" ref="BH414" si="5227">SUM(AX408:AX414)/SUM(AW408:AW414)</f>
        <v>3.125E-2</v>
      </c>
      <c r="BI414">
        <f t="shared" ref="BI414" si="5228">SUM(AZ408:AZ414)/SUM(AY408:AY414)</f>
        <v>2.6592635885447108E-2</v>
      </c>
      <c r="BJ414">
        <f t="shared" ref="BJ414" si="5229">SUM(BB408:BB414)/SUM(BA408:BA414)</f>
        <v>2.5936599423631124E-2</v>
      </c>
      <c r="BN414" s="20">
        <v>4838508</v>
      </c>
      <c r="BO414" s="20">
        <v>395738</v>
      </c>
      <c r="BP414" s="20">
        <v>1432543</v>
      </c>
      <c r="BQ414" s="20">
        <v>284622</v>
      </c>
      <c r="BR414" s="20">
        <v>302090</v>
      </c>
      <c r="BS414" s="20">
        <v>63903</v>
      </c>
      <c r="BT414" s="21">
        <f t="shared" si="4946"/>
        <v>1717165</v>
      </c>
      <c r="BU414" s="21">
        <f t="shared" si="2991"/>
        <v>365993</v>
      </c>
      <c r="BV414" s="20">
        <v>39614</v>
      </c>
      <c r="BW414" s="20">
        <v>2957</v>
      </c>
      <c r="BX414" s="20">
        <v>9304</v>
      </c>
      <c r="BY414" s="20">
        <v>3293</v>
      </c>
      <c r="BZ414" s="20">
        <v>2177</v>
      </c>
      <c r="CA414" s="20">
        <v>645</v>
      </c>
      <c r="CB414" s="21">
        <f t="shared" si="4947"/>
        <v>12597</v>
      </c>
      <c r="CC414" s="21">
        <f t="shared" si="2993"/>
        <v>2822</v>
      </c>
      <c r="CD414" s="20">
        <v>29734</v>
      </c>
      <c r="CE414" s="20">
        <v>1726</v>
      </c>
      <c r="CF414" s="20">
        <v>5440</v>
      </c>
      <c r="CG414" s="20">
        <v>1799</v>
      </c>
      <c r="CH414" s="20">
        <v>1179</v>
      </c>
      <c r="CI414" s="20">
        <v>457</v>
      </c>
      <c r="CJ414" s="21">
        <f t="shared" si="4948"/>
        <v>7239</v>
      </c>
      <c r="CK414" s="21">
        <f t="shared" si="2995"/>
        <v>1636</v>
      </c>
      <c r="CL414" s="20">
        <v>215633</v>
      </c>
      <c r="CM414" s="20">
        <v>17191</v>
      </c>
      <c r="CN414" s="20">
        <v>66944</v>
      </c>
      <c r="CO414" s="20">
        <v>5171</v>
      </c>
      <c r="CP414" s="20">
        <v>14877</v>
      </c>
      <c r="CQ414" s="20">
        <v>856</v>
      </c>
      <c r="CR414" s="21">
        <f t="shared" si="4949"/>
        <v>72115</v>
      </c>
      <c r="CS414" s="21">
        <f t="shared" si="5167"/>
        <v>15733</v>
      </c>
    </row>
    <row r="415" spans="1:97" x14ac:dyDescent="0.35">
      <c r="A415" s="14">
        <f t="shared" si="2761"/>
        <v>44321</v>
      </c>
      <c r="B415" s="9">
        <f t="shared" si="4914"/>
        <v>1717914</v>
      </c>
      <c r="C415">
        <f t="shared" ref="C415" si="5230">BU415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231">-(J415-J414)+L415</f>
        <v>12</v>
      </c>
      <c r="N415" s="7">
        <f t="shared" ref="N415" si="5232">B415-C415</f>
        <v>1351783</v>
      </c>
      <c r="O415" s="4">
        <f t="shared" ref="O415" si="5233">C415/B415</f>
        <v>0.21312533689113658</v>
      </c>
      <c r="R415">
        <f t="shared" ref="R415" si="5234">C415-C414</f>
        <v>138</v>
      </c>
      <c r="S415">
        <f t="shared" ref="S415" si="5235">N415-N414</f>
        <v>611</v>
      </c>
      <c r="T415" s="8">
        <f t="shared" ref="T415" si="5236">R415/V415</f>
        <v>0.18424566088117489</v>
      </c>
      <c r="U415" s="8">
        <f t="shared" ref="U415" si="5237">SUM(R409:R415)/SUM(V409:V415)</f>
        <v>0.16686114352392065</v>
      </c>
      <c r="V415">
        <f t="shared" ref="V415" si="5238">B415-B414</f>
        <v>749</v>
      </c>
      <c r="W415">
        <f t="shared" ref="W415" si="5239">C415-D415-E415</f>
        <v>11158</v>
      </c>
      <c r="X415" s="3">
        <f t="shared" ref="X415" si="5240">F415/W415</f>
        <v>1.7207384835992115E-2</v>
      </c>
      <c r="Y415">
        <f t="shared" ref="Y415" si="5241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242">Z415-AC415-AF415</f>
        <v>48</v>
      </c>
      <c r="AJ415">
        <f t="shared" ref="AJ415" si="5243">AA415-AD415-AG415</f>
        <v>23</v>
      </c>
      <c r="AK415">
        <f t="shared" ref="AK415" si="5244">AB415-AE415-AH415</f>
        <v>335</v>
      </c>
      <c r="AL415">
        <v>0</v>
      </c>
      <c r="AM415">
        <v>0</v>
      </c>
      <c r="AN415">
        <v>3</v>
      </c>
      <c r="AT415">
        <f t="shared" ref="AT415" si="5245">BN415-BN414</f>
        <v>2252</v>
      </c>
      <c r="AU415">
        <f t="shared" ref="AU415" si="5246">BO415-BO414</f>
        <v>172</v>
      </c>
      <c r="AV415">
        <f t="shared" ref="AV415" si="5247">AU415/AT415</f>
        <v>7.6376554174067496E-2</v>
      </c>
      <c r="AW415">
        <f t="shared" ref="AW415" si="5248">BV415-BV414</f>
        <v>20</v>
      </c>
      <c r="AX415">
        <f t="shared" ref="AX415" si="5249">BW415-BW414</f>
        <v>-1</v>
      </c>
      <c r="AY415">
        <f t="shared" ref="AY415" si="5250">CL415-CL414</f>
        <v>96</v>
      </c>
      <c r="AZ415">
        <f t="shared" ref="AZ415" si="5251">CM415-CM414</f>
        <v>-6</v>
      </c>
      <c r="BA415">
        <f t="shared" ref="BA415" si="5252">CD415-CD414</f>
        <v>24</v>
      </c>
      <c r="BB415">
        <f t="shared" ref="BB415" si="5253">CE415-CE414</f>
        <v>4</v>
      </c>
      <c r="BC415">
        <f t="shared" ref="BC415" si="5254">AX415/AW415</f>
        <v>-0.05</v>
      </c>
      <c r="BD415">
        <f t="shared" ref="BD415" si="5255">AZ415/AY415</f>
        <v>-6.25E-2</v>
      </c>
      <c r="BE415">
        <f t="shared" si="3674"/>
        <v>0.16666666666666666</v>
      </c>
      <c r="BF415">
        <f t="shared" ref="BF415" si="5256">SUM(AU409:AU415)/SUM(AT409:AT415)</f>
        <v>3.9028835312833028E-2</v>
      </c>
      <c r="BG415">
        <f t="shared" ref="BG415" si="5257">SUM(AU402:AU415)/SUM(AT402:AT415)</f>
        <v>3.7821303399597259E-2</v>
      </c>
      <c r="BH415">
        <f t="shared" ref="BH415" si="5258">SUM(AX409:AX415)/SUM(AW409:AW415)</f>
        <v>2.717391304347826E-2</v>
      </c>
      <c r="BI415">
        <f t="shared" ref="BI415" si="5259">SUM(AZ409:AZ415)/SUM(AY409:AY415)</f>
        <v>2.3856858846918488E-2</v>
      </c>
      <c r="BJ415">
        <f t="shared" ref="BJ415" si="5260">SUM(BB409:BB415)/SUM(BA409:BA415)</f>
        <v>4.8507462686567165E-2</v>
      </c>
      <c r="BN415" s="20">
        <v>4840760</v>
      </c>
      <c r="BO415" s="20">
        <v>395910</v>
      </c>
      <c r="BP415" s="20">
        <v>1432871</v>
      </c>
      <c r="BQ415" s="20">
        <v>285043</v>
      </c>
      <c r="BR415" s="20">
        <v>302128</v>
      </c>
      <c r="BS415" s="20">
        <v>64003</v>
      </c>
      <c r="BT415" s="21">
        <f t="shared" si="4946"/>
        <v>1717914</v>
      </c>
      <c r="BU415" s="21">
        <f t="shared" si="2991"/>
        <v>366131</v>
      </c>
      <c r="BV415" s="20">
        <v>39634</v>
      </c>
      <c r="BW415" s="20">
        <v>2956</v>
      </c>
      <c r="BX415" s="20">
        <v>9308</v>
      </c>
      <c r="BY415" s="20">
        <v>3303</v>
      </c>
      <c r="BZ415" s="20">
        <v>2177</v>
      </c>
      <c r="CA415" s="20">
        <v>646</v>
      </c>
      <c r="CB415" s="21">
        <f t="shared" si="4947"/>
        <v>12611</v>
      </c>
      <c r="CC415" s="21">
        <f t="shared" si="2993"/>
        <v>2823</v>
      </c>
      <c r="CD415" s="20">
        <v>29758</v>
      </c>
      <c r="CE415" s="20">
        <v>1730</v>
      </c>
      <c r="CF415" s="20">
        <v>5440</v>
      </c>
      <c r="CG415" s="20">
        <v>1809</v>
      </c>
      <c r="CH415" s="20">
        <v>1179</v>
      </c>
      <c r="CI415" s="20">
        <v>458</v>
      </c>
      <c r="CJ415" s="21">
        <f t="shared" si="4948"/>
        <v>7249</v>
      </c>
      <c r="CK415" s="21">
        <f t="shared" si="2995"/>
        <v>1637</v>
      </c>
      <c r="CL415" s="20">
        <v>215729</v>
      </c>
      <c r="CM415" s="20">
        <v>17185</v>
      </c>
      <c r="CN415" s="20">
        <v>66945</v>
      </c>
      <c r="CO415" s="20">
        <v>5178</v>
      </c>
      <c r="CP415" s="20">
        <v>14877</v>
      </c>
      <c r="CQ415" s="20">
        <v>857</v>
      </c>
      <c r="CR415" s="21">
        <f t="shared" si="4949"/>
        <v>72123</v>
      </c>
      <c r="CS415" s="21">
        <f t="shared" si="5167"/>
        <v>15734</v>
      </c>
    </row>
    <row r="416" spans="1:97" x14ac:dyDescent="0.35">
      <c r="A416" s="14">
        <f t="shared" si="2761"/>
        <v>44322</v>
      </c>
      <c r="B416" s="9">
        <f t="shared" si="4914"/>
        <v>1721714</v>
      </c>
      <c r="C416">
        <f t="shared" ref="C416" si="5261">BU416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262">-(J416-J415)+L416</f>
        <v>13</v>
      </c>
      <c r="N416" s="7">
        <f t="shared" ref="N416" si="5263">B416-C416</f>
        <v>1354993</v>
      </c>
      <c r="O416" s="4">
        <f t="shared" ref="O416" si="5264">C416/B416</f>
        <v>0.21299762910680867</v>
      </c>
      <c r="R416">
        <f t="shared" ref="R416" si="5265">C416-C415</f>
        <v>590</v>
      </c>
      <c r="S416">
        <f t="shared" ref="S416" si="5266">N416-N415</f>
        <v>3210</v>
      </c>
      <c r="T416" s="8">
        <f t="shared" ref="T416" si="5267">R416/V416</f>
        <v>0.15526315789473685</v>
      </c>
      <c r="U416" s="8">
        <f t="shared" ref="U416" si="5268">SUM(R410:R416)/SUM(V410:V416)</f>
        <v>0.16161193613609426</v>
      </c>
      <c r="V416">
        <f t="shared" ref="V416" si="5269">B416-B415</f>
        <v>3800</v>
      </c>
      <c r="W416">
        <f t="shared" ref="W416" si="5270">C416-D416-E416</f>
        <v>10518</v>
      </c>
      <c r="X416" s="3">
        <f t="shared" ref="X416" si="5271">F416/W416</f>
        <v>1.787412055523864E-2</v>
      </c>
      <c r="Y416">
        <f t="shared" ref="Y416" si="5272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273">Z416-AC416-AF416</f>
        <v>45</v>
      </c>
      <c r="AJ416">
        <f t="shared" ref="AJ416" si="5274">AA416-AD416-AG416</f>
        <v>24</v>
      </c>
      <c r="AK416">
        <f t="shared" ref="AK416" si="5275">AB416-AE416-AH416</f>
        <v>287</v>
      </c>
      <c r="AL416">
        <v>2</v>
      </c>
      <c r="AM416">
        <v>2</v>
      </c>
      <c r="AN416">
        <v>8</v>
      </c>
      <c r="AT416">
        <f t="shared" ref="AT416" si="5276">BN416-BN415</f>
        <v>19712</v>
      </c>
      <c r="AU416">
        <f t="shared" ref="AU416" si="5277">BO416-BO415</f>
        <v>642</v>
      </c>
      <c r="AV416">
        <f t="shared" ref="AV416" si="5278">AU416/AT416</f>
        <v>3.2568993506493504E-2</v>
      </c>
      <c r="AW416">
        <f t="shared" ref="AW416" si="5279">BV416-BV415</f>
        <v>123</v>
      </c>
      <c r="AX416">
        <f t="shared" ref="AX416" si="5280">BW416-BW415</f>
        <v>3</v>
      </c>
      <c r="AY416">
        <f t="shared" ref="AY416" si="5281">CL416-CL415</f>
        <v>896</v>
      </c>
      <c r="AZ416">
        <f t="shared" ref="AZ416" si="5282">CM416-CM415</f>
        <v>29</v>
      </c>
      <c r="BA416">
        <f t="shared" ref="BA416" si="5283">CD416-CD415</f>
        <v>78</v>
      </c>
      <c r="BB416">
        <f t="shared" ref="BB416" si="5284">CE416-CE415</f>
        <v>2</v>
      </c>
      <c r="BC416">
        <f t="shared" ref="BC416" si="5285">AX416/AW416</f>
        <v>2.4390243902439025E-2</v>
      </c>
      <c r="BD416">
        <f t="shared" ref="BD416" si="5286">AZ416/AY416</f>
        <v>3.2366071428571432E-2</v>
      </c>
      <c r="BE416">
        <f t="shared" si="3674"/>
        <v>2.564102564102564E-2</v>
      </c>
      <c r="BF416">
        <f t="shared" ref="BF416" si="5287">SUM(AU410:AU416)/SUM(AT410:AT416)</f>
        <v>3.7901524381184444E-2</v>
      </c>
      <c r="BG416">
        <f t="shared" ref="BG416" si="5288">SUM(AU403:AU416)/SUM(AT403:AT416)</f>
        <v>3.7558596703462878E-2</v>
      </c>
      <c r="BH416">
        <f t="shared" ref="BH416" si="5289">SUM(AX410:AX416)/SUM(AW410:AW416)</f>
        <v>3.1007751937984496E-2</v>
      </c>
      <c r="BI416">
        <f t="shared" ref="BI416" si="5290">SUM(AZ410:AZ416)/SUM(AY410:AY416)</f>
        <v>2.3772769373263353E-2</v>
      </c>
      <c r="BJ416">
        <f t="shared" ref="BJ416" si="5291">SUM(BB410:BB416)/SUM(BA410:BA416)</f>
        <v>4.3010752688172046E-2</v>
      </c>
      <c r="BN416" s="20">
        <v>4860472</v>
      </c>
      <c r="BO416" s="20">
        <v>396552</v>
      </c>
      <c r="BP416" s="20">
        <v>1435854</v>
      </c>
      <c r="BQ416" s="20">
        <v>285860</v>
      </c>
      <c r="BR416" s="20">
        <v>302608</v>
      </c>
      <c r="BS416" s="20">
        <v>64113</v>
      </c>
      <c r="BT416" s="21">
        <f t="shared" si="4946"/>
        <v>1721714</v>
      </c>
      <c r="BU416" s="21">
        <f t="shared" si="2991"/>
        <v>366721</v>
      </c>
      <c r="BV416" s="20">
        <v>39757</v>
      </c>
      <c r="BW416" s="20">
        <v>2959</v>
      </c>
      <c r="BX416" s="20">
        <v>9327</v>
      </c>
      <c r="BY416" s="20">
        <v>3305</v>
      </c>
      <c r="BZ416" s="20">
        <v>2180</v>
      </c>
      <c r="CA416" s="20">
        <v>647</v>
      </c>
      <c r="CB416" s="21">
        <f t="shared" si="4947"/>
        <v>12632</v>
      </c>
      <c r="CC416" s="21">
        <f t="shared" si="2993"/>
        <v>2827</v>
      </c>
      <c r="CD416" s="20">
        <v>29836</v>
      </c>
      <c r="CE416" s="20">
        <v>1732</v>
      </c>
      <c r="CF416" s="20">
        <v>5453</v>
      </c>
      <c r="CG416" s="20">
        <v>1812</v>
      </c>
      <c r="CH416" s="20">
        <v>1181</v>
      </c>
      <c r="CI416" s="20">
        <v>458</v>
      </c>
      <c r="CJ416" s="21">
        <f t="shared" si="4948"/>
        <v>7265</v>
      </c>
      <c r="CK416" s="21">
        <f t="shared" si="2995"/>
        <v>1639</v>
      </c>
      <c r="CL416" s="20">
        <v>216625</v>
      </c>
      <c r="CM416" s="20">
        <v>17214</v>
      </c>
      <c r="CN416" s="20">
        <v>67113</v>
      </c>
      <c r="CO416" s="20">
        <v>5135</v>
      </c>
      <c r="CP416" s="20">
        <v>14894</v>
      </c>
      <c r="CQ416" s="20">
        <v>857</v>
      </c>
      <c r="CR416" s="21">
        <f t="shared" si="4949"/>
        <v>72248</v>
      </c>
      <c r="CS416" s="21">
        <f t="shared" si="5167"/>
        <v>15751</v>
      </c>
    </row>
    <row r="417" spans="1:97" x14ac:dyDescent="0.35">
      <c r="A417" s="14">
        <f t="shared" si="2761"/>
        <v>44323</v>
      </c>
      <c r="B417" s="9">
        <f t="shared" si="4914"/>
        <v>1724185</v>
      </c>
      <c r="C417">
        <f t="shared" ref="C417" si="5292">BU417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293">-(J417-J416)+L417</f>
        <v>5</v>
      </c>
      <c r="N417" s="7">
        <f t="shared" ref="N417" si="5294">B417-C417</f>
        <v>1357016</v>
      </c>
      <c r="O417" s="4">
        <f t="shared" ref="O417" si="5295">C417/B417</f>
        <v>0.21295220640476514</v>
      </c>
      <c r="R417">
        <f t="shared" ref="R417" si="5296">C417-C416</f>
        <v>448</v>
      </c>
      <c r="S417">
        <f t="shared" ref="S417" si="5297">N417-N416</f>
        <v>2023</v>
      </c>
      <c r="T417" s="8">
        <f t="shared" ref="T417" si="5298">R417/V417</f>
        <v>0.18130311614730879</v>
      </c>
      <c r="U417" s="8">
        <f t="shared" ref="U417" si="5299">SUM(R411:R417)/SUM(V411:V417)</f>
        <v>0.17039989006458706</v>
      </c>
      <c r="V417">
        <f t="shared" ref="V417" si="5300">B417-B416</f>
        <v>2471</v>
      </c>
      <c r="W417">
        <f t="shared" ref="W417" si="5301">C417-D417-E417</f>
        <v>10407</v>
      </c>
      <c r="X417" s="3">
        <f t="shared" ref="X417" si="5302">F417/W417</f>
        <v>1.8160853271836263E-2</v>
      </c>
      <c r="Y417">
        <f t="shared" ref="Y417" si="5303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304">Z417-AC417-AF417</f>
        <v>49</v>
      </c>
      <c r="AJ417">
        <f t="shared" ref="AJ417" si="5305">AA417-AD417-AG417</f>
        <v>27</v>
      </c>
      <c r="AK417">
        <f t="shared" ref="AK417" si="5306">AB417-AE417-AH417</f>
        <v>295</v>
      </c>
      <c r="AL417">
        <v>2</v>
      </c>
      <c r="AM417">
        <v>2</v>
      </c>
      <c r="AN417">
        <v>9</v>
      </c>
      <c r="AT417">
        <f t="shared" ref="AT417" si="5307">BN417-BN416</f>
        <v>12312</v>
      </c>
      <c r="AU417">
        <f t="shared" ref="AU417" si="5308">BO417-BO416</f>
        <v>479</v>
      </c>
      <c r="AV417">
        <f t="shared" ref="AV417" si="5309">AU417/AT417</f>
        <v>3.8905133203378815E-2</v>
      </c>
      <c r="AW417">
        <f t="shared" ref="AW417" si="5310">BV417-BV416</f>
        <v>113</v>
      </c>
      <c r="AX417">
        <f t="shared" ref="AX417" si="5311">BW417-BW416</f>
        <v>5</v>
      </c>
      <c r="AY417">
        <f t="shared" ref="AY417" si="5312">CL417-CL416</f>
        <v>520</v>
      </c>
      <c r="AZ417">
        <f t="shared" ref="AZ417" si="5313">CM417-CM416</f>
        <v>9</v>
      </c>
      <c r="BA417">
        <f t="shared" ref="BA417" si="5314">CD417-CD416</f>
        <v>38</v>
      </c>
      <c r="BB417">
        <f t="shared" ref="BB417" si="5315">CE417-CE416</f>
        <v>3</v>
      </c>
      <c r="BC417">
        <f t="shared" ref="BC417" si="5316">AX417/AW417</f>
        <v>4.4247787610619468E-2</v>
      </c>
      <c r="BD417">
        <f t="shared" ref="BD417" si="5317">AZ417/AY417</f>
        <v>1.7307692307692309E-2</v>
      </c>
      <c r="BE417">
        <f t="shared" si="3674"/>
        <v>7.8947368421052627E-2</v>
      </c>
      <c r="BF417">
        <f t="shared" ref="BF417" si="5318">SUM(AU411:AU417)/SUM(AT411:AT417)</f>
        <v>3.8402913032432894E-2</v>
      </c>
      <c r="BG417">
        <f t="shared" ref="BG417" si="5319">SUM(AU404:AU417)/SUM(AT404:AT417)</f>
        <v>3.7766246809222914E-2</v>
      </c>
      <c r="BH417">
        <f t="shared" ref="BH417" si="5320">SUM(AX411:AX417)/SUM(AW411:AW417)</f>
        <v>3.7610619469026552E-2</v>
      </c>
      <c r="BI417">
        <f t="shared" ref="BI417" si="5321">SUM(AZ411:AZ417)/SUM(AY411:AY417)</f>
        <v>2.3672055427251731E-2</v>
      </c>
      <c r="BJ417">
        <f t="shared" ref="BJ417" si="5322">SUM(BB411:BB417)/SUM(BA411:BA417)</f>
        <v>4.5138888888888888E-2</v>
      </c>
      <c r="BN417" s="20">
        <v>4872784</v>
      </c>
      <c r="BO417" s="20">
        <v>397031</v>
      </c>
      <c r="BP417" s="20">
        <v>1437726</v>
      </c>
      <c r="BQ417" s="20">
        <v>286459</v>
      </c>
      <c r="BR417" s="20">
        <v>302961</v>
      </c>
      <c r="BS417" s="20">
        <v>64208</v>
      </c>
      <c r="BT417" s="21">
        <f t="shared" si="4946"/>
        <v>1724185</v>
      </c>
      <c r="BU417" s="21">
        <f t="shared" si="2991"/>
        <v>367169</v>
      </c>
      <c r="BV417" s="20">
        <v>39870</v>
      </c>
      <c r="BW417" s="20">
        <v>2964</v>
      </c>
      <c r="BX417" s="20">
        <v>9341</v>
      </c>
      <c r="BY417" s="20">
        <v>3303</v>
      </c>
      <c r="BZ417" s="20">
        <v>2183</v>
      </c>
      <c r="CA417" s="20">
        <v>647</v>
      </c>
      <c r="CB417" s="21">
        <f t="shared" si="4947"/>
        <v>12644</v>
      </c>
      <c r="CC417" s="21">
        <f t="shared" si="2993"/>
        <v>2830</v>
      </c>
      <c r="CD417" s="20">
        <v>29874</v>
      </c>
      <c r="CE417" s="20">
        <v>1735</v>
      </c>
      <c r="CF417" s="20">
        <v>5457</v>
      </c>
      <c r="CG417" s="20">
        <v>1820</v>
      </c>
      <c r="CH417" s="20">
        <v>1185</v>
      </c>
      <c r="CI417" s="20">
        <v>458</v>
      </c>
      <c r="CJ417" s="21">
        <f t="shared" si="4948"/>
        <v>7277</v>
      </c>
      <c r="CK417" s="21">
        <f t="shared" si="2995"/>
        <v>1643</v>
      </c>
      <c r="CL417" s="20">
        <v>217145</v>
      </c>
      <c r="CM417" s="20">
        <v>17223</v>
      </c>
      <c r="CN417" s="20">
        <v>67185</v>
      </c>
      <c r="CO417" s="20">
        <v>5174</v>
      </c>
      <c r="CP417" s="20">
        <v>14902</v>
      </c>
      <c r="CQ417" s="20">
        <v>858</v>
      </c>
      <c r="CR417" s="21">
        <f t="shared" si="4949"/>
        <v>72359</v>
      </c>
      <c r="CS417" s="21">
        <f t="shared" si="5167"/>
        <v>15760</v>
      </c>
    </row>
    <row r="418" spans="1:97" x14ac:dyDescent="0.35">
      <c r="A418" s="14">
        <f t="shared" si="2761"/>
        <v>44324</v>
      </c>
      <c r="B418" s="9">
        <f t="shared" si="4914"/>
        <v>1726625</v>
      </c>
      <c r="C418">
        <f t="shared" ref="C418" si="5323">BU418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324">-(J418-J417)+L418</f>
        <v>9</v>
      </c>
      <c r="N418" s="7">
        <f t="shared" ref="N418" si="5325">B418-C418</f>
        <v>1359085</v>
      </c>
      <c r="O418" s="4">
        <f t="shared" ref="O418" si="5326">C418/B418</f>
        <v>0.21286614059219575</v>
      </c>
      <c r="R418">
        <f t="shared" ref="R418" si="5327">C418-C417</f>
        <v>371</v>
      </c>
      <c r="S418">
        <f t="shared" ref="S418" si="5328">N418-N417</f>
        <v>2069</v>
      </c>
      <c r="T418" s="8">
        <f t="shared" ref="T418" si="5329">R418/V418</f>
        <v>0.15204918032786885</v>
      </c>
      <c r="U418" s="8">
        <f t="shared" ref="U418" si="5330">SUM(R412:R418)/SUM(V412:V418)</f>
        <v>0.16419044986524775</v>
      </c>
      <c r="V418">
        <f t="shared" ref="V418" si="5331">B418-B417</f>
        <v>2440</v>
      </c>
      <c r="W418">
        <f t="shared" ref="W418" si="5332">C418-D418-E418</f>
        <v>10216</v>
      </c>
      <c r="X418" s="3">
        <f t="shared" ref="X418" si="5333">F418/W418</f>
        <v>1.7227877838684416E-2</v>
      </c>
      <c r="Y418">
        <f t="shared" ref="Y418" si="5334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335">Z418-AC418-AF418</f>
        <v>51</v>
      </c>
      <c r="AJ418">
        <f t="shared" ref="AJ418" si="5336">AA418-AD418-AG418</f>
        <v>27</v>
      </c>
      <c r="AK418">
        <f t="shared" ref="AK418" si="5337">AB418-AE418-AH418</f>
        <v>284</v>
      </c>
      <c r="AL418">
        <v>2</v>
      </c>
      <c r="AM418">
        <v>2</v>
      </c>
      <c r="AN418">
        <v>10</v>
      </c>
      <c r="AT418">
        <f t="shared" ref="AT418" si="5338">BN418-BN417</f>
        <v>13637</v>
      </c>
      <c r="AU418">
        <f t="shared" ref="AU418" si="5339">BO418-BO417</f>
        <v>412</v>
      </c>
      <c r="AV418">
        <f t="shared" ref="AV418" si="5340">AU418/AT418</f>
        <v>3.0211923443572632E-2</v>
      </c>
      <c r="AW418">
        <f t="shared" ref="AW418" si="5341">BV418-BV417</f>
        <v>91</v>
      </c>
      <c r="AX418">
        <f t="shared" ref="AX418" si="5342">BW418-BW417</f>
        <v>2</v>
      </c>
      <c r="AY418">
        <f t="shared" ref="AY418" si="5343">CL418-CL417</f>
        <v>553</v>
      </c>
      <c r="AZ418">
        <f t="shared" ref="AZ418" si="5344">CM418-CM417</f>
        <v>11</v>
      </c>
      <c r="BA418">
        <f t="shared" ref="BA418" si="5345">CD418-CD417</f>
        <v>56</v>
      </c>
      <c r="BB418">
        <f t="shared" ref="BB418" si="5346">CE418-CE417</f>
        <v>1</v>
      </c>
      <c r="BC418">
        <f t="shared" ref="BC418" si="5347">AX418/AW418</f>
        <v>2.197802197802198E-2</v>
      </c>
      <c r="BD418">
        <f t="shared" ref="BD418" si="5348">AZ418/AY418</f>
        <v>1.9891500904159132E-2</v>
      </c>
      <c r="BE418">
        <f t="shared" si="3674"/>
        <v>1.7857142857142856E-2</v>
      </c>
      <c r="BF418">
        <f t="shared" ref="BF418" si="5349">SUM(AU412:AU418)/SUM(AT412:AT418)</f>
        <v>3.7523425317940576E-2</v>
      </c>
      <c r="BG418">
        <f t="shared" ref="BG418" si="5350">SUM(AU405:AU418)/SUM(AT405:AT418)</f>
        <v>3.6937853341913879E-2</v>
      </c>
      <c r="BH418">
        <f t="shared" ref="BH418" si="5351">SUM(AX412:AX418)/SUM(AW412:AW418)</f>
        <v>2.7600849256900213E-2</v>
      </c>
      <c r="BI418">
        <f t="shared" ref="BI418" si="5352">SUM(AZ412:AZ418)/SUM(AY412:AY418)</f>
        <v>2.1371326803205699E-2</v>
      </c>
      <c r="BJ418">
        <f t="shared" ref="BJ418" si="5353">SUM(BB412:BB418)/SUM(BA412:BA418)</f>
        <v>4.4520547945205477E-2</v>
      </c>
      <c r="BN418" s="20">
        <v>4886421</v>
      </c>
      <c r="BO418" s="20">
        <v>397443</v>
      </c>
      <c r="BP418" s="20">
        <v>1439686</v>
      </c>
      <c r="BQ418" s="20">
        <v>286939</v>
      </c>
      <c r="BR418" s="20">
        <v>303258</v>
      </c>
      <c r="BS418" s="20">
        <v>64282</v>
      </c>
      <c r="BT418" s="21">
        <f t="shared" si="4946"/>
        <v>1726625</v>
      </c>
      <c r="BU418" s="21">
        <f t="shared" si="2991"/>
        <v>367540</v>
      </c>
      <c r="BV418" s="20">
        <v>39961</v>
      </c>
      <c r="BW418" s="20">
        <v>2966</v>
      </c>
      <c r="BX418" s="20">
        <v>9357</v>
      </c>
      <c r="BY418" s="20">
        <v>3302</v>
      </c>
      <c r="BZ418" s="20">
        <v>2185</v>
      </c>
      <c r="CA418" s="20">
        <v>647</v>
      </c>
      <c r="CB418" s="21">
        <f t="shared" si="4947"/>
        <v>12659</v>
      </c>
      <c r="CC418" s="21">
        <f t="shared" si="2993"/>
        <v>2832</v>
      </c>
      <c r="CD418" s="20">
        <v>29930</v>
      </c>
      <c r="CE418" s="20">
        <v>1736</v>
      </c>
      <c r="CF418" s="20">
        <v>5468</v>
      </c>
      <c r="CG418" s="20">
        <v>1813</v>
      </c>
      <c r="CH418" s="20">
        <v>1187</v>
      </c>
      <c r="CI418" s="20">
        <v>458</v>
      </c>
      <c r="CJ418" s="21">
        <f t="shared" si="4948"/>
        <v>7281</v>
      </c>
      <c r="CK418" s="21">
        <f t="shared" si="2995"/>
        <v>1645</v>
      </c>
      <c r="CL418" s="20">
        <v>217698</v>
      </c>
      <c r="CM418" s="20">
        <v>17234</v>
      </c>
      <c r="CN418" s="20">
        <v>67274</v>
      </c>
      <c r="CO418" s="20">
        <v>5194</v>
      </c>
      <c r="CP418" s="20">
        <v>14912</v>
      </c>
      <c r="CQ418" s="20">
        <v>859</v>
      </c>
      <c r="CR418" s="21">
        <f t="shared" si="4949"/>
        <v>72468</v>
      </c>
      <c r="CS418" s="21">
        <f t="shared" si="5167"/>
        <v>15771</v>
      </c>
    </row>
    <row r="419" spans="1:97" x14ac:dyDescent="0.35">
      <c r="A419" s="14">
        <f t="shared" si="2761"/>
        <v>44325</v>
      </c>
      <c r="B419" s="9">
        <f t="shared" si="4914"/>
        <v>1727827</v>
      </c>
      <c r="C419">
        <f t="shared" ref="C419" si="5354">BU419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355">-(J419-J418)+L419</f>
        <v>8</v>
      </c>
      <c r="N419" s="7">
        <f t="shared" ref="N419" si="5356">B419-C419</f>
        <v>1360132</v>
      </c>
      <c r="O419" s="4">
        <f t="shared" ref="O419" si="5357">C419/B419</f>
        <v>0.21280776374023558</v>
      </c>
      <c r="R419">
        <f t="shared" ref="R419" si="5358">C419-C418</f>
        <v>155</v>
      </c>
      <c r="S419">
        <f t="shared" ref="S419" si="5359">N419-N418</f>
        <v>1047</v>
      </c>
      <c r="T419" s="8">
        <f t="shared" ref="T419" si="5360">R419/V419</f>
        <v>0.12895174708818635</v>
      </c>
      <c r="U419" s="8">
        <f t="shared" ref="U419" si="5361">SUM(R413:R419)/SUM(V413:V419)</f>
        <v>0.15738758029978586</v>
      </c>
      <c r="V419">
        <f t="shared" ref="V419" si="5362">B419-B418</f>
        <v>1202</v>
      </c>
      <c r="W419">
        <f t="shared" ref="W419" si="5363">C419-D419-E419</f>
        <v>10119</v>
      </c>
      <c r="X419" s="3">
        <f t="shared" ref="X419" si="5364">F419/W419</f>
        <v>1.6800079059195571E-2</v>
      </c>
      <c r="Y419">
        <f t="shared" ref="Y419" si="5365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366">Z419-AC419-AF419</f>
        <v>51</v>
      </c>
      <c r="AJ419">
        <f t="shared" ref="AJ419" si="5367">AA419-AD419-AG419</f>
        <v>28</v>
      </c>
      <c r="AK419">
        <f t="shared" ref="AK419" si="5368">AB419-AE419-AH419</f>
        <v>289</v>
      </c>
      <c r="AL419">
        <v>2</v>
      </c>
      <c r="AM419">
        <v>2</v>
      </c>
      <c r="AN419">
        <v>10</v>
      </c>
      <c r="AT419">
        <f t="shared" ref="AT419" si="5369">BN419-BN418</f>
        <v>4554</v>
      </c>
      <c r="AU419">
        <f t="shared" ref="AU419" si="5370">BO419-BO418</f>
        <v>141</v>
      </c>
      <c r="AV419">
        <f t="shared" ref="AV419" si="5371">AU419/AT419</f>
        <v>3.0961791831357048E-2</v>
      </c>
      <c r="AW419">
        <f t="shared" ref="AW419" si="5372">BV419-BV418</f>
        <v>18</v>
      </c>
      <c r="AX419">
        <f t="shared" ref="AX419" si="5373">BW419-BW418</f>
        <v>0</v>
      </c>
      <c r="AY419">
        <f t="shared" ref="AY419" si="5374">CL419-CL418</f>
        <v>755</v>
      </c>
      <c r="AZ419">
        <f t="shared" ref="AZ419" si="5375">CM419-CM418</f>
        <v>6</v>
      </c>
      <c r="BA419">
        <f t="shared" ref="BA419" si="5376">CD419-CD418</f>
        <v>22</v>
      </c>
      <c r="BB419">
        <f t="shared" ref="BB419" si="5377">CE419-CE418</f>
        <v>3</v>
      </c>
      <c r="BC419">
        <f t="shared" ref="BC419" si="5378">AX419/AW419</f>
        <v>0</v>
      </c>
      <c r="BD419">
        <f t="shared" ref="BD419" si="5379">AZ419/AY419</f>
        <v>7.9470198675496689E-3</v>
      </c>
      <c r="BE419">
        <f t="shared" si="3674"/>
        <v>0.13636363636363635</v>
      </c>
      <c r="BF419">
        <f t="shared" ref="BF419" si="5380">SUM(AU413:AU419)/SUM(AT413:AT419)</f>
        <v>3.4875424111368368E-2</v>
      </c>
      <c r="BG419">
        <f t="shared" ref="BG419" si="5381">SUM(AU406:AU419)/SUM(AT406:AT419)</f>
        <v>3.6432922627415307E-2</v>
      </c>
      <c r="BH419">
        <f t="shared" ref="BH419" si="5382">SUM(AX413:AX419)/SUM(AW413:AW419)</f>
        <v>2.7837259100642397E-2</v>
      </c>
      <c r="BI419">
        <f t="shared" ref="BI419" si="5383">SUM(AZ413:AZ419)/SUM(AY413:AY419)</f>
        <v>1.8913676042677012E-2</v>
      </c>
      <c r="BJ419">
        <f t="shared" ref="BJ419" si="5384">SUM(BB413:BB419)/SUM(BA413:BA419)</f>
        <v>4.3478260869565216E-2</v>
      </c>
      <c r="BN419" s="20">
        <v>4890975</v>
      </c>
      <c r="BO419" s="20">
        <v>397584</v>
      </c>
      <c r="BP419" s="20">
        <v>1440760</v>
      </c>
      <c r="BQ419" s="20">
        <v>287067</v>
      </c>
      <c r="BR419" s="20">
        <v>303384</v>
      </c>
      <c r="BS419" s="20">
        <v>64311</v>
      </c>
      <c r="BT419" s="21">
        <f t="shared" si="4946"/>
        <v>1727827</v>
      </c>
      <c r="BU419" s="21">
        <f t="shared" si="2991"/>
        <v>367695</v>
      </c>
      <c r="BV419" s="20">
        <v>39979</v>
      </c>
      <c r="BW419" s="20">
        <v>2966</v>
      </c>
      <c r="BX419" s="20">
        <v>9358</v>
      </c>
      <c r="BY419" s="20">
        <v>3302</v>
      </c>
      <c r="BZ419" s="20">
        <v>2186</v>
      </c>
      <c r="CA419" s="20">
        <v>647</v>
      </c>
      <c r="CB419" s="21">
        <f t="shared" si="4947"/>
        <v>12660</v>
      </c>
      <c r="CC419" s="21">
        <f t="shared" si="2993"/>
        <v>2833</v>
      </c>
      <c r="CD419" s="20">
        <v>29952</v>
      </c>
      <c r="CE419" s="20">
        <v>1739</v>
      </c>
      <c r="CF419" s="20">
        <v>5472</v>
      </c>
      <c r="CG419" s="20">
        <v>1814</v>
      </c>
      <c r="CH419" s="20">
        <v>1187</v>
      </c>
      <c r="CI419" s="20">
        <v>459</v>
      </c>
      <c r="CJ419" s="21">
        <f t="shared" si="4948"/>
        <v>7286</v>
      </c>
      <c r="CK419" s="21">
        <f t="shared" si="2995"/>
        <v>1646</v>
      </c>
      <c r="CL419" s="20">
        <v>218453</v>
      </c>
      <c r="CM419" s="20">
        <v>17240</v>
      </c>
      <c r="CN419" s="20">
        <v>67313</v>
      </c>
      <c r="CO419" s="20">
        <v>5195</v>
      </c>
      <c r="CP419" s="20">
        <v>14914</v>
      </c>
      <c r="CQ419" s="20">
        <v>859</v>
      </c>
      <c r="CR419" s="21">
        <f t="shared" si="4949"/>
        <v>72508</v>
      </c>
      <c r="CS419" s="21">
        <f t="shared" si="5167"/>
        <v>15773</v>
      </c>
    </row>
    <row r="420" spans="1:97" x14ac:dyDescent="0.35">
      <c r="A420" s="14">
        <f t="shared" si="2761"/>
        <v>44326</v>
      </c>
      <c r="B420" s="9">
        <f t="shared" si="4914"/>
        <v>1728551</v>
      </c>
      <c r="C420">
        <f t="shared" ref="C420" si="5385">BU420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386">-(J420-J419)+L420</f>
        <v>6</v>
      </c>
      <c r="N420" s="7">
        <f t="shared" ref="N420" si="5387">B420-C420</f>
        <v>1360785</v>
      </c>
      <c r="O420" s="4">
        <f t="shared" ref="O420" si="5388">C420/B420</f>
        <v>0.21275970451551618</v>
      </c>
      <c r="R420">
        <f t="shared" ref="R420" si="5389">C420-C419</f>
        <v>71</v>
      </c>
      <c r="S420">
        <f t="shared" ref="S420" si="5390">N420-N419</f>
        <v>653</v>
      </c>
      <c r="T420" s="8">
        <f t="shared" ref="T420" si="5391">R420/V420</f>
        <v>9.8066298342541436E-2</v>
      </c>
      <c r="U420" s="8">
        <f t="shared" ref="U420" si="5392">SUM(R414:R420)/SUM(V414:V420)</f>
        <v>0.15591397849462366</v>
      </c>
      <c r="V420">
        <f t="shared" ref="V420" si="5393">B420-B419</f>
        <v>724</v>
      </c>
      <c r="W420">
        <f t="shared" ref="W420" si="5394">C420-D420-E420</f>
        <v>9994</v>
      </c>
      <c r="X420" s="3">
        <f t="shared" ref="X420" si="5395">F420/W420</f>
        <v>1.6910146087652591E-2</v>
      </c>
      <c r="Y420">
        <f t="shared" ref="Y420" si="5396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397">Z420-AC420-AF420</f>
        <v>51</v>
      </c>
      <c r="AJ420">
        <f t="shared" ref="AJ420" si="5398">AA420-AD420-AG420</f>
        <v>26</v>
      </c>
      <c r="AK420">
        <f t="shared" ref="AK420" si="5399">AB420-AE420-AH420</f>
        <v>280</v>
      </c>
      <c r="AL420">
        <v>2</v>
      </c>
      <c r="AM420">
        <v>2</v>
      </c>
      <c r="AN420">
        <v>10</v>
      </c>
      <c r="AT420">
        <f t="shared" ref="AT420" si="5400">BN420-BN419</f>
        <v>2334</v>
      </c>
      <c r="AU420">
        <f t="shared" ref="AU420" si="5401">BO420-BO419</f>
        <v>128</v>
      </c>
      <c r="AV420">
        <f t="shared" ref="AV420" si="5402">AU420/AT420</f>
        <v>5.4841473864610114E-2</v>
      </c>
      <c r="AW420">
        <f t="shared" ref="AW420" si="5403">BV420-BV419</f>
        <v>7</v>
      </c>
      <c r="AX420">
        <f t="shared" ref="AX420" si="5404">BW420-BW419</f>
        <v>2</v>
      </c>
      <c r="AY420">
        <f t="shared" ref="AY420" si="5405">CL420-CL419</f>
        <v>-240</v>
      </c>
      <c r="AZ420">
        <f t="shared" ref="AZ420" si="5406">CM420-CM419</f>
        <v>0</v>
      </c>
      <c r="BA420">
        <f t="shared" ref="BA420" si="5407">CD420-CD419</f>
        <v>6</v>
      </c>
      <c r="BB420">
        <f t="shared" ref="BB420" si="5408">CE420-CE419</f>
        <v>0</v>
      </c>
      <c r="BC420">
        <f t="shared" ref="BC420" si="5409">AX420/AW420</f>
        <v>0.2857142857142857</v>
      </c>
      <c r="BD420">
        <f t="shared" ref="BD420" si="5410">AZ420/AY420</f>
        <v>0</v>
      </c>
      <c r="BE420">
        <f t="shared" si="3674"/>
        <v>0</v>
      </c>
      <c r="BF420">
        <f t="shared" ref="BF420" si="5411">SUM(AU414:AU420)/SUM(AT414:AT420)</f>
        <v>3.4935070613440602E-2</v>
      </c>
      <c r="BG420">
        <f t="shared" ref="BG420" si="5412">SUM(AU407:AU420)/SUM(AT407:AT420)</f>
        <v>3.653489660644782E-2</v>
      </c>
      <c r="BH420">
        <f t="shared" ref="BH420" si="5413">SUM(AX414:AX420)/SUM(AW414:AW420)</f>
        <v>3.1779661016949151E-2</v>
      </c>
      <c r="BI420">
        <f t="shared" ref="BI420" si="5414">SUM(AZ414:AZ420)/SUM(AY414:AY420)</f>
        <v>1.6949152542372881E-2</v>
      </c>
      <c r="BJ420">
        <f t="shared" ref="BJ420" si="5415">SUM(BB414:BB420)/SUM(BA414:BA420)</f>
        <v>4.0404040404040407E-2</v>
      </c>
      <c r="BN420" s="20">
        <v>4893309</v>
      </c>
      <c r="BO420" s="20">
        <v>397712</v>
      </c>
      <c r="BP420" s="20">
        <v>1441420</v>
      </c>
      <c r="BQ420" s="20">
        <v>287131</v>
      </c>
      <c r="BR420" s="20">
        <v>303444</v>
      </c>
      <c r="BS420" s="20">
        <v>64322</v>
      </c>
      <c r="BT420" s="21">
        <f t="shared" si="4946"/>
        <v>1728551</v>
      </c>
      <c r="BU420" s="21">
        <f t="shared" si="2991"/>
        <v>367766</v>
      </c>
      <c r="BV420" s="20">
        <v>39986</v>
      </c>
      <c r="BW420" s="20">
        <v>2968</v>
      </c>
      <c r="BX420" s="20">
        <v>9364</v>
      </c>
      <c r="BY420" s="20">
        <v>3301</v>
      </c>
      <c r="BZ420" s="20">
        <v>2187</v>
      </c>
      <c r="CA420" s="20">
        <v>647</v>
      </c>
      <c r="CB420" s="21">
        <f t="shared" si="4947"/>
        <v>12665</v>
      </c>
      <c r="CC420" s="21">
        <f t="shared" si="2993"/>
        <v>2834</v>
      </c>
      <c r="CD420" s="20">
        <v>29958</v>
      </c>
      <c r="CE420" s="20">
        <v>1739</v>
      </c>
      <c r="CF420" s="20">
        <v>5474</v>
      </c>
      <c r="CG420" s="20">
        <v>1814</v>
      </c>
      <c r="CH420" s="20">
        <v>1187</v>
      </c>
      <c r="CI420" s="20">
        <v>459</v>
      </c>
      <c r="CJ420" s="21">
        <f t="shared" si="4948"/>
        <v>7288</v>
      </c>
      <c r="CK420" s="21">
        <f t="shared" si="2995"/>
        <v>1646</v>
      </c>
      <c r="CL420" s="20">
        <v>218213</v>
      </c>
      <c r="CM420" s="20">
        <v>17240</v>
      </c>
      <c r="CN420" s="20">
        <v>67337</v>
      </c>
      <c r="CO420" s="20">
        <v>5195</v>
      </c>
      <c r="CP420" s="20">
        <v>14918</v>
      </c>
      <c r="CQ420" s="20">
        <v>859</v>
      </c>
      <c r="CR420" s="21">
        <f t="shared" si="4949"/>
        <v>72532</v>
      </c>
      <c r="CS420" s="21">
        <f t="shared" si="5167"/>
        <v>15777</v>
      </c>
    </row>
    <row r="421" spans="1:97" x14ac:dyDescent="0.35">
      <c r="A421" s="14">
        <f t="shared" si="2761"/>
        <v>44327</v>
      </c>
      <c r="B421" s="9">
        <f t="shared" si="4914"/>
        <v>1730804</v>
      </c>
      <c r="C421">
        <f t="shared" ref="C421" si="5416">BU421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417">-(J421-J420)+L421</f>
        <v>3</v>
      </c>
      <c r="N421" s="7">
        <f t="shared" ref="N421" si="5418">B421-C421</f>
        <v>1362771</v>
      </c>
      <c r="O421" s="4">
        <f t="shared" ref="O421" si="5419">C421/B421</f>
        <v>0.21263701724747575</v>
      </c>
      <c r="R421">
        <f t="shared" ref="R421" si="5420">C421-C420</f>
        <v>267</v>
      </c>
      <c r="S421">
        <f t="shared" ref="S421" si="5421">N421-N420</f>
        <v>1986</v>
      </c>
      <c r="T421" s="8">
        <f t="shared" ref="T421" si="5422">R421/V421</f>
        <v>0.118508655126498</v>
      </c>
      <c r="U421" s="8">
        <f t="shared" ref="U421" si="5423">SUM(R415:R421)/SUM(V415:V421)</f>
        <v>0.14957108292396804</v>
      </c>
      <c r="V421">
        <f t="shared" ref="V421" si="5424">B421-B420</f>
        <v>2253</v>
      </c>
      <c r="W421">
        <f t="shared" ref="W421" si="5425">C421-D421-E421</f>
        <v>9474</v>
      </c>
      <c r="X421" s="3">
        <f t="shared" ref="X421" si="5426">F421/W421</f>
        <v>1.7204982056153683E-2</v>
      </c>
      <c r="Y421">
        <f t="shared" ref="Y421" si="5427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428">Z421-AC421-AF421</f>
        <v>50</v>
      </c>
      <c r="AJ421">
        <f t="shared" ref="AJ421" si="5429">AA421-AD421-AG421</f>
        <v>26</v>
      </c>
      <c r="AK421">
        <f t="shared" ref="AK421" si="5430">AB421-AE421-AH421</f>
        <v>259</v>
      </c>
      <c r="AL421">
        <v>2</v>
      </c>
      <c r="AM421">
        <v>2</v>
      </c>
      <c r="AN421">
        <v>12</v>
      </c>
      <c r="AT421">
        <f t="shared" ref="AT421" si="5431">BN421-BN420</f>
        <v>9634</v>
      </c>
      <c r="AU421">
        <f t="shared" ref="AU421" si="5432">BO421-BO420</f>
        <v>279</v>
      </c>
      <c r="AV421">
        <f t="shared" ref="AV421" si="5433">AU421/AT421</f>
        <v>2.8959933568611169E-2</v>
      </c>
      <c r="AW421">
        <f t="shared" ref="AW421" si="5434">BV421-BV420</f>
        <v>117</v>
      </c>
      <c r="AX421">
        <f t="shared" ref="AX421" si="5435">BW421-BW420</f>
        <v>5</v>
      </c>
      <c r="AY421">
        <f t="shared" ref="AY421" si="5436">CL421-CL420</f>
        <v>520</v>
      </c>
      <c r="AZ421">
        <f t="shared" ref="AZ421" si="5437">CM421-CM420</f>
        <v>7</v>
      </c>
      <c r="BA421">
        <f t="shared" ref="BA421" si="5438">CD421-CD420</f>
        <v>28</v>
      </c>
      <c r="BB421">
        <f t="shared" ref="BB421" si="5439">CE421-CE420</f>
        <v>-2</v>
      </c>
      <c r="BC421">
        <f t="shared" ref="BC421" si="5440">AX421/AW421</f>
        <v>4.2735042735042736E-2</v>
      </c>
      <c r="BD421">
        <f t="shared" ref="BD421" si="5441">AZ421/AY421</f>
        <v>1.3461538461538462E-2</v>
      </c>
      <c r="BE421">
        <f t="shared" si="3674"/>
        <v>-7.1428571428571425E-2</v>
      </c>
      <c r="BF421">
        <f t="shared" ref="BF421" si="5442">SUM(AU415:AU421)/SUM(AT415:AT421)</f>
        <v>3.4965469077364787E-2</v>
      </c>
      <c r="BG421">
        <f t="shared" ref="BG421" si="5443">SUM(AU408:AU421)/SUM(AT408:AT421)</f>
        <v>3.6237367486792883E-2</v>
      </c>
      <c r="BH421">
        <f t="shared" ref="BH421" si="5444">SUM(AX415:AX421)/SUM(AW415:AW421)</f>
        <v>3.2719836400817999E-2</v>
      </c>
      <c r="BI421">
        <f t="shared" ref="BI421" si="5445">SUM(AZ415:AZ421)/SUM(AY415:AY421)</f>
        <v>1.806451612903226E-2</v>
      </c>
      <c r="BJ421">
        <f t="shared" ref="BJ421" si="5446">SUM(BB415:BB421)/SUM(BA415:BA421)</f>
        <v>4.3650793650793648E-2</v>
      </c>
      <c r="BN421" s="20">
        <v>4902943</v>
      </c>
      <c r="BO421" s="20">
        <v>397991</v>
      </c>
      <c r="BP421" s="20">
        <v>1442874</v>
      </c>
      <c r="BQ421" s="20">
        <v>287930</v>
      </c>
      <c r="BR421" s="20">
        <v>303641</v>
      </c>
      <c r="BS421" s="20">
        <v>64392</v>
      </c>
      <c r="BT421" s="21">
        <f t="shared" si="4946"/>
        <v>1730804</v>
      </c>
      <c r="BU421" s="21">
        <f t="shared" si="2991"/>
        <v>368033</v>
      </c>
      <c r="BV421" s="20">
        <v>40103</v>
      </c>
      <c r="BW421" s="20">
        <v>2973</v>
      </c>
      <c r="BX421" s="20">
        <v>9369</v>
      </c>
      <c r="BY421" s="20">
        <v>3323</v>
      </c>
      <c r="BZ421" s="20">
        <v>2190</v>
      </c>
      <c r="CA421" s="20">
        <v>647</v>
      </c>
      <c r="CB421" s="21">
        <f t="shared" si="4947"/>
        <v>12692</v>
      </c>
      <c r="CC421" s="21">
        <f t="shared" si="2993"/>
        <v>2837</v>
      </c>
      <c r="CD421" s="20">
        <v>29986</v>
      </c>
      <c r="CE421" s="20">
        <v>1737</v>
      </c>
      <c r="CF421" s="20">
        <v>5477</v>
      </c>
      <c r="CG421" s="20">
        <v>1818</v>
      </c>
      <c r="CH421" s="20">
        <v>1187</v>
      </c>
      <c r="CI421" s="20">
        <v>459</v>
      </c>
      <c r="CJ421" s="21">
        <f t="shared" si="4948"/>
        <v>7295</v>
      </c>
      <c r="CK421" s="21">
        <f t="shared" si="2995"/>
        <v>1646</v>
      </c>
      <c r="CL421" s="20">
        <v>218733</v>
      </c>
      <c r="CM421" s="20">
        <v>17247</v>
      </c>
      <c r="CN421" s="20">
        <v>67330</v>
      </c>
      <c r="CO421" s="20">
        <v>5281</v>
      </c>
      <c r="CP421" s="20">
        <v>14923</v>
      </c>
      <c r="CQ421" s="20">
        <v>859</v>
      </c>
      <c r="CR421" s="21">
        <f t="shared" si="4949"/>
        <v>72611</v>
      </c>
      <c r="CS421" s="21">
        <f t="shared" si="5167"/>
        <v>15782</v>
      </c>
    </row>
    <row r="422" spans="1:97" x14ac:dyDescent="0.35">
      <c r="A422" s="14">
        <f t="shared" si="2761"/>
        <v>44328</v>
      </c>
      <c r="B422" s="9">
        <f t="shared" si="4914"/>
        <v>1733198</v>
      </c>
      <c r="C422">
        <f t="shared" ref="C422" si="5447">BU422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448">-(J422-J421)+L422</f>
        <v>8</v>
      </c>
      <c r="N422" s="7">
        <f t="shared" ref="N422" si="5449">B422-C422</f>
        <v>1364802</v>
      </c>
      <c r="O422" s="4">
        <f t="shared" ref="O422" si="5450">C422/B422</f>
        <v>0.21255274931081158</v>
      </c>
      <c r="R422">
        <f t="shared" ref="R422" si="5451">C422-C421</f>
        <v>363</v>
      </c>
      <c r="S422">
        <f t="shared" ref="S422" si="5452">N422-N421</f>
        <v>2031</v>
      </c>
      <c r="T422" s="8">
        <f t="shared" ref="T422" si="5453">R422/V422</f>
        <v>0.15162907268170425</v>
      </c>
      <c r="U422" s="8">
        <f t="shared" ref="U422" si="5454">SUM(R416:R422)/SUM(V416:V422)</f>
        <v>0.1481941900026171</v>
      </c>
      <c r="V422">
        <f t="shared" ref="V422" si="5455">B422-B421</f>
        <v>2394</v>
      </c>
      <c r="W422">
        <f t="shared" ref="W422" si="5456">C422-D422-E422</f>
        <v>9324</v>
      </c>
      <c r="X422" s="3">
        <f t="shared" ref="X422" si="5457">F422/W422</f>
        <v>1.7052767052767051E-2</v>
      </c>
      <c r="Y422">
        <f t="shared" ref="Y422" si="5458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459">Z422-AC422-AF422</f>
        <v>52</v>
      </c>
      <c r="AJ422">
        <f t="shared" ref="AJ422" si="5460">AA422-AD422-AG422</f>
        <v>26</v>
      </c>
      <c r="AK422">
        <f t="shared" ref="AK422" si="5461">AB422-AE422-AH422</f>
        <v>258</v>
      </c>
      <c r="AL422">
        <v>2</v>
      </c>
      <c r="AM422">
        <v>2</v>
      </c>
      <c r="AN422">
        <v>13</v>
      </c>
      <c r="AT422">
        <f t="shared" ref="AT422" si="5462">BN422-BN421</f>
        <v>11291</v>
      </c>
      <c r="AU422">
        <f t="shared" ref="AU422" si="5463">BO422-BO421</f>
        <v>416</v>
      </c>
      <c r="AV422">
        <f t="shared" ref="AV422" si="5464">AU422/AT422</f>
        <v>3.6843503675493758E-2</v>
      </c>
      <c r="AW422">
        <f t="shared" ref="AW422" si="5465">BV422-BV421</f>
        <v>66</v>
      </c>
      <c r="AX422">
        <f t="shared" ref="AX422" si="5466">BW422-BW421</f>
        <v>1</v>
      </c>
      <c r="AY422">
        <f t="shared" ref="AY422" si="5467">CL422-CL421</f>
        <v>517</v>
      </c>
      <c r="AZ422">
        <f t="shared" ref="AZ422" si="5468">CM422-CM421</f>
        <v>13</v>
      </c>
      <c r="BA422">
        <f t="shared" ref="BA422" si="5469">CD422-CD421</f>
        <v>52</v>
      </c>
      <c r="BB422">
        <f t="shared" ref="BB422" si="5470">CE422-CE421</f>
        <v>0</v>
      </c>
      <c r="BC422">
        <f t="shared" ref="BC422" si="5471">AX422/AW422</f>
        <v>1.5151515151515152E-2</v>
      </c>
      <c r="BD422">
        <f t="shared" ref="BD422" si="5472">AZ422/AY422</f>
        <v>2.5145067698259187E-2</v>
      </c>
      <c r="BE422">
        <f t="shared" si="3674"/>
        <v>0</v>
      </c>
      <c r="BF422">
        <f t="shared" ref="BF422" si="5473">SUM(AU416:AU422)/SUM(AT416:AT422)</f>
        <v>3.3984810953534582E-2</v>
      </c>
      <c r="BG422">
        <f t="shared" ref="BG422" si="5474">SUM(AU409:AU422)/SUM(AT409:AT422)</f>
        <v>3.6347588282533046E-2</v>
      </c>
      <c r="BH422">
        <f t="shared" ref="BH422" si="5475">SUM(AX416:AX422)/SUM(AW416:AW422)</f>
        <v>3.3644859813084113E-2</v>
      </c>
      <c r="BI422">
        <f t="shared" ref="BI422" si="5476">SUM(AZ416:AZ422)/SUM(AY416:AY422)</f>
        <v>2.1300766827605795E-2</v>
      </c>
      <c r="BJ422">
        <f t="shared" ref="BJ422" si="5477">SUM(BB416:BB422)/SUM(BA416:BA422)</f>
        <v>2.5000000000000001E-2</v>
      </c>
      <c r="BN422" s="20">
        <v>4914234</v>
      </c>
      <c r="BO422" s="20">
        <v>398407</v>
      </c>
      <c r="BP422" s="20">
        <v>1444602</v>
      </c>
      <c r="BQ422" s="20">
        <v>288596</v>
      </c>
      <c r="BR422" s="20">
        <v>303905</v>
      </c>
      <c r="BS422" s="20">
        <v>64491</v>
      </c>
      <c r="BT422" s="21">
        <f t="shared" si="4946"/>
        <v>1733198</v>
      </c>
      <c r="BU422" s="21">
        <f t="shared" si="2991"/>
        <v>368396</v>
      </c>
      <c r="BV422" s="20">
        <v>40169</v>
      </c>
      <c r="BW422" s="20">
        <v>2974</v>
      </c>
      <c r="BX422" s="20">
        <v>9368</v>
      </c>
      <c r="BY422" s="20">
        <v>3336</v>
      </c>
      <c r="BZ422" s="20">
        <v>2192</v>
      </c>
      <c r="CA422" s="20">
        <v>647</v>
      </c>
      <c r="CB422" s="21">
        <f t="shared" si="4947"/>
        <v>12704</v>
      </c>
      <c r="CC422" s="21">
        <f t="shared" si="2993"/>
        <v>2839</v>
      </c>
      <c r="CD422" s="20">
        <v>30038</v>
      </c>
      <c r="CE422" s="20">
        <v>1737</v>
      </c>
      <c r="CF422" s="20">
        <v>5488</v>
      </c>
      <c r="CG422" s="20">
        <v>1821</v>
      </c>
      <c r="CH422" s="20">
        <v>1188</v>
      </c>
      <c r="CI422" s="20">
        <v>459</v>
      </c>
      <c r="CJ422" s="21">
        <f t="shared" si="4948"/>
        <v>7309</v>
      </c>
      <c r="CK422" s="21">
        <f t="shared" si="2995"/>
        <v>1647</v>
      </c>
      <c r="CL422" s="20">
        <v>219250</v>
      </c>
      <c r="CM422" s="20">
        <v>17260</v>
      </c>
      <c r="CN422" s="20">
        <v>67409</v>
      </c>
      <c r="CO422" s="20">
        <v>5292</v>
      </c>
      <c r="CP422" s="20">
        <v>14929</v>
      </c>
      <c r="CQ422" s="20">
        <v>860</v>
      </c>
      <c r="CR422" s="21">
        <f t="shared" si="4949"/>
        <v>72701</v>
      </c>
      <c r="CS422" s="21">
        <f t="shared" si="5167"/>
        <v>15789</v>
      </c>
    </row>
    <row r="423" spans="1:97" x14ac:dyDescent="0.35">
      <c r="A423" s="14">
        <f t="shared" si="2761"/>
        <v>44329</v>
      </c>
      <c r="B423" s="9">
        <f t="shared" si="4914"/>
        <v>1735540</v>
      </c>
      <c r="C423">
        <f t="shared" ref="C423" si="5478">BU423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479">-(J423-J422)+L423</f>
        <v>5</v>
      </c>
      <c r="N423" s="7">
        <f t="shared" ref="N423" si="5480">B423-C423</f>
        <v>1366814</v>
      </c>
      <c r="O423" s="4">
        <f t="shared" ref="O423" si="5481">C423/B423</f>
        <v>0.21245606554732244</v>
      </c>
      <c r="R423">
        <f t="shared" ref="R423" si="5482">C423-C422</f>
        <v>330</v>
      </c>
      <c r="S423">
        <f t="shared" ref="S423" si="5483">N423-N422</f>
        <v>2012</v>
      </c>
      <c r="T423" s="8">
        <f t="shared" ref="T423" si="5484">R423/V423</f>
        <v>0.14090520922288644</v>
      </c>
      <c r="U423" s="8">
        <f t="shared" ref="U423" si="5485">SUM(R417:R423)/SUM(V417:V423)</f>
        <v>0.14501663532475048</v>
      </c>
      <c r="V423">
        <f t="shared" ref="V423" si="5486">B423-B422</f>
        <v>2342</v>
      </c>
      <c r="W423">
        <f t="shared" ref="W423" si="5487">C423-D423-E423</f>
        <v>9165</v>
      </c>
      <c r="X423" s="3">
        <f t="shared" ref="X423" si="5488">F423/W423</f>
        <v>1.7675941080196399E-2</v>
      </c>
      <c r="Y423">
        <f t="shared" ref="Y423" si="5489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490">Z423-AC423-AF423</f>
        <v>50</v>
      </c>
      <c r="AJ423">
        <f t="shared" ref="AJ423" si="5491">AA423-AD423-AG423</f>
        <v>25</v>
      </c>
      <c r="AK423">
        <f t="shared" ref="AK423" si="5492">AB423-AE423-AH423</f>
        <v>245</v>
      </c>
      <c r="AL423">
        <v>2</v>
      </c>
      <c r="AM423">
        <v>2</v>
      </c>
      <c r="AN423">
        <v>14</v>
      </c>
      <c r="AT423">
        <f t="shared" ref="AT423" si="5493">BN423-BN422</f>
        <v>11539</v>
      </c>
      <c r="AU423">
        <f t="shared" ref="AU423" si="5494">BO423-BO422</f>
        <v>370</v>
      </c>
      <c r="AV423">
        <f t="shared" ref="AV423" si="5495">AU423/AT423</f>
        <v>3.2065170292053038E-2</v>
      </c>
      <c r="AW423">
        <f t="shared" ref="AW423" si="5496">BV423-BV422</f>
        <v>134</v>
      </c>
      <c r="AX423">
        <f t="shared" ref="AX423" si="5497">BW423-BW422</f>
        <v>2</v>
      </c>
      <c r="AY423">
        <f t="shared" ref="AY423" si="5498">CL423-CL422</f>
        <v>581</v>
      </c>
      <c r="AZ423">
        <f t="shared" ref="AZ423" si="5499">CM423-CM422</f>
        <v>4</v>
      </c>
      <c r="BA423">
        <f t="shared" ref="BA423" si="5500">CD423-CD422</f>
        <v>39</v>
      </c>
      <c r="BB423">
        <f t="shared" ref="BB423" si="5501">CE423-CE422</f>
        <v>1</v>
      </c>
      <c r="BC423">
        <f t="shared" ref="BC423" si="5502">AX423/AW423</f>
        <v>1.4925373134328358E-2</v>
      </c>
      <c r="BD423">
        <f t="shared" ref="BD423" si="5503">AZ423/AY423</f>
        <v>6.8846815834767644E-3</v>
      </c>
      <c r="BE423">
        <f t="shared" si="3674"/>
        <v>2.564102564102564E-2</v>
      </c>
      <c r="BF423">
        <f t="shared" ref="BF423" si="5504">SUM(AU417:AU423)/SUM(AT417:AT423)</f>
        <v>3.4072985099768763E-2</v>
      </c>
      <c r="BG423">
        <f t="shared" ref="BG423" si="5505">SUM(AU410:AU423)/SUM(AT410:AT423)</f>
        <v>3.6016198239911923E-2</v>
      </c>
      <c r="BH423">
        <f t="shared" ref="BH423" si="5506">SUM(AX417:AX423)/SUM(AW417:AW423)</f>
        <v>3.1135531135531136E-2</v>
      </c>
      <c r="BI423">
        <f t="shared" ref="BI423" si="5507">SUM(AZ417:AZ423)/SUM(AY417:AY423)</f>
        <v>1.5595757953836557E-2</v>
      </c>
      <c r="BJ423">
        <f t="shared" ref="BJ423" si="5508">SUM(BB417:BB423)/SUM(BA417:BA423)</f>
        <v>2.4896265560165973E-2</v>
      </c>
      <c r="BN423" s="20">
        <v>4925773</v>
      </c>
      <c r="BO423" s="20">
        <v>398777</v>
      </c>
      <c r="BP423" s="20">
        <v>1446388</v>
      </c>
      <c r="BQ423" s="20">
        <v>289152</v>
      </c>
      <c r="BR423" s="20">
        <v>304134</v>
      </c>
      <c r="BS423" s="20">
        <v>64592</v>
      </c>
      <c r="BT423" s="21">
        <f t="shared" si="4946"/>
        <v>1735540</v>
      </c>
      <c r="BU423" s="21">
        <f t="shared" si="2991"/>
        <v>368726</v>
      </c>
      <c r="BV423" s="20">
        <v>40303</v>
      </c>
      <c r="BW423" s="20">
        <v>2976</v>
      </c>
      <c r="BX423" s="20">
        <v>9390</v>
      </c>
      <c r="BY423" s="20">
        <v>3333</v>
      </c>
      <c r="BZ423" s="20">
        <v>2194</v>
      </c>
      <c r="CA423" s="20">
        <v>648</v>
      </c>
      <c r="CB423" s="21">
        <f t="shared" si="4947"/>
        <v>12723</v>
      </c>
      <c r="CC423" s="21">
        <f t="shared" si="2993"/>
        <v>2842</v>
      </c>
      <c r="CD423" s="20">
        <v>30077</v>
      </c>
      <c r="CE423" s="20">
        <v>1738</v>
      </c>
      <c r="CF423" s="20">
        <v>5497</v>
      </c>
      <c r="CG423" s="20">
        <v>1826</v>
      </c>
      <c r="CH423" s="20">
        <v>1189</v>
      </c>
      <c r="CI423" s="20">
        <v>459</v>
      </c>
      <c r="CJ423" s="21">
        <f t="shared" si="4948"/>
        <v>7323</v>
      </c>
      <c r="CK423" s="21">
        <f t="shared" si="2995"/>
        <v>1648</v>
      </c>
      <c r="CL423" s="20">
        <v>219831</v>
      </c>
      <c r="CM423" s="20">
        <v>17264</v>
      </c>
      <c r="CN423" s="20">
        <v>67553</v>
      </c>
      <c r="CO423" s="20">
        <v>5254</v>
      </c>
      <c r="CP423" s="20">
        <v>14945</v>
      </c>
      <c r="CQ423" s="20">
        <v>859</v>
      </c>
      <c r="CR423" s="21">
        <f t="shared" si="4949"/>
        <v>72807</v>
      </c>
      <c r="CS423" s="21">
        <f t="shared" si="5167"/>
        <v>15804</v>
      </c>
    </row>
    <row r="424" spans="1:97" x14ac:dyDescent="0.35">
      <c r="A424" s="14">
        <f t="shared" si="2761"/>
        <v>44330</v>
      </c>
      <c r="B424" s="9">
        <f t="shared" si="4914"/>
        <v>1737546</v>
      </c>
      <c r="C424">
        <f t="shared" ref="C424" si="5509">BU424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510">-(J424-J423)+L424</f>
        <v>2</v>
      </c>
      <c r="N424" s="7">
        <f t="shared" ref="N424" si="5511">B424-C424</f>
        <v>1368594</v>
      </c>
      <c r="O424" s="4">
        <f t="shared" ref="O424" si="5512">C424/B424</f>
        <v>0.21234085313424797</v>
      </c>
      <c r="R424">
        <f t="shared" ref="R424" si="5513">C424-C423</f>
        <v>226</v>
      </c>
      <c r="S424">
        <f t="shared" ref="S424" si="5514">N424-N423</f>
        <v>1780</v>
      </c>
      <c r="T424" s="8">
        <f t="shared" ref="T424" si="5515">R424/V424</f>
        <v>0.11266201395812563</v>
      </c>
      <c r="U424" s="8">
        <f t="shared" ref="U424" si="5516">SUM(R418:R424)/SUM(V418:V424)</f>
        <v>0.1334480952024549</v>
      </c>
      <c r="V424">
        <f t="shared" ref="V424" si="5517">B424-B423</f>
        <v>2006</v>
      </c>
      <c r="W424">
        <f t="shared" ref="W424" si="5518">C424-D424-E424</f>
        <v>8853</v>
      </c>
      <c r="X424" s="3">
        <f t="shared" ref="X424" si="5519">F424/W424</f>
        <v>1.705636507398622E-2</v>
      </c>
      <c r="Y424">
        <f t="shared" ref="Y424" si="5520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521">Z424-AC424-AF424</f>
        <v>50</v>
      </c>
      <c r="AJ424">
        <f t="shared" ref="AJ424" si="5522">AA424-AD424-AG424</f>
        <v>26</v>
      </c>
      <c r="AK424">
        <f t="shared" ref="AK424" si="5523">AB424-AE424-AH424</f>
        <v>239</v>
      </c>
      <c r="AL424">
        <v>3</v>
      </c>
      <c r="AM424">
        <v>3</v>
      </c>
      <c r="AN424">
        <v>9</v>
      </c>
      <c r="AT424">
        <f t="shared" ref="AT424" si="5524">BN424-BN423</f>
        <v>10476</v>
      </c>
      <c r="AU424">
        <f t="shared" ref="AU424" si="5525">BO424-BO423</f>
        <v>249</v>
      </c>
      <c r="AV424">
        <f t="shared" ref="AV424" si="5526">AU424/AT424</f>
        <v>2.3768613974799541E-2</v>
      </c>
      <c r="AW424">
        <f t="shared" ref="AW424" si="5527">BV424-BV423</f>
        <v>216</v>
      </c>
      <c r="AX424">
        <f t="shared" ref="AX424" si="5528">BW424-BW423</f>
        <v>6</v>
      </c>
      <c r="AY424">
        <f t="shared" ref="AY424" si="5529">CL424-CL423</f>
        <v>429</v>
      </c>
      <c r="AZ424">
        <f t="shared" ref="AZ424" si="5530">CM424-CM423</f>
        <v>19</v>
      </c>
      <c r="BA424">
        <f t="shared" ref="BA424" si="5531">CD424-CD423</f>
        <v>82</v>
      </c>
      <c r="BB424">
        <f t="shared" ref="BB424" si="5532">CE424-CE423</f>
        <v>1</v>
      </c>
      <c r="BC424">
        <f t="shared" ref="BC424" si="5533">AX424/AW424</f>
        <v>2.7777777777777776E-2</v>
      </c>
      <c r="BD424">
        <f t="shared" ref="BD424" si="5534">AZ424/AY424</f>
        <v>4.4289044289044288E-2</v>
      </c>
      <c r="BE424">
        <f t="shared" si="3674"/>
        <v>1.2195121951219513E-2</v>
      </c>
      <c r="BF424">
        <f t="shared" ref="BF424" si="5535">SUM(AU418:AU424)/SUM(AT418:AT424)</f>
        <v>3.143464901914441E-2</v>
      </c>
      <c r="BG424">
        <f t="shared" ref="BG424" si="5536">SUM(AU411:AU424)/SUM(AT411:AT424)</f>
        <v>3.5110446027739932E-2</v>
      </c>
      <c r="BH424">
        <f t="shared" ref="BH424" si="5537">SUM(AX418:AX424)/SUM(AW418:AW424)</f>
        <v>2.7734976887519261E-2</v>
      </c>
      <c r="BI424">
        <f t="shared" ref="BI424" si="5538">SUM(AZ418:AZ424)/SUM(AY418:AY424)</f>
        <v>1.9261637239165328E-2</v>
      </c>
      <c r="BJ424">
        <f t="shared" ref="BJ424" si="5539">SUM(BB418:BB424)/SUM(BA418:BA424)</f>
        <v>1.4035087719298246E-2</v>
      </c>
      <c r="BN424" s="20">
        <v>4936249</v>
      </c>
      <c r="BO424" s="20">
        <v>399026</v>
      </c>
      <c r="BP424" s="20">
        <v>1447934</v>
      </c>
      <c r="BQ424" s="20">
        <v>289612</v>
      </c>
      <c r="BR424" s="20">
        <v>304323</v>
      </c>
      <c r="BS424" s="20">
        <v>64629</v>
      </c>
      <c r="BT424" s="21">
        <f t="shared" si="4946"/>
        <v>1737546</v>
      </c>
      <c r="BU424" s="21">
        <f t="shared" si="2991"/>
        <v>368952</v>
      </c>
      <c r="BV424" s="20">
        <v>40519</v>
      </c>
      <c r="BW424" s="20">
        <v>2982</v>
      </c>
      <c r="BX424" s="20">
        <v>9382</v>
      </c>
      <c r="BY424" s="20">
        <v>3355</v>
      </c>
      <c r="BZ424" s="20">
        <v>2196</v>
      </c>
      <c r="CA424" s="20">
        <v>650</v>
      </c>
      <c r="CB424" s="21">
        <f t="shared" si="4947"/>
        <v>12737</v>
      </c>
      <c r="CC424" s="21">
        <f t="shared" si="2993"/>
        <v>2846</v>
      </c>
      <c r="CD424" s="20">
        <v>30159</v>
      </c>
      <c r="CE424" s="20">
        <v>1739</v>
      </c>
      <c r="CF424" s="20">
        <v>5494</v>
      </c>
      <c r="CG424" s="20">
        <v>1835</v>
      </c>
      <c r="CH424" s="20">
        <v>1189</v>
      </c>
      <c r="CI424" s="20">
        <v>460</v>
      </c>
      <c r="CJ424" s="21">
        <f t="shared" si="4948"/>
        <v>7329</v>
      </c>
      <c r="CK424" s="21">
        <f t="shared" si="2995"/>
        <v>1649</v>
      </c>
      <c r="CL424" s="20">
        <v>220260</v>
      </c>
      <c r="CM424" s="20">
        <v>17283</v>
      </c>
      <c r="CN424" s="20">
        <v>67622</v>
      </c>
      <c r="CO424" s="20">
        <v>5257</v>
      </c>
      <c r="CP424" s="20">
        <v>14952</v>
      </c>
      <c r="CQ424" s="20">
        <v>859</v>
      </c>
      <c r="CR424" s="21">
        <f t="shared" si="4949"/>
        <v>72879</v>
      </c>
      <c r="CS424" s="21">
        <f t="shared" si="5167"/>
        <v>15811</v>
      </c>
    </row>
    <row r="425" spans="1:97" x14ac:dyDescent="0.35">
      <c r="A425" s="14">
        <f t="shared" si="2761"/>
        <v>44331</v>
      </c>
      <c r="B425" s="9">
        <f t="shared" si="4914"/>
        <v>1739861</v>
      </c>
      <c r="C425">
        <f t="shared" ref="C425" si="5540">BU425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541">-(J425-J424)+L425</f>
        <v>7</v>
      </c>
      <c r="N425" s="7">
        <f t="shared" ref="N425" si="5542">B425-C425</f>
        <v>1370642</v>
      </c>
      <c r="O425" s="4">
        <f t="shared" ref="O425" si="5543">C425/B425</f>
        <v>0.21221178013645917</v>
      </c>
      <c r="R425">
        <f t="shared" ref="R425" si="5544">C425-C424</f>
        <v>267</v>
      </c>
      <c r="S425">
        <f t="shared" ref="S425" si="5545">N425-N424</f>
        <v>2048</v>
      </c>
      <c r="T425" s="8">
        <f t="shared" ref="T425" si="5546">R425/V425</f>
        <v>0.11533477321814255</v>
      </c>
      <c r="U425" s="8">
        <f t="shared" ref="U425" si="5547">SUM(R419:R425)/SUM(V419:V425)</f>
        <v>0.1268510123904503</v>
      </c>
      <c r="V425">
        <f t="shared" ref="V425" si="5548">B425-B424</f>
        <v>2315</v>
      </c>
      <c r="W425">
        <f t="shared" ref="W425" si="5549">C425-D425-E425</f>
        <v>8690</v>
      </c>
      <c r="X425" s="3">
        <f t="shared" ref="X425" si="5550">F425/W425</f>
        <v>1.6915995397008055E-2</v>
      </c>
      <c r="Y425">
        <f t="shared" ref="Y425" si="5551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552">Z425-AC425-AF425</f>
        <v>54</v>
      </c>
      <c r="AJ425">
        <f t="shared" ref="AJ425" si="5553">AA425-AD425-AG425</f>
        <v>27</v>
      </c>
      <c r="AK425">
        <f t="shared" ref="AK425" si="5554">AB425-AE425-AH425</f>
        <v>233</v>
      </c>
      <c r="AL425">
        <v>3</v>
      </c>
      <c r="AM425">
        <v>3</v>
      </c>
      <c r="AN425">
        <v>7</v>
      </c>
      <c r="AT425">
        <f t="shared" ref="AT425" si="5555">BN425-BN424</f>
        <v>12236</v>
      </c>
      <c r="AU425">
        <f t="shared" ref="AU425" si="5556">BO425-BO424</f>
        <v>290</v>
      </c>
      <c r="AV425">
        <f t="shared" ref="AV425" si="5557">AU425/AT425</f>
        <v>2.3700555737169008E-2</v>
      </c>
      <c r="AW425">
        <f t="shared" ref="AW425" si="5558">BV425-BV424</f>
        <v>98</v>
      </c>
      <c r="AX425">
        <f t="shared" ref="AX425" si="5559">BW425-BW424</f>
        <v>3</v>
      </c>
      <c r="AY425">
        <f t="shared" ref="AY425" si="5560">CL425-CL424</f>
        <v>439</v>
      </c>
      <c r="AZ425">
        <f t="shared" ref="AZ425" si="5561">CM425-CM424</f>
        <v>12</v>
      </c>
      <c r="BA425">
        <f t="shared" ref="BA425" si="5562">CD425-CD424</f>
        <v>113</v>
      </c>
      <c r="BB425">
        <f t="shared" ref="BB425" si="5563">CE425-CE424</f>
        <v>1</v>
      </c>
      <c r="BC425">
        <f t="shared" ref="BC425" si="5564">AX425/AW425</f>
        <v>3.0612244897959183E-2</v>
      </c>
      <c r="BD425">
        <f t="shared" ref="BD425" si="5565">AZ425/AY425</f>
        <v>2.7334851936218679E-2</v>
      </c>
      <c r="BE425">
        <f t="shared" si="3674"/>
        <v>8.8495575221238937E-3</v>
      </c>
      <c r="BF425">
        <f t="shared" ref="BF425" si="5566">SUM(AU419:AU425)/SUM(AT419:AT425)</f>
        <v>3.0178525393142561E-2</v>
      </c>
      <c r="BG425">
        <f t="shared" ref="BG425" si="5567">SUM(AU412:AU425)/SUM(AT412:AT425)</f>
        <v>3.4069123341441424E-2</v>
      </c>
      <c r="BH425">
        <f t="shared" ref="BH425" si="5568">SUM(AX419:AX425)/SUM(AW419:AW425)</f>
        <v>2.8963414634146343E-2</v>
      </c>
      <c r="BI425">
        <f t="shared" ref="BI425" si="5569">SUM(AZ419:AZ425)/SUM(AY419:AY425)</f>
        <v>2.032655781406198E-2</v>
      </c>
      <c r="BJ425">
        <f t="shared" ref="BJ425" si="5570">SUM(BB419:BB425)/SUM(BA419:BA425)</f>
        <v>1.1695906432748537E-2</v>
      </c>
      <c r="BN425" s="20">
        <v>4948485</v>
      </c>
      <c r="BO425" s="20">
        <v>399316</v>
      </c>
      <c r="BP425" s="20">
        <v>1449502</v>
      </c>
      <c r="BQ425" s="20">
        <v>290359</v>
      </c>
      <c r="BR425" s="20">
        <v>304533</v>
      </c>
      <c r="BS425" s="20">
        <v>64686</v>
      </c>
      <c r="BT425" s="21">
        <f t="shared" si="4946"/>
        <v>1739861</v>
      </c>
      <c r="BU425" s="21">
        <f t="shared" si="2991"/>
        <v>369219</v>
      </c>
      <c r="BV425" s="20">
        <v>40617</v>
      </c>
      <c r="BW425" s="20">
        <v>2985</v>
      </c>
      <c r="BX425" s="20">
        <v>9390</v>
      </c>
      <c r="BY425" s="20">
        <v>3360</v>
      </c>
      <c r="BZ425" s="20">
        <v>2197</v>
      </c>
      <c r="CA425" s="20">
        <v>650</v>
      </c>
      <c r="CB425" s="21">
        <f t="shared" si="4947"/>
        <v>12750</v>
      </c>
      <c r="CC425" s="21">
        <f t="shared" si="2993"/>
        <v>2847</v>
      </c>
      <c r="CD425" s="20">
        <v>30272</v>
      </c>
      <c r="CE425" s="20">
        <v>1740</v>
      </c>
      <c r="CF425" s="20">
        <v>5511</v>
      </c>
      <c r="CG425" s="20">
        <v>1834</v>
      </c>
      <c r="CH425" s="20">
        <v>1190</v>
      </c>
      <c r="CI425" s="20">
        <v>460</v>
      </c>
      <c r="CJ425" s="21">
        <f t="shared" si="4948"/>
        <v>7345</v>
      </c>
      <c r="CK425" s="21">
        <f t="shared" si="2995"/>
        <v>1650</v>
      </c>
      <c r="CL425" s="20">
        <v>220699</v>
      </c>
      <c r="CM425" s="20">
        <v>17295</v>
      </c>
      <c r="CN425" s="20">
        <v>67737</v>
      </c>
      <c r="CO425" s="20">
        <v>5253</v>
      </c>
      <c r="CP425" s="20">
        <v>14964</v>
      </c>
      <c r="CQ425" s="20">
        <v>859</v>
      </c>
      <c r="CR425" s="21">
        <f t="shared" si="4949"/>
        <v>72990</v>
      </c>
      <c r="CS425" s="21">
        <f t="shared" si="5167"/>
        <v>15823</v>
      </c>
    </row>
    <row r="426" spans="1:97" x14ac:dyDescent="0.35">
      <c r="A426" s="14">
        <f t="shared" si="2761"/>
        <v>44332</v>
      </c>
      <c r="B426" s="9">
        <f t="shared" si="4914"/>
        <v>1741136</v>
      </c>
      <c r="C426">
        <f t="shared" ref="C426" si="5571">BU426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572">-(J426-J425)+L426</f>
        <v>7</v>
      </c>
      <c r="N426" s="7">
        <f t="shared" ref="N426" si="5573">B426-C426</f>
        <v>1371781</v>
      </c>
      <c r="O426" s="4">
        <f t="shared" ref="O426" si="5574">C426/B426</f>
        <v>0.21213449150439712</v>
      </c>
      <c r="R426">
        <f t="shared" ref="R426" si="5575">C426-C425</f>
        <v>136</v>
      </c>
      <c r="S426">
        <f t="shared" ref="S426" si="5576">N426-N425</f>
        <v>1139</v>
      </c>
      <c r="T426" s="8">
        <f t="shared" ref="T426" si="5577">R426/V426</f>
        <v>0.10666666666666667</v>
      </c>
      <c r="U426" s="8">
        <f t="shared" ref="U426" si="5578">SUM(R420:R426)/SUM(V420:V426)</f>
        <v>0.12472762792095575</v>
      </c>
      <c r="V426">
        <f t="shared" ref="V426" si="5579">B426-B425</f>
        <v>1275</v>
      </c>
      <c r="W426">
        <f t="shared" ref="W426" si="5580">C426-D426-E426</f>
        <v>8591</v>
      </c>
      <c r="X426" s="3">
        <f t="shared" ref="X426" si="5581">F426/W426</f>
        <v>1.687812827377488E-2</v>
      </c>
      <c r="Y426">
        <f t="shared" ref="Y426" si="5582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583">Z426-AC426-AF426</f>
        <v>52</v>
      </c>
      <c r="AJ426">
        <f t="shared" ref="AJ426" si="5584">AA426-AD426-AG426</f>
        <v>28</v>
      </c>
      <c r="AK426">
        <f t="shared" ref="AK426" si="5585">AB426-AE426-AH426</f>
        <v>236</v>
      </c>
      <c r="AL426">
        <v>3</v>
      </c>
      <c r="AM426">
        <v>3</v>
      </c>
      <c r="AN426">
        <v>7</v>
      </c>
      <c r="AT426">
        <f t="shared" ref="AT426" si="5586">BN426-BN425</f>
        <v>4201</v>
      </c>
      <c r="AU426">
        <f t="shared" ref="AU426" si="5587">BO426-BO425</f>
        <v>150</v>
      </c>
      <c r="AV426">
        <f t="shared" ref="AV426" si="5588">AU426/AT426</f>
        <v>3.5705784337062604E-2</v>
      </c>
      <c r="AW426">
        <f t="shared" ref="AW426" si="5589">BV426-BV425</f>
        <v>17</v>
      </c>
      <c r="AX426">
        <f t="shared" ref="AX426" si="5590">BW426-BW425</f>
        <v>-3</v>
      </c>
      <c r="AY426">
        <f t="shared" ref="AY426" si="5591">CL426-CL425</f>
        <v>164</v>
      </c>
      <c r="AZ426">
        <f t="shared" ref="AZ426" si="5592">CM426-CM425</f>
        <v>-1</v>
      </c>
      <c r="BA426">
        <f t="shared" ref="BA426" si="5593">CD426-CD425</f>
        <v>13</v>
      </c>
      <c r="BB426">
        <f t="shared" ref="BB426" si="5594">CE426-CE425</f>
        <v>3</v>
      </c>
      <c r="BC426">
        <f t="shared" ref="BC426" si="5595">AX426/AW426</f>
        <v>-0.17647058823529413</v>
      </c>
      <c r="BD426">
        <f t="shared" ref="BD426" si="5596">AZ426/AY426</f>
        <v>-6.0975609756097563E-3</v>
      </c>
      <c r="BE426">
        <f t="shared" si="3674"/>
        <v>0.23076923076923078</v>
      </c>
      <c r="BF426">
        <f t="shared" ref="BF426" si="5597">SUM(AU420:AU426)/SUM(AT420:AT426)</f>
        <v>3.0496994052924113E-2</v>
      </c>
      <c r="BG426">
        <f t="shared" ref="BG426" si="5598">SUM(AU413:AU426)/SUM(AT413:AT426)</f>
        <v>3.2803104675420296E-2</v>
      </c>
      <c r="BH426">
        <f t="shared" ref="BH426" si="5599">SUM(AX420:AX426)/SUM(AW420:AW426)</f>
        <v>2.4427480916030534E-2</v>
      </c>
      <c r="BI426">
        <f t="shared" ref="BI426" si="5600">SUM(AZ420:AZ426)/SUM(AY420:AY426)</f>
        <v>2.2406639004149378E-2</v>
      </c>
      <c r="BJ426">
        <f t="shared" ref="BJ426" si="5601">SUM(BB420:BB426)/SUM(BA420:BA426)</f>
        <v>1.2012012012012012E-2</v>
      </c>
      <c r="BN426" s="20">
        <v>4952686</v>
      </c>
      <c r="BO426" s="20">
        <v>399466</v>
      </c>
      <c r="BP426" s="20">
        <v>1450732</v>
      </c>
      <c r="BQ426" s="20">
        <v>290404</v>
      </c>
      <c r="BR426" s="20">
        <v>304646</v>
      </c>
      <c r="BS426" s="20">
        <v>64709</v>
      </c>
      <c r="BT426" s="21">
        <f t="shared" si="4946"/>
        <v>1741136</v>
      </c>
      <c r="BU426" s="21">
        <f t="shared" si="2991"/>
        <v>369355</v>
      </c>
      <c r="BV426" s="20">
        <v>40634</v>
      </c>
      <c r="BW426" s="20">
        <v>2982</v>
      </c>
      <c r="BX426" s="20">
        <v>9396</v>
      </c>
      <c r="BY426" s="20">
        <v>3358</v>
      </c>
      <c r="BZ426" s="20">
        <v>2200</v>
      </c>
      <c r="CA426" s="20">
        <v>650</v>
      </c>
      <c r="CB426" s="21">
        <f t="shared" si="4947"/>
        <v>12754</v>
      </c>
      <c r="CC426" s="21">
        <f t="shared" si="2993"/>
        <v>2850</v>
      </c>
      <c r="CD426" s="20">
        <v>30285</v>
      </c>
      <c r="CE426" s="20">
        <v>1743</v>
      </c>
      <c r="CF426" s="20">
        <v>5513</v>
      </c>
      <c r="CG426" s="20">
        <v>1835</v>
      </c>
      <c r="CH426" s="20">
        <v>1190</v>
      </c>
      <c r="CI426" s="20">
        <v>460</v>
      </c>
      <c r="CJ426" s="21">
        <f t="shared" si="4948"/>
        <v>7348</v>
      </c>
      <c r="CK426" s="21">
        <f t="shared" si="2995"/>
        <v>1650</v>
      </c>
      <c r="CL426" s="20">
        <v>220863</v>
      </c>
      <c r="CM426" s="20">
        <v>17294</v>
      </c>
      <c r="CN426" s="20">
        <v>67781</v>
      </c>
      <c r="CO426" s="20">
        <v>5256</v>
      </c>
      <c r="CP426" s="20">
        <v>14966</v>
      </c>
      <c r="CQ426" s="20">
        <v>859</v>
      </c>
      <c r="CR426" s="21">
        <f t="shared" si="4949"/>
        <v>73037</v>
      </c>
      <c r="CS426" s="21">
        <f t="shared" si="5167"/>
        <v>15825</v>
      </c>
    </row>
    <row r="427" spans="1:97" x14ac:dyDescent="0.35">
      <c r="A427" s="14">
        <f t="shared" si="2761"/>
        <v>44333</v>
      </c>
      <c r="B427" s="9">
        <f t="shared" si="4914"/>
        <v>1741776</v>
      </c>
      <c r="C427">
        <f t="shared" ref="C427" si="5602">BU427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603">-(J427-J426)+L427</f>
        <v>8</v>
      </c>
      <c r="N427" s="7">
        <f t="shared" ref="N427" si="5604">B427-C427</f>
        <v>1372344</v>
      </c>
      <c r="O427" s="4">
        <f t="shared" ref="O427" si="5605">C427/B427</f>
        <v>0.21210075233554718</v>
      </c>
      <c r="R427">
        <f t="shared" ref="R427" si="5606">C427-C426</f>
        <v>77</v>
      </c>
      <c r="S427">
        <f t="shared" ref="S427" si="5607">N427-N426</f>
        <v>563</v>
      </c>
      <c r="T427" s="8">
        <f t="shared" ref="T427" si="5608">R427/V427</f>
        <v>0.1203125</v>
      </c>
      <c r="U427" s="8">
        <f t="shared" ref="U427" si="5609">SUM(R421:R427)/SUM(V421:V427)</f>
        <v>0.12597353497164462</v>
      </c>
      <c r="V427">
        <f t="shared" ref="V427" si="5610">B427-B426</f>
        <v>640</v>
      </c>
      <c r="W427">
        <f t="shared" ref="W427" si="5611">C427-D427-E427</f>
        <v>8476</v>
      </c>
      <c r="X427" s="3">
        <f t="shared" ref="X427" si="5612">F427/W427</f>
        <v>1.6163284568192545E-2</v>
      </c>
      <c r="Y427">
        <f t="shared" ref="Y427" si="5613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614">Z427-AC427-AF427</f>
        <v>54</v>
      </c>
      <c r="AJ427">
        <f t="shared" ref="AJ427" si="5615">AA427-AD427-AG427</f>
        <v>28</v>
      </c>
      <c r="AK427">
        <f t="shared" ref="AK427" si="5616">AB427-AE427-AH427</f>
        <v>235</v>
      </c>
      <c r="AL427">
        <v>3</v>
      </c>
      <c r="AM427">
        <v>3</v>
      </c>
      <c r="AN427">
        <v>7</v>
      </c>
      <c r="AT427">
        <f t="shared" ref="AT427" si="5617">BN427-BN426</f>
        <v>2104</v>
      </c>
      <c r="AU427">
        <f t="shared" ref="AU427" si="5618">BO427-BO426</f>
        <v>62</v>
      </c>
      <c r="AV427">
        <f t="shared" ref="AV427" si="5619">AU427/AT427</f>
        <v>2.9467680608365018E-2</v>
      </c>
      <c r="AW427">
        <f t="shared" ref="AW427" si="5620">BV427-BV426</f>
        <v>4</v>
      </c>
      <c r="AX427">
        <f t="shared" ref="AX427" si="5621">BW427-BW426</f>
        <v>0</v>
      </c>
      <c r="AY427">
        <f t="shared" ref="AY427" si="5622">CL427-CL426</f>
        <v>54</v>
      </c>
      <c r="AZ427">
        <f t="shared" ref="AZ427" si="5623">CM427-CM426</f>
        <v>0</v>
      </c>
      <c r="BA427">
        <f t="shared" ref="BA427" si="5624">CD427-CD426</f>
        <v>2</v>
      </c>
      <c r="BB427">
        <f t="shared" ref="BB427" si="5625">CE427-CE426</f>
        <v>0</v>
      </c>
      <c r="BC427">
        <f t="shared" ref="BC427" si="5626">AX427/AW427</f>
        <v>0</v>
      </c>
      <c r="BD427">
        <f t="shared" ref="BD427" si="5627">AZ427/AY427</f>
        <v>0</v>
      </c>
      <c r="BE427">
        <f t="shared" si="3674"/>
        <v>0</v>
      </c>
      <c r="BF427">
        <f t="shared" ref="BF427" si="5628">SUM(AU421:AU427)/SUM(AT421:AT427)</f>
        <v>2.953758071599356E-2</v>
      </c>
      <c r="BG427">
        <f t="shared" ref="BG427" si="5629">SUM(AU414:AU427)/SUM(AT414:AT427)</f>
        <v>3.2384275985056957E-2</v>
      </c>
      <c r="BH427">
        <f t="shared" ref="BH427" si="5630">SUM(AX421:AX427)/SUM(AW421:AW427)</f>
        <v>2.1472392638036811E-2</v>
      </c>
      <c r="BI427">
        <f t="shared" ref="BI427" si="5631">SUM(AZ421:AZ427)/SUM(AY421:AY427)</f>
        <v>1.9970414201183433E-2</v>
      </c>
      <c r="BJ427">
        <f t="shared" ref="BJ427" si="5632">SUM(BB421:BB427)/SUM(BA421:BA427)</f>
        <v>1.2158054711246201E-2</v>
      </c>
      <c r="BN427" s="20">
        <v>4954790</v>
      </c>
      <c r="BO427" s="20">
        <v>399528</v>
      </c>
      <c r="BP427" s="20">
        <v>1451324</v>
      </c>
      <c r="BQ427" s="20">
        <v>290452</v>
      </c>
      <c r="BR427" s="20">
        <v>304718</v>
      </c>
      <c r="BS427" s="20">
        <v>64714</v>
      </c>
      <c r="BT427" s="21">
        <f t="shared" si="4946"/>
        <v>1741776</v>
      </c>
      <c r="BU427" s="21">
        <f t="shared" si="2991"/>
        <v>369432</v>
      </c>
      <c r="BV427" s="20">
        <v>40638</v>
      </c>
      <c r="BW427" s="20">
        <v>2982</v>
      </c>
      <c r="BX427" s="20">
        <v>9398</v>
      </c>
      <c r="BY427" s="20">
        <v>3358</v>
      </c>
      <c r="BZ427" s="20">
        <v>2201</v>
      </c>
      <c r="CA427" s="20">
        <v>650</v>
      </c>
      <c r="CB427" s="21">
        <f t="shared" si="4947"/>
        <v>12756</v>
      </c>
      <c r="CC427" s="21">
        <f t="shared" si="2993"/>
        <v>2851</v>
      </c>
      <c r="CD427" s="20">
        <v>30287</v>
      </c>
      <c r="CE427" s="20">
        <v>1743</v>
      </c>
      <c r="CF427" s="20">
        <v>5513</v>
      </c>
      <c r="CG427" s="20">
        <v>1835</v>
      </c>
      <c r="CH427" s="20">
        <v>1190</v>
      </c>
      <c r="CI427" s="20">
        <v>460</v>
      </c>
      <c r="CJ427" s="21">
        <f t="shared" si="4948"/>
        <v>7348</v>
      </c>
      <c r="CK427" s="21">
        <f t="shared" si="2995"/>
        <v>1650</v>
      </c>
      <c r="CL427" s="20">
        <v>220917</v>
      </c>
      <c r="CM427" s="20">
        <v>17294</v>
      </c>
      <c r="CN427" s="20">
        <v>67794</v>
      </c>
      <c r="CO427" s="20">
        <v>5258</v>
      </c>
      <c r="CP427" s="20">
        <v>14965</v>
      </c>
      <c r="CQ427" s="20">
        <v>859</v>
      </c>
      <c r="CR427" s="21">
        <f t="shared" si="4949"/>
        <v>73052</v>
      </c>
      <c r="CS427" s="21">
        <f t="shared" si="5167"/>
        <v>15824</v>
      </c>
    </row>
    <row r="428" spans="1:97" x14ac:dyDescent="0.35">
      <c r="A428" s="14">
        <f t="shared" si="2761"/>
        <v>44334</v>
      </c>
      <c r="B428" s="9">
        <f t="shared" si="4914"/>
        <v>1743545</v>
      </c>
      <c r="C428">
        <f t="shared" ref="C428" si="5633">BU428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634">-(J428-J427)+L428</f>
        <v>-1</v>
      </c>
      <c r="N428" s="7">
        <f t="shared" ref="N428" si="5635">B428-C428</f>
        <v>1373953</v>
      </c>
      <c r="O428" s="4">
        <f t="shared" ref="O428" si="5636">C428/B428</f>
        <v>0.211977322065103</v>
      </c>
      <c r="R428">
        <f t="shared" ref="R428" si="5637">C428-C427</f>
        <v>160</v>
      </c>
      <c r="S428">
        <f t="shared" ref="S428" si="5638">N428-N427</f>
        <v>1609</v>
      </c>
      <c r="T428" s="8">
        <f t="shared" ref="T428" si="5639">R428/V428</f>
        <v>9.0446579988694181E-2</v>
      </c>
      <c r="U428" s="8">
        <f t="shared" ref="U428" si="5640">SUM(R422:R428)/SUM(V422:V428)</f>
        <v>0.12236088219135076</v>
      </c>
      <c r="V428">
        <f t="shared" ref="V428" si="5641">B428-B427</f>
        <v>1769</v>
      </c>
      <c r="W428">
        <f t="shared" ref="W428" si="5642">C428-D428-E428</f>
        <v>7988</v>
      </c>
      <c r="X428" s="3">
        <f t="shared" ref="X428" si="5643">F428/W428</f>
        <v>1.7776664997496243E-2</v>
      </c>
      <c r="Y428">
        <f t="shared" ref="Y428" si="5644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645">Z428-AC428-AF428</f>
        <v>53</v>
      </c>
      <c r="AJ428">
        <f t="shared" ref="AJ428" si="5646">AA428-AD428-AG428</f>
        <v>28</v>
      </c>
      <c r="AK428">
        <f t="shared" ref="AK428" si="5647">AB428-AE428-AH428</f>
        <v>215</v>
      </c>
      <c r="AL428">
        <v>1</v>
      </c>
      <c r="AM428">
        <v>1</v>
      </c>
      <c r="AN428">
        <v>9</v>
      </c>
      <c r="AT428">
        <f t="shared" ref="AT428" si="5648">BN428-BN427</f>
        <v>7963</v>
      </c>
      <c r="AU428">
        <f t="shared" ref="AU428" si="5649">BO428-BO427</f>
        <v>197</v>
      </c>
      <c r="AV428">
        <f t="shared" ref="AV428" si="5650">AU428/AT428</f>
        <v>2.4739419816652015E-2</v>
      </c>
      <c r="AW428">
        <f t="shared" ref="AW428" si="5651">BV428-BV427</f>
        <v>97</v>
      </c>
      <c r="AX428">
        <f t="shared" ref="AX428" si="5652">BW428-BW427</f>
        <v>6</v>
      </c>
      <c r="AY428">
        <f t="shared" ref="AY428" si="5653">CL428-CL427</f>
        <v>441</v>
      </c>
      <c r="AZ428">
        <f t="shared" ref="AZ428" si="5654">CM428-CM427</f>
        <v>4</v>
      </c>
      <c r="BA428">
        <f t="shared" ref="BA428" si="5655">CD428-CD427</f>
        <v>36</v>
      </c>
      <c r="BB428">
        <f t="shared" ref="BB428" si="5656">CE428-CE427</f>
        <v>0</v>
      </c>
      <c r="BC428">
        <f t="shared" ref="BC428" si="5657">AX428/AW428</f>
        <v>6.1855670103092786E-2</v>
      </c>
      <c r="BD428">
        <f t="shared" ref="BD428" si="5658">AZ428/AY428</f>
        <v>9.0702947845804991E-3</v>
      </c>
      <c r="BE428">
        <f t="shared" ref="BE428:BE459" si="5659">BB428/BA428</f>
        <v>0</v>
      </c>
      <c r="BF428">
        <f t="shared" ref="BF428" si="5660">SUM(AU422:AU428)/SUM(AT422:AT428)</f>
        <v>2.8991807390068552E-2</v>
      </c>
      <c r="BG428">
        <f t="shared" ref="BG428" si="5661">SUM(AU415:AU428)/SUM(AT415:AT428)</f>
        <v>3.2089822528069543E-2</v>
      </c>
      <c r="BH428">
        <f t="shared" ref="BH428" si="5662">SUM(AX422:AX428)/SUM(AW422:AW428)</f>
        <v>2.3734177215189875E-2</v>
      </c>
      <c r="BI428">
        <f t="shared" ref="BI428" si="5663">SUM(AZ422:AZ428)/SUM(AY422:AY428)</f>
        <v>1.9428571428571427E-2</v>
      </c>
      <c r="BJ428">
        <f t="shared" ref="BJ428" si="5664">SUM(BB422:BB428)/SUM(BA422:BA428)</f>
        <v>1.7804154302670624E-2</v>
      </c>
      <c r="BN428" s="20">
        <v>4962753</v>
      </c>
      <c r="BO428" s="20">
        <v>399725</v>
      </c>
      <c r="BP428" s="20">
        <v>1452785</v>
      </c>
      <c r="BQ428" s="20">
        <v>290760</v>
      </c>
      <c r="BR428" s="20">
        <v>304835</v>
      </c>
      <c r="BS428" s="20">
        <v>64757</v>
      </c>
      <c r="BT428" s="21">
        <f t="shared" si="4946"/>
        <v>1743545</v>
      </c>
      <c r="BU428" s="21">
        <f t="shared" si="2991"/>
        <v>369592</v>
      </c>
      <c r="BV428" s="20">
        <v>40735</v>
      </c>
      <c r="BW428" s="20">
        <v>2988</v>
      </c>
      <c r="BX428" s="20">
        <v>9402</v>
      </c>
      <c r="BY428" s="20">
        <v>3363</v>
      </c>
      <c r="BZ428" s="20">
        <v>2201</v>
      </c>
      <c r="CA428" s="20">
        <v>651</v>
      </c>
      <c r="CB428" s="21">
        <f t="shared" si="4947"/>
        <v>12765</v>
      </c>
      <c r="CC428" s="21">
        <f t="shared" si="2993"/>
        <v>2852</v>
      </c>
      <c r="CD428" s="20">
        <v>30323</v>
      </c>
      <c r="CE428" s="20">
        <v>1743</v>
      </c>
      <c r="CF428" s="20">
        <v>5516</v>
      </c>
      <c r="CG428" s="20">
        <v>1840</v>
      </c>
      <c r="CH428" s="20">
        <v>1191</v>
      </c>
      <c r="CI428" s="20">
        <v>461</v>
      </c>
      <c r="CJ428" s="21">
        <f t="shared" si="4948"/>
        <v>7356</v>
      </c>
      <c r="CK428" s="21">
        <f t="shared" si="2995"/>
        <v>1652</v>
      </c>
      <c r="CL428" s="20">
        <v>221358</v>
      </c>
      <c r="CM428" s="20">
        <v>17298</v>
      </c>
      <c r="CN428" s="20">
        <v>67865</v>
      </c>
      <c r="CO428" s="20">
        <v>5267</v>
      </c>
      <c r="CP428" s="20">
        <v>14972</v>
      </c>
      <c r="CQ428" s="20">
        <v>860</v>
      </c>
      <c r="CR428" s="21">
        <f t="shared" si="4949"/>
        <v>73132</v>
      </c>
      <c r="CS428" s="21">
        <f t="shared" si="5167"/>
        <v>15832</v>
      </c>
    </row>
    <row r="429" spans="1:97" x14ac:dyDescent="0.35">
      <c r="A429" s="14">
        <f t="shared" si="2761"/>
        <v>44335</v>
      </c>
      <c r="B429" s="9">
        <f t="shared" si="4914"/>
        <v>1743888</v>
      </c>
      <c r="C429">
        <f t="shared" ref="C429" si="5665">BU429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666">-(J429-J428)+L429</f>
        <v>4</v>
      </c>
      <c r="N429" s="7">
        <f t="shared" ref="N429" si="5667">B429-C429</f>
        <v>1374250</v>
      </c>
      <c r="O429" s="4">
        <f t="shared" ref="O429" si="5668">C429/B429</f>
        <v>0.21196200673437743</v>
      </c>
      <c r="R429">
        <f t="shared" ref="R429" si="5669">C429-C428</f>
        <v>46</v>
      </c>
      <c r="S429">
        <f t="shared" ref="S429" si="5670">N429-N428</f>
        <v>297</v>
      </c>
      <c r="T429" s="8">
        <f t="shared" ref="T429" si="5671">R429/V429</f>
        <v>0.13411078717201166</v>
      </c>
      <c r="U429" s="8">
        <f t="shared" ref="U429" si="5672">SUM(R423:R429)/SUM(V423:V429)</f>
        <v>0.11618334892422826</v>
      </c>
      <c r="V429">
        <f t="shared" ref="V429" si="5673">B429-B428</f>
        <v>343</v>
      </c>
      <c r="W429">
        <f t="shared" ref="W429" si="5674">C429-D429-E429</f>
        <v>7503</v>
      </c>
      <c r="X429" s="3">
        <f t="shared" ref="X429" si="5675">F429/W429</f>
        <v>1.9325603092096494E-2</v>
      </c>
      <c r="Y429">
        <f t="shared" ref="Y429" si="5676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677">Z429-AC429-AF429</f>
        <v>54</v>
      </c>
      <c r="AJ429">
        <f t="shared" ref="AJ429" si="5678">AA429-AD429-AG429</f>
        <v>29</v>
      </c>
      <c r="AK429">
        <f t="shared" ref="AK429" si="5679">AB429-AE429-AH429</f>
        <v>214</v>
      </c>
      <c r="AL429">
        <v>1</v>
      </c>
      <c r="AM429">
        <v>1</v>
      </c>
      <c r="AN429">
        <v>11</v>
      </c>
      <c r="AT429">
        <f t="shared" ref="AT429" si="5680">BN429-BN428</f>
        <v>2271</v>
      </c>
      <c r="AU429">
        <f t="shared" ref="AU429" si="5681">BO429-BO428</f>
        <v>43</v>
      </c>
      <c r="AV429">
        <f t="shared" ref="AV429" si="5682">AU429/AT429</f>
        <v>1.8934390136503741E-2</v>
      </c>
      <c r="AW429">
        <f t="shared" ref="AW429" si="5683">BV429-BV428</f>
        <v>74</v>
      </c>
      <c r="AX429">
        <f t="shared" ref="AX429" si="5684">BW429-BW428</f>
        <v>5</v>
      </c>
      <c r="AY429">
        <f t="shared" ref="AY429" si="5685">CL429-CL428</f>
        <v>280</v>
      </c>
      <c r="AZ429">
        <f t="shared" ref="AZ429" si="5686">CM429-CM428</f>
        <v>13</v>
      </c>
      <c r="BA429">
        <f t="shared" ref="BA429" si="5687">CD429-CD428</f>
        <v>39</v>
      </c>
      <c r="BB429">
        <f t="shared" ref="BB429" si="5688">CE429-CE428</f>
        <v>0</v>
      </c>
      <c r="BC429">
        <f t="shared" ref="BC429" si="5689">AX429/AW429</f>
        <v>6.7567567567567571E-2</v>
      </c>
      <c r="BD429">
        <f t="shared" ref="BD429" si="5690">AZ429/AY429</f>
        <v>4.642857142857143E-2</v>
      </c>
      <c r="BE429">
        <f t="shared" si="5659"/>
        <v>0</v>
      </c>
      <c r="BF429">
        <f t="shared" ref="BF429" si="5691">SUM(AU423:AU429)/SUM(AT423:AT429)</f>
        <v>2.6796613506595787E-2</v>
      </c>
      <c r="BG429">
        <f t="shared" ref="BG429" si="5692">SUM(AU416:AU429)/SUM(AT416:AT429)</f>
        <v>3.1046803579475955E-2</v>
      </c>
      <c r="BH429">
        <f t="shared" ref="BH429" si="5693">SUM(AX423:AX429)/SUM(AW423:AW429)</f>
        <v>2.9687499999999999E-2</v>
      </c>
      <c r="BI429">
        <f t="shared" ref="BI429" si="5694">SUM(AZ423:AZ429)/SUM(AY423:AY429)</f>
        <v>2.1356783919597989E-2</v>
      </c>
      <c r="BJ429">
        <f t="shared" ref="BJ429" si="5695">SUM(BB423:BB429)/SUM(BA423:BA429)</f>
        <v>1.8518518518518517E-2</v>
      </c>
      <c r="BN429" s="20">
        <v>4965024</v>
      </c>
      <c r="BO429" s="20">
        <v>399768</v>
      </c>
      <c r="BP429" s="20">
        <v>1453000</v>
      </c>
      <c r="BQ429" s="20">
        <v>290888</v>
      </c>
      <c r="BR429" s="20">
        <v>304868</v>
      </c>
      <c r="BS429" s="20">
        <v>64770</v>
      </c>
      <c r="BT429" s="21">
        <f t="shared" si="4946"/>
        <v>1743888</v>
      </c>
      <c r="BU429" s="21">
        <f t="shared" si="2991"/>
        <v>369638</v>
      </c>
      <c r="BV429" s="20">
        <v>40809</v>
      </c>
      <c r="BW429" s="20">
        <v>2993</v>
      </c>
      <c r="BX429" s="20">
        <v>9411</v>
      </c>
      <c r="BY429" s="20">
        <v>3370</v>
      </c>
      <c r="BZ429" s="20">
        <v>2204</v>
      </c>
      <c r="CA429" s="20">
        <v>652</v>
      </c>
      <c r="CB429" s="21">
        <f t="shared" si="4947"/>
        <v>12781</v>
      </c>
      <c r="CC429" s="21">
        <f t="shared" si="2993"/>
        <v>2856</v>
      </c>
      <c r="CD429" s="20">
        <v>30362</v>
      </c>
      <c r="CE429" s="20">
        <v>1743</v>
      </c>
      <c r="CF429" s="20">
        <v>5518</v>
      </c>
      <c r="CG429" s="20">
        <v>1844</v>
      </c>
      <c r="CH429" s="20">
        <v>1191</v>
      </c>
      <c r="CI429" s="20">
        <v>461</v>
      </c>
      <c r="CJ429" s="21">
        <f t="shared" si="4948"/>
        <v>7362</v>
      </c>
      <c r="CK429" s="21">
        <f t="shared" si="2995"/>
        <v>1652</v>
      </c>
      <c r="CL429" s="20">
        <v>221638</v>
      </c>
      <c r="CM429" s="20">
        <v>17311</v>
      </c>
      <c r="CN429" s="20">
        <v>67910</v>
      </c>
      <c r="CO429" s="20">
        <v>5272</v>
      </c>
      <c r="CP429" s="20">
        <v>14980</v>
      </c>
      <c r="CQ429" s="20">
        <v>860</v>
      </c>
      <c r="CR429" s="21">
        <f t="shared" si="4949"/>
        <v>73182</v>
      </c>
      <c r="CS429" s="21">
        <f t="shared" si="5167"/>
        <v>15840</v>
      </c>
    </row>
    <row r="430" spans="1:97" x14ac:dyDescent="0.35">
      <c r="A430" s="14">
        <f t="shared" si="2761"/>
        <v>44336</v>
      </c>
      <c r="B430" s="9">
        <f t="shared" si="4914"/>
        <v>1745919</v>
      </c>
      <c r="C430">
        <f t="shared" ref="C430" si="5696">BU430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697">-(J430-J429)+L430</f>
        <v>7</v>
      </c>
      <c r="N430" s="7">
        <f t="shared" ref="N430" si="5698">B430-C430</f>
        <v>1375998</v>
      </c>
      <c r="O430" s="4">
        <f t="shared" ref="O430" si="5699">C430/B430</f>
        <v>0.21187752696430934</v>
      </c>
      <c r="R430">
        <f t="shared" ref="R430" si="5700">C430-C429</f>
        <v>283</v>
      </c>
      <c r="S430">
        <f t="shared" ref="S430" si="5701">N430-N429</f>
        <v>1748</v>
      </c>
      <c r="T430" s="8">
        <f t="shared" ref="T430" si="5702">R430/V430</f>
        <v>0.13934022648941408</v>
      </c>
      <c r="U430" s="8">
        <f t="shared" ref="U430" si="5703">SUM(R424:R430)/SUM(V424:V430)</f>
        <v>0.11513633298005588</v>
      </c>
      <c r="V430">
        <f t="shared" ref="V430" si="5704">B430-B429</f>
        <v>2031</v>
      </c>
      <c r="W430">
        <f t="shared" ref="W430" si="5705">C430-D430-E430</f>
        <v>7312</v>
      </c>
      <c r="X430" s="3">
        <f t="shared" ref="X430" si="5706">F430/W430</f>
        <v>1.9967177242888403E-2</v>
      </c>
      <c r="Y430">
        <f t="shared" ref="Y430" si="5707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708">Z430-AC430-AF430</f>
        <v>58</v>
      </c>
      <c r="AJ430">
        <f t="shared" ref="AJ430" si="5709">AA430-AD430-AG430</f>
        <v>29</v>
      </c>
      <c r="AK430">
        <f t="shared" ref="AK430" si="5710">AB430-AE430-AH430</f>
        <v>208</v>
      </c>
      <c r="AL430">
        <v>1</v>
      </c>
      <c r="AM430">
        <v>1</v>
      </c>
      <c r="AN430">
        <v>1</v>
      </c>
      <c r="AT430">
        <f t="shared" ref="AT430" si="5711">BN430-BN429</f>
        <v>9593</v>
      </c>
      <c r="AU430">
        <f t="shared" ref="AU430" si="5712">BO430-BO429</f>
        <v>322</v>
      </c>
      <c r="AV430">
        <f t="shared" ref="AV430" si="5713">AU430/AT430</f>
        <v>3.3566141978526011E-2</v>
      </c>
      <c r="AW430">
        <f t="shared" ref="AW430" si="5714">BV430-BV429</f>
        <v>94</v>
      </c>
      <c r="AX430">
        <f t="shared" ref="AX430" si="5715">BW430-BW429</f>
        <v>3</v>
      </c>
      <c r="AY430">
        <f t="shared" ref="AY430" si="5716">CL430-CL429</f>
        <v>417</v>
      </c>
      <c r="AZ430">
        <f t="shared" ref="AZ430" si="5717">CM430-CM429</f>
        <v>19</v>
      </c>
      <c r="BA430">
        <f t="shared" ref="BA430" si="5718">CD430-CD429</f>
        <v>61</v>
      </c>
      <c r="BB430">
        <f t="shared" ref="BB430" si="5719">CE430-CE429</f>
        <v>-1</v>
      </c>
      <c r="BC430">
        <f t="shared" ref="BC430" si="5720">AX430/AW430</f>
        <v>3.1914893617021274E-2</v>
      </c>
      <c r="BD430">
        <f t="shared" ref="BD430" si="5721">AZ430/AY430</f>
        <v>4.5563549160671464E-2</v>
      </c>
      <c r="BE430">
        <f t="shared" si="5659"/>
        <v>-1.6393442622950821E-2</v>
      </c>
      <c r="BF430">
        <f t="shared" ref="BF430" si="5722">SUM(AU424:AU430)/SUM(AT424:AT430)</f>
        <v>2.6881500286626812E-2</v>
      </c>
      <c r="BG430">
        <f t="shared" ref="BG430" si="5723">SUM(AU417:AU430)/SUM(AT417:AT430)</f>
        <v>3.0995663410574269E-2</v>
      </c>
      <c r="BH430">
        <f t="shared" ref="BH430" si="5724">SUM(AX424:AX430)/SUM(AW424:AW430)</f>
        <v>3.3333333333333333E-2</v>
      </c>
      <c r="BI430">
        <f t="shared" ref="BI430" si="5725">SUM(AZ424:AZ430)/SUM(AY424:AY430)</f>
        <v>2.9676258992805755E-2</v>
      </c>
      <c r="BJ430">
        <f t="shared" ref="BJ430" si="5726">SUM(BB424:BB430)/SUM(BA424:BA430)</f>
        <v>1.1560693641618497E-2</v>
      </c>
      <c r="BN430" s="20">
        <v>4974617</v>
      </c>
      <c r="BO430" s="20">
        <v>400090</v>
      </c>
      <c r="BP430" s="20">
        <v>1454521</v>
      </c>
      <c r="BQ430" s="20">
        <v>291398</v>
      </c>
      <c r="BR430" s="20">
        <v>305075</v>
      </c>
      <c r="BS430" s="20">
        <v>64846</v>
      </c>
      <c r="BT430" s="21">
        <f t="shared" si="4946"/>
        <v>1745919</v>
      </c>
      <c r="BU430" s="21">
        <f t="shared" si="2991"/>
        <v>369921</v>
      </c>
      <c r="BV430" s="20">
        <v>40903</v>
      </c>
      <c r="BW430" s="20">
        <v>2996</v>
      </c>
      <c r="BX430" s="20">
        <v>6424</v>
      </c>
      <c r="BY430" s="20">
        <v>3379</v>
      </c>
      <c r="BZ430" s="20">
        <v>2206</v>
      </c>
      <c r="CA430" s="20">
        <v>654</v>
      </c>
      <c r="CB430" s="21">
        <f t="shared" si="4947"/>
        <v>9803</v>
      </c>
      <c r="CC430" s="21">
        <f t="shared" si="2993"/>
        <v>2860</v>
      </c>
      <c r="CD430" s="20">
        <v>30423</v>
      </c>
      <c r="CE430" s="20">
        <v>1742</v>
      </c>
      <c r="CF430" s="20">
        <v>5521</v>
      </c>
      <c r="CG430" s="20">
        <v>1850</v>
      </c>
      <c r="CH430" s="20">
        <v>1191</v>
      </c>
      <c r="CI430" s="20">
        <v>461</v>
      </c>
      <c r="CJ430" s="21">
        <f t="shared" si="4948"/>
        <v>7371</v>
      </c>
      <c r="CK430" s="21">
        <f t="shared" si="2995"/>
        <v>1652</v>
      </c>
      <c r="CL430" s="20">
        <v>222055</v>
      </c>
      <c r="CM430" s="20">
        <v>17330</v>
      </c>
      <c r="CN430" s="20">
        <v>68000</v>
      </c>
      <c r="CO430" s="20">
        <v>5284</v>
      </c>
      <c r="CP430" s="20">
        <v>14994</v>
      </c>
      <c r="CQ430" s="20">
        <v>860</v>
      </c>
      <c r="CR430" s="21">
        <f t="shared" si="4949"/>
        <v>73284</v>
      </c>
      <c r="CS430" s="21">
        <f t="shared" si="5167"/>
        <v>15854</v>
      </c>
    </row>
    <row r="431" spans="1:97" x14ac:dyDescent="0.35">
      <c r="A431" s="14">
        <f t="shared" si="2761"/>
        <v>44337</v>
      </c>
      <c r="B431" s="9">
        <f t="shared" si="4914"/>
        <v>1749246</v>
      </c>
      <c r="C431">
        <f t="shared" ref="C431" si="5727">BU431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728">-(J431-J430)+L431</f>
        <v>4</v>
      </c>
      <c r="N431" s="7">
        <f t="shared" ref="N431" si="5729">B431-C431</f>
        <v>1378962</v>
      </c>
      <c r="O431" s="4">
        <f t="shared" ref="O431" si="5730">C431/B431</f>
        <v>0.21168206187122909</v>
      </c>
      <c r="R431">
        <f t="shared" ref="R431" si="5731">C431-C430</f>
        <v>363</v>
      </c>
      <c r="S431">
        <f t="shared" ref="S431" si="5732">N431-N430</f>
        <v>2964</v>
      </c>
      <c r="T431" s="8">
        <f t="shared" ref="T431" si="5733">R431/V431</f>
        <v>0.109107303877367</v>
      </c>
      <c r="U431" s="8">
        <f t="shared" ref="U431" si="5734">SUM(R425:R431)/SUM(V425:V431)</f>
        <v>0.11384615384615385</v>
      </c>
      <c r="V431">
        <f t="shared" ref="V431" si="5735">B431-B430</f>
        <v>3327</v>
      </c>
      <c r="W431">
        <f t="shared" ref="W431" si="5736">C431-D431-E431</f>
        <v>7260</v>
      </c>
      <c r="X431" s="3">
        <f t="shared" ref="X431" si="5737">F431/W431</f>
        <v>1.955922865013774E-2</v>
      </c>
      <c r="Y431">
        <f t="shared" ref="Y431" si="5738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739">Z431-AC431-AF431</f>
        <v>57</v>
      </c>
      <c r="AJ431">
        <f t="shared" ref="AJ431" si="5740">AA431-AD431-AG431</f>
        <v>28</v>
      </c>
      <c r="AK431">
        <f t="shared" ref="AK431" si="5741">AB431-AE431-AH431</f>
        <v>209</v>
      </c>
      <c r="AL431">
        <v>1</v>
      </c>
      <c r="AM431">
        <v>1</v>
      </c>
      <c r="AN431">
        <v>3</v>
      </c>
      <c r="AT431">
        <f t="shared" ref="AT431" si="5742">BN431-BN430</f>
        <v>15363</v>
      </c>
      <c r="AU431">
        <f t="shared" ref="AU431" si="5743">BO431-BO430</f>
        <v>395</v>
      </c>
      <c r="AV431">
        <f t="shared" ref="AV431" si="5744">AU431/AT431</f>
        <v>2.5711124129401811E-2</v>
      </c>
      <c r="AW431">
        <f t="shared" ref="AW431" si="5745">BV431-BV430</f>
        <v>90</v>
      </c>
      <c r="AX431">
        <f t="shared" ref="AX431" si="5746">BW431-BW430</f>
        <v>-2</v>
      </c>
      <c r="AY431">
        <f t="shared" ref="AY431" si="5747">CL431-CL430</f>
        <v>242</v>
      </c>
      <c r="AZ431">
        <f t="shared" ref="AZ431" si="5748">CM431-CM430</f>
        <v>0</v>
      </c>
      <c r="BA431">
        <f t="shared" ref="BA431" si="5749">CD431-CD430</f>
        <v>20</v>
      </c>
      <c r="BB431">
        <f t="shared" ref="BB431" si="5750">CE431-CE430</f>
        <v>3</v>
      </c>
      <c r="BC431">
        <f t="shared" ref="BC431" si="5751">AX431/AW431</f>
        <v>-2.2222222222222223E-2</v>
      </c>
      <c r="BD431">
        <f t="shared" ref="BD431" si="5752">AZ431/AY431</f>
        <v>0</v>
      </c>
      <c r="BE431">
        <f t="shared" si="5659"/>
        <v>0.15</v>
      </c>
      <c r="BF431">
        <f t="shared" ref="BF431" si="5753">SUM(AU425:AU431)/SUM(AT425:AT431)</f>
        <v>2.7153784593623793E-2</v>
      </c>
      <c r="BG431">
        <f t="shared" ref="BG431" si="5754">SUM(AU418:AU431)/SUM(AT418:AT431)</f>
        <v>2.9471995631250213E-2</v>
      </c>
      <c r="BH431">
        <f t="shared" ref="BH431" si="5755">SUM(AX425:AX431)/SUM(AW425:AW431)</f>
        <v>2.5316455696202531E-2</v>
      </c>
      <c r="BI431">
        <f t="shared" ref="BI431" si="5756">SUM(AZ425:AZ431)/SUM(AY425:AY431)</f>
        <v>2.3073146784486992E-2</v>
      </c>
      <c r="BJ431">
        <f t="shared" ref="BJ431" si="5757">SUM(BB425:BB431)/SUM(BA425:BA431)</f>
        <v>2.1126760563380281E-2</v>
      </c>
      <c r="BN431" s="20">
        <v>4989980</v>
      </c>
      <c r="BO431" s="20">
        <v>400485</v>
      </c>
      <c r="BP431" s="20">
        <v>1457114</v>
      </c>
      <c r="BQ431" s="20">
        <v>292132</v>
      </c>
      <c r="BR431" s="20">
        <v>305334</v>
      </c>
      <c r="BS431" s="20">
        <v>64950</v>
      </c>
      <c r="BT431" s="21">
        <f t="shared" si="4946"/>
        <v>1749246</v>
      </c>
      <c r="BU431" s="21">
        <f t="shared" si="2991"/>
        <v>370284</v>
      </c>
      <c r="BV431" s="20">
        <v>40993</v>
      </c>
      <c r="BW431" s="20">
        <v>2994</v>
      </c>
      <c r="BX431" s="20">
        <v>9426</v>
      </c>
      <c r="BY431" s="20">
        <v>3389</v>
      </c>
      <c r="BZ431" s="20">
        <v>2205</v>
      </c>
      <c r="CA431" s="20">
        <v>654</v>
      </c>
      <c r="CB431" s="21">
        <f t="shared" si="4947"/>
        <v>12815</v>
      </c>
      <c r="CC431" s="21">
        <f t="shared" si="2993"/>
        <v>2859</v>
      </c>
      <c r="CD431" s="20">
        <v>30443</v>
      </c>
      <c r="CE431" s="20">
        <v>1745</v>
      </c>
      <c r="CF431" s="20">
        <v>5527</v>
      </c>
      <c r="CG431" s="20">
        <v>1850</v>
      </c>
      <c r="CH431" s="20">
        <v>1191</v>
      </c>
      <c r="CI431" s="20">
        <v>461</v>
      </c>
      <c r="CJ431" s="21">
        <f t="shared" si="4948"/>
        <v>7377</v>
      </c>
      <c r="CK431" s="21">
        <f t="shared" si="2995"/>
        <v>1652</v>
      </c>
      <c r="CL431" s="20">
        <v>222297</v>
      </c>
      <c r="CM431" s="20">
        <v>17330</v>
      </c>
      <c r="CN431" s="20">
        <v>68053</v>
      </c>
      <c r="CO431" s="20">
        <v>5284</v>
      </c>
      <c r="CP431" s="20">
        <v>15000</v>
      </c>
      <c r="CQ431" s="20">
        <v>860</v>
      </c>
      <c r="CR431" s="21">
        <f t="shared" si="4949"/>
        <v>73337</v>
      </c>
      <c r="CS431" s="21">
        <f t="shared" si="5167"/>
        <v>15860</v>
      </c>
    </row>
    <row r="432" spans="1:97" x14ac:dyDescent="0.35">
      <c r="A432" s="14">
        <f t="shared" si="2761"/>
        <v>44338</v>
      </c>
      <c r="B432" s="9">
        <f t="shared" si="4914"/>
        <v>1751143</v>
      </c>
      <c r="C432">
        <f t="shared" ref="C432" si="5758">BU432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759">-(J432-J431)+L432</f>
        <v>9</v>
      </c>
      <c r="N432" s="7">
        <f t="shared" ref="N432" si="5760">B432-C432</f>
        <v>1380643</v>
      </c>
      <c r="O432" s="4">
        <f t="shared" ref="O432" si="5761">C432/B432</f>
        <v>0.21157609629824634</v>
      </c>
      <c r="R432">
        <f t="shared" ref="R432" si="5762">C432-C431</f>
        <v>216</v>
      </c>
      <c r="S432">
        <f t="shared" ref="S432" si="5763">N432-N431</f>
        <v>1681</v>
      </c>
      <c r="T432" s="8">
        <f t="shared" ref="T432" si="5764">R432/V432</f>
        <v>0.11386399578281498</v>
      </c>
      <c r="U432" s="8">
        <f t="shared" ref="U432" si="5765">SUM(R426:R432)/SUM(V426:V432)</f>
        <v>0.11354369792589966</v>
      </c>
      <c r="V432">
        <f t="shared" ref="V432" si="5766">B432-B431</f>
        <v>1897</v>
      </c>
      <c r="W432">
        <f t="shared" ref="W432" si="5767">C432-D432-E432</f>
        <v>7103</v>
      </c>
      <c r="X432" s="3">
        <f t="shared" ref="X432" si="5768">F432/W432</f>
        <v>1.8442911445867943E-2</v>
      </c>
      <c r="Y432">
        <f t="shared" ref="Y432" si="5769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770">Z432-AC432-AF432</f>
        <v>56</v>
      </c>
      <c r="AJ432">
        <f t="shared" ref="AJ432" si="5771">AA432-AD432-AG432</f>
        <v>28</v>
      </c>
      <c r="AK432">
        <f t="shared" ref="AK432" si="5772">AB432-AE432-AH432</f>
        <v>201</v>
      </c>
      <c r="AL432">
        <v>1</v>
      </c>
      <c r="AM432">
        <v>1</v>
      </c>
      <c r="AN432">
        <v>3</v>
      </c>
      <c r="AT432">
        <f t="shared" ref="AT432" si="5773">BN432-BN431</f>
        <v>10919</v>
      </c>
      <c r="AU432">
        <f t="shared" ref="AU432" si="5774">BO432-BO431</f>
        <v>249</v>
      </c>
      <c r="AV432">
        <f t="shared" ref="AV432" si="5775">AU432/AT432</f>
        <v>2.2804286106786337E-2</v>
      </c>
      <c r="AW432">
        <f t="shared" ref="AW432" si="5776">BV432-BV431</f>
        <v>70</v>
      </c>
      <c r="AX432">
        <f t="shared" ref="AX432" si="5777">BW432-BW431</f>
        <v>1</v>
      </c>
      <c r="AY432">
        <f t="shared" ref="AY432" si="5778">CL432-CL431</f>
        <v>31283</v>
      </c>
      <c r="AZ432">
        <f t="shared" ref="AZ432" si="5779">CM432-CM431</f>
        <v>15</v>
      </c>
      <c r="BA432">
        <f t="shared" ref="BA432" si="5780">CD432-CD431</f>
        <v>39</v>
      </c>
      <c r="BB432">
        <f t="shared" ref="BB432" si="5781">CE432-CE431</f>
        <v>0</v>
      </c>
      <c r="BC432">
        <f t="shared" ref="BC432" si="5782">AX432/AW432</f>
        <v>1.4285714285714285E-2</v>
      </c>
      <c r="BD432">
        <f t="shared" ref="BD432" si="5783">AZ432/AY432</f>
        <v>4.7949365470063615E-4</v>
      </c>
      <c r="BE432">
        <f t="shared" si="5659"/>
        <v>0</v>
      </c>
      <c r="BF432">
        <f t="shared" ref="BF432" si="5784">SUM(AU426:AU432)/SUM(AT426:AT432)</f>
        <v>2.7053840576945092E-2</v>
      </c>
      <c r="BG432">
        <f t="shared" ref="BG432" si="5785">SUM(AU419:AU432)/SUM(AT419:AT432)</f>
        <v>2.8747881689058161E-2</v>
      </c>
      <c r="BH432">
        <f t="shared" ref="BH432" si="5786">SUM(AX426:AX432)/SUM(AW426:AW432)</f>
        <v>2.2421524663677129E-2</v>
      </c>
      <c r="BI432">
        <f t="shared" ref="BI432" si="5787">SUM(AZ426:AZ432)/SUM(AY426:AY432)</f>
        <v>1.5206350171831757E-3</v>
      </c>
      <c r="BJ432">
        <f t="shared" ref="BJ432" si="5788">SUM(BB426:BB432)/SUM(BA426:BA432)</f>
        <v>2.3809523809523808E-2</v>
      </c>
      <c r="BN432" s="20">
        <v>5000899</v>
      </c>
      <c r="BO432" s="20">
        <v>400734</v>
      </c>
      <c r="BP432" s="20">
        <v>1458502</v>
      </c>
      <c r="BQ432" s="20">
        <v>292641</v>
      </c>
      <c r="BR432" s="20">
        <v>305492</v>
      </c>
      <c r="BS432" s="20">
        <v>65008</v>
      </c>
      <c r="BT432" s="21">
        <f t="shared" si="4946"/>
        <v>1751143</v>
      </c>
      <c r="BU432" s="21">
        <f t="shared" si="2991"/>
        <v>370500</v>
      </c>
      <c r="BV432" s="20">
        <v>41063</v>
      </c>
      <c r="BW432" s="20">
        <v>2995</v>
      </c>
      <c r="BX432" s="20">
        <v>9439</v>
      </c>
      <c r="BY432" s="20">
        <v>3389</v>
      </c>
      <c r="BZ432" s="20">
        <v>2207</v>
      </c>
      <c r="CA432" s="20">
        <v>654</v>
      </c>
      <c r="CB432" s="21">
        <f t="shared" si="4947"/>
        <v>12828</v>
      </c>
      <c r="CC432" s="21">
        <f t="shared" si="2993"/>
        <v>2861</v>
      </c>
      <c r="CD432" s="20">
        <v>30482</v>
      </c>
      <c r="CE432" s="20">
        <v>1745</v>
      </c>
      <c r="CF432" s="20">
        <v>5529</v>
      </c>
      <c r="CG432" s="20">
        <v>1853</v>
      </c>
      <c r="CH432" s="20">
        <v>1191</v>
      </c>
      <c r="CI432" s="20">
        <v>461</v>
      </c>
      <c r="CJ432" s="21">
        <f t="shared" si="4948"/>
        <v>7382</v>
      </c>
      <c r="CK432" s="21">
        <f t="shared" si="2995"/>
        <v>1652</v>
      </c>
      <c r="CL432" s="20">
        <v>253580</v>
      </c>
      <c r="CM432" s="20">
        <v>17345</v>
      </c>
      <c r="CN432" s="20">
        <v>68132</v>
      </c>
      <c r="CO432" s="20">
        <v>5285</v>
      </c>
      <c r="CP432" s="20">
        <v>15009</v>
      </c>
      <c r="CQ432" s="20">
        <v>860</v>
      </c>
      <c r="CR432" s="21">
        <f t="shared" si="4949"/>
        <v>73417</v>
      </c>
      <c r="CS432" s="21">
        <f t="shared" si="5167"/>
        <v>15869</v>
      </c>
    </row>
    <row r="433" spans="1:97" x14ac:dyDescent="0.35">
      <c r="A433" s="14">
        <f t="shared" si="2761"/>
        <v>44339</v>
      </c>
      <c r="B433" s="9">
        <f t="shared" si="4914"/>
        <v>1752258</v>
      </c>
      <c r="C433">
        <f t="shared" ref="C433" si="5789">BU433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790">-(J433-J432)+L433</f>
        <v>9</v>
      </c>
      <c r="N433" s="7">
        <f t="shared" ref="N433" si="5791">B433-C433</f>
        <v>1381643</v>
      </c>
      <c r="O433" s="4">
        <f t="shared" ref="O433" si="5792">C433/B433</f>
        <v>0.21150709541631427</v>
      </c>
      <c r="R433">
        <f t="shared" ref="R433" si="5793">C433-C432</f>
        <v>115</v>
      </c>
      <c r="S433">
        <f t="shared" ref="S433" si="5794">N433-N432</f>
        <v>1000</v>
      </c>
      <c r="T433" s="8">
        <f t="shared" ref="T433" si="5795">R433/V433</f>
        <v>0.1031390134529148</v>
      </c>
      <c r="U433" s="8">
        <f t="shared" ref="U433" si="5796">SUM(R427:R433)/SUM(V427:V433)</f>
        <v>0.11328897680273332</v>
      </c>
      <c r="V433">
        <f t="shared" ref="V433" si="5797">B433-B432</f>
        <v>1115</v>
      </c>
      <c r="W433">
        <f t="shared" ref="W433" si="5798">C433-D433-E433</f>
        <v>7048</v>
      </c>
      <c r="X433" s="3">
        <f t="shared" ref="X433" si="5799">F433/W433</f>
        <v>1.7309875141884222E-2</v>
      </c>
      <c r="Y433">
        <f t="shared" ref="Y433" si="5800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801">Z433-AC433-AF433</f>
        <v>56</v>
      </c>
      <c r="AJ433">
        <f t="shared" ref="AJ433" si="5802">AA433-AD433-AG433</f>
        <v>28</v>
      </c>
      <c r="AK433">
        <f t="shared" ref="AK433" si="5803">AB433-AE433-AH433</f>
        <v>209</v>
      </c>
      <c r="AL433">
        <v>1</v>
      </c>
      <c r="AM433">
        <v>1</v>
      </c>
      <c r="AN433">
        <v>3</v>
      </c>
      <c r="AT433">
        <f t="shared" ref="AT433" si="5804">BN433-BN432</f>
        <v>3855</v>
      </c>
      <c r="AU433">
        <f t="shared" ref="AU433" si="5805">BO433-BO432</f>
        <v>113</v>
      </c>
      <c r="AV433">
        <f t="shared" ref="AV433" si="5806">AU433/AT433</f>
        <v>2.9312581063553826E-2</v>
      </c>
      <c r="AW433">
        <f t="shared" ref="AW433" si="5807">BV433-BV432</f>
        <v>14</v>
      </c>
      <c r="AX433">
        <f t="shared" ref="AX433" si="5808">BW433-BW432</f>
        <v>1</v>
      </c>
      <c r="AY433">
        <f t="shared" ref="AY433" si="5809">CL433-CL432</f>
        <v>-30861</v>
      </c>
      <c r="AZ433">
        <f t="shared" ref="AZ433" si="5810">CM433-CM432</f>
        <v>0</v>
      </c>
      <c r="BA433">
        <f t="shared" ref="BA433" si="5811">CD433-CD432</f>
        <v>14</v>
      </c>
      <c r="BB433">
        <f t="shared" ref="BB433" si="5812">CE433-CE432</f>
        <v>4</v>
      </c>
      <c r="BC433">
        <f t="shared" ref="BC433" si="5813">AX433/AW433</f>
        <v>7.1428571428571425E-2</v>
      </c>
      <c r="BD433">
        <f t="shared" ref="BD433" si="5814">AZ433/AY433</f>
        <v>0</v>
      </c>
      <c r="BE433">
        <f t="shared" si="5659"/>
        <v>0.2857142857142857</v>
      </c>
      <c r="BF433">
        <f t="shared" ref="BF433" si="5815">SUM(AU427:AU433)/SUM(AT427:AT433)</f>
        <v>2.6523008373665207E-2</v>
      </c>
      <c r="BG433">
        <f t="shared" ref="BG433" si="5816">SUM(AU420:AU433)/SUM(AT420:AT433)</f>
        <v>2.8678402868719182E-2</v>
      </c>
      <c r="BH433">
        <f t="shared" ref="BH433" si="5817">SUM(AX427:AX433)/SUM(AW427:AW433)</f>
        <v>3.160270880361174E-2</v>
      </c>
      <c r="BI433">
        <f t="shared" ref="BI433" si="5818">SUM(AZ427:AZ433)/SUM(AY427:AY433)</f>
        <v>2.7478448275862068E-2</v>
      </c>
      <c r="BJ433">
        <f t="shared" ref="BJ433" si="5819">SUM(BB427:BB433)/SUM(BA427:BA433)</f>
        <v>2.843601895734597E-2</v>
      </c>
      <c r="BN433" s="20">
        <v>5004754</v>
      </c>
      <c r="BO433" s="20">
        <v>400847</v>
      </c>
      <c r="BP433" s="20">
        <v>1459618</v>
      </c>
      <c r="BQ433" s="20">
        <v>292640</v>
      </c>
      <c r="BR433" s="20">
        <v>305595</v>
      </c>
      <c r="BS433" s="20">
        <v>65020</v>
      </c>
      <c r="BT433" s="21">
        <f t="shared" si="4946"/>
        <v>1752258</v>
      </c>
      <c r="BU433" s="21">
        <f t="shared" si="2991"/>
        <v>370615</v>
      </c>
      <c r="BV433" s="20">
        <v>41077</v>
      </c>
      <c r="BW433" s="20">
        <v>2996</v>
      </c>
      <c r="BX433" s="20">
        <v>9449</v>
      </c>
      <c r="BY433" s="20">
        <v>3388</v>
      </c>
      <c r="BZ433" s="20">
        <v>2208</v>
      </c>
      <c r="CA433" s="20">
        <v>654</v>
      </c>
      <c r="CB433" s="21">
        <f t="shared" si="4947"/>
        <v>12837</v>
      </c>
      <c r="CC433" s="21">
        <f t="shared" si="2993"/>
        <v>2862</v>
      </c>
      <c r="CD433" s="20">
        <v>30496</v>
      </c>
      <c r="CE433" s="20">
        <v>1749</v>
      </c>
      <c r="CF433" s="20">
        <v>5528</v>
      </c>
      <c r="CG433" s="20">
        <v>1857</v>
      </c>
      <c r="CH433" s="20">
        <v>1192</v>
      </c>
      <c r="CI433" s="20">
        <v>463</v>
      </c>
      <c r="CJ433" s="21">
        <f t="shared" si="4948"/>
        <v>7385</v>
      </c>
      <c r="CK433" s="21">
        <f t="shared" si="2995"/>
        <v>1655</v>
      </c>
      <c r="CL433" s="20">
        <v>222719</v>
      </c>
      <c r="CM433" s="20">
        <v>17345</v>
      </c>
      <c r="CN433" s="20">
        <v>68165</v>
      </c>
      <c r="CO433" s="20">
        <v>5287</v>
      </c>
      <c r="CP433" s="20">
        <v>15012</v>
      </c>
      <c r="CQ433" s="20">
        <v>861</v>
      </c>
      <c r="CR433" s="21">
        <f t="shared" si="4949"/>
        <v>73452</v>
      </c>
      <c r="CS433" s="21">
        <f t="shared" si="5167"/>
        <v>15873</v>
      </c>
    </row>
    <row r="434" spans="1:97" x14ac:dyDescent="0.35">
      <c r="A434" s="14">
        <f t="shared" si="2761"/>
        <v>44340</v>
      </c>
      <c r="B434" s="9">
        <f t="shared" si="4914"/>
        <v>1752705</v>
      </c>
      <c r="C434">
        <f t="shared" ref="C434" si="5820">BU434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821">-(J434-J433)+L434</f>
        <v>2</v>
      </c>
      <c r="N434" s="7">
        <f t="shared" ref="N434" si="5822">B434-C434</f>
        <v>1382046</v>
      </c>
      <c r="O434" s="4">
        <f t="shared" ref="O434" si="5823">C434/B434</f>
        <v>0.21147825789279998</v>
      </c>
      <c r="R434">
        <f t="shared" ref="R434" si="5824">C434-C433</f>
        <v>44</v>
      </c>
      <c r="S434">
        <f t="shared" ref="S434" si="5825">N434-N433</f>
        <v>403</v>
      </c>
      <c r="T434" s="8">
        <f t="shared" ref="T434" si="5826">R434/V434</f>
        <v>9.8434004474272932E-2</v>
      </c>
      <c r="U434" s="8">
        <f t="shared" ref="U434" si="5827">SUM(R428:R434)/SUM(V428:V434)</f>
        <v>0.11227010705462531</v>
      </c>
      <c r="V434">
        <f t="shared" ref="V434" si="5828">B434-B433</f>
        <v>447</v>
      </c>
      <c r="W434">
        <f t="shared" ref="W434" si="5829">C434-D434-E434</f>
        <v>6893</v>
      </c>
      <c r="X434" s="3">
        <f t="shared" ref="X434" si="5830">F434/W434</f>
        <v>1.7118816190338025E-2</v>
      </c>
      <c r="Y434">
        <f t="shared" ref="Y434" si="5831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832">Z434-AC434-AF434</f>
        <v>56</v>
      </c>
      <c r="AJ434">
        <f t="shared" ref="AJ434" si="5833">AA434-AD434-AG434</f>
        <v>31</v>
      </c>
      <c r="AK434">
        <f t="shared" ref="AK434" si="5834">AB434-AE434-AH434</f>
        <v>205</v>
      </c>
      <c r="AL434">
        <v>1</v>
      </c>
      <c r="AM434">
        <v>1</v>
      </c>
      <c r="AN434">
        <v>3</v>
      </c>
      <c r="AT434">
        <f t="shared" ref="AT434" si="5835">BN434-BN433</f>
        <v>1916</v>
      </c>
      <c r="AU434">
        <f t="shared" ref="AU434" si="5836">BO434-BO433</f>
        <v>66</v>
      </c>
      <c r="AV434">
        <f t="shared" ref="AV434" si="5837">AU434/AT434</f>
        <v>3.444676409185804E-2</v>
      </c>
      <c r="AW434">
        <f t="shared" ref="AW434" si="5838">BV434-BV433</f>
        <v>9</v>
      </c>
      <c r="AX434">
        <f t="shared" ref="AX434" si="5839">BW434-BW433</f>
        <v>2</v>
      </c>
      <c r="AY434">
        <f t="shared" ref="AY434" si="5840">CL434-CL433</f>
        <v>54</v>
      </c>
      <c r="AZ434">
        <f t="shared" ref="AZ434" si="5841">CM434-CM433</f>
        <v>2</v>
      </c>
      <c r="BA434">
        <f t="shared" ref="BA434" si="5842">CD434-CD433</f>
        <v>13</v>
      </c>
      <c r="BB434">
        <f t="shared" ref="BB434" si="5843">CE434-CE433</f>
        <v>-2</v>
      </c>
      <c r="BC434">
        <f t="shared" ref="BC434" si="5844">AX434/AW434</f>
        <v>0.22222222222222221</v>
      </c>
      <c r="BD434">
        <f t="shared" ref="BD434" si="5845">AZ434/AY434</f>
        <v>3.7037037037037035E-2</v>
      </c>
      <c r="BE434">
        <f t="shared" si="5659"/>
        <v>-0.15384615384615385</v>
      </c>
      <c r="BF434">
        <f t="shared" ref="BF434" si="5846">SUM(AU428:AU434)/SUM(AT428:AT434)</f>
        <v>2.6696222050886662E-2</v>
      </c>
      <c r="BG434">
        <f t="shared" ref="BG434" si="5847">SUM(AU421:AU434)/SUM(AT421:AT434)</f>
        <v>2.8237224442268505E-2</v>
      </c>
      <c r="BH434">
        <f t="shared" ref="BH434" si="5848">SUM(AX428:AX434)/SUM(AW428:AW434)</f>
        <v>3.5714285714285712E-2</v>
      </c>
      <c r="BI434">
        <f t="shared" ref="BI434" si="5849">SUM(AZ428:AZ434)/SUM(AY428:AY434)</f>
        <v>2.8556034482758622E-2</v>
      </c>
      <c r="BJ434">
        <f t="shared" ref="BJ434" si="5850">SUM(BB428:BB434)/SUM(BA428:BA434)</f>
        <v>1.8018018018018018E-2</v>
      </c>
      <c r="BN434" s="20">
        <v>5006670</v>
      </c>
      <c r="BO434" s="20">
        <v>400913</v>
      </c>
      <c r="BP434" s="20">
        <v>1460075</v>
      </c>
      <c r="BQ434" s="20">
        <v>292630</v>
      </c>
      <c r="BR434" s="20">
        <v>305637</v>
      </c>
      <c r="BS434" s="20">
        <v>65022</v>
      </c>
      <c r="BT434" s="21">
        <f t="shared" si="4946"/>
        <v>1752705</v>
      </c>
      <c r="BU434" s="21">
        <f t="shared" si="2991"/>
        <v>370659</v>
      </c>
      <c r="BV434" s="20">
        <v>41086</v>
      </c>
      <c r="BW434" s="20">
        <v>2998</v>
      </c>
      <c r="BX434" s="20">
        <v>9454</v>
      </c>
      <c r="BY434" s="20">
        <v>3388</v>
      </c>
      <c r="BZ434" s="20">
        <v>2208</v>
      </c>
      <c r="CA434" s="20">
        <v>654</v>
      </c>
      <c r="CB434" s="21">
        <f t="shared" si="4947"/>
        <v>12842</v>
      </c>
      <c r="CC434" s="21">
        <f t="shared" si="2993"/>
        <v>2862</v>
      </c>
      <c r="CD434" s="20">
        <v>30509</v>
      </c>
      <c r="CE434" s="20">
        <v>1747</v>
      </c>
      <c r="CF434" s="20">
        <v>5528</v>
      </c>
      <c r="CG434" s="20">
        <v>1857</v>
      </c>
      <c r="CH434" s="20">
        <v>1192</v>
      </c>
      <c r="CI434" s="20">
        <v>463</v>
      </c>
      <c r="CJ434" s="21">
        <f t="shared" si="4948"/>
        <v>7385</v>
      </c>
      <c r="CK434" s="21">
        <f t="shared" si="2995"/>
        <v>1655</v>
      </c>
      <c r="CL434" s="20">
        <v>222773</v>
      </c>
      <c r="CM434" s="20">
        <v>17347</v>
      </c>
      <c r="CN434" s="20">
        <v>68175</v>
      </c>
      <c r="CO434" s="20">
        <v>5287</v>
      </c>
      <c r="CP434" s="20">
        <v>15015</v>
      </c>
      <c r="CQ434" s="20">
        <v>860</v>
      </c>
      <c r="CR434" s="21">
        <f t="shared" si="4949"/>
        <v>73462</v>
      </c>
      <c r="CS434" s="21">
        <f t="shared" si="5167"/>
        <v>15875</v>
      </c>
    </row>
    <row r="435" spans="1:97" x14ac:dyDescent="0.35">
      <c r="A435" s="14">
        <f t="shared" si="2761"/>
        <v>44341</v>
      </c>
      <c r="B435" s="9">
        <f t="shared" si="4914"/>
        <v>1752870</v>
      </c>
      <c r="C435">
        <f t="shared" ref="C435" si="5851">BU435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852">-(J435-J434)+L435</f>
        <v>2</v>
      </c>
      <c r="N435" s="7">
        <f t="shared" ref="N435" si="5853">B435-C435</f>
        <v>1382200</v>
      </c>
      <c r="O435" s="4">
        <f t="shared" ref="O435" si="5854">C435/B435</f>
        <v>0.21146462658383108</v>
      </c>
      <c r="R435">
        <f t="shared" ref="R435" si="5855">C435-C434</f>
        <v>11</v>
      </c>
      <c r="S435">
        <f t="shared" ref="S435" si="5856">N435-N434</f>
        <v>154</v>
      </c>
      <c r="T435" s="8">
        <f t="shared" ref="T435" si="5857">R435/V435</f>
        <v>6.6666666666666666E-2</v>
      </c>
      <c r="U435" s="8">
        <f t="shared" ref="U435" si="5858">SUM(R429:R435)/SUM(V429:V435)</f>
        <v>0.11560321715817694</v>
      </c>
      <c r="V435">
        <f t="shared" ref="V435" si="5859">B435-B434</f>
        <v>165</v>
      </c>
      <c r="W435">
        <f t="shared" ref="W435" si="5860">C435-D435-E435</f>
        <v>6339</v>
      </c>
      <c r="X435" s="3">
        <f t="shared" ref="X435" si="5861">F435/W435</f>
        <v>1.9245937845085975E-2</v>
      </c>
      <c r="Y435">
        <f t="shared" ref="Y435" si="5862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863">Z435-AC435-AF435</f>
        <v>54</v>
      </c>
      <c r="AJ435">
        <f t="shared" ref="AJ435" si="5864">AA435-AD435-AG435</f>
        <v>31</v>
      </c>
      <c r="AK435">
        <f t="shared" ref="AK435" si="5865">AB435-AE435-AH435</f>
        <v>191</v>
      </c>
      <c r="AL435">
        <v>1</v>
      </c>
      <c r="AM435">
        <v>1</v>
      </c>
      <c r="AN435">
        <v>3</v>
      </c>
      <c r="AT435">
        <f t="shared" ref="AT435" si="5866">BN435-BN434</f>
        <v>613</v>
      </c>
      <c r="AU435">
        <f t="shared" ref="AU435" si="5867">BO435-BO434</f>
        <v>-8</v>
      </c>
      <c r="AV435">
        <f t="shared" ref="AV435" si="5868">AU435/AT435</f>
        <v>-1.3050570962479609E-2</v>
      </c>
      <c r="AW435">
        <f t="shared" ref="AW435" si="5869">BV435-BV434</f>
        <v>118</v>
      </c>
      <c r="AX435">
        <f t="shared" ref="AX435" si="5870">BW435-BW434</f>
        <v>1</v>
      </c>
      <c r="AY435">
        <f t="shared" ref="AY435" si="5871">CL435-CL434</f>
        <v>257</v>
      </c>
      <c r="AZ435">
        <f t="shared" ref="AZ435" si="5872">CM435-CM434</f>
        <v>20</v>
      </c>
      <c r="BA435">
        <f t="shared" ref="BA435" si="5873">CD435-CD434</f>
        <v>33</v>
      </c>
      <c r="BB435">
        <f t="shared" ref="BB435" si="5874">CE435-CE434</f>
        <v>0</v>
      </c>
      <c r="BC435">
        <f t="shared" ref="BC435" si="5875">AX435/AW435</f>
        <v>8.4745762711864406E-3</v>
      </c>
      <c r="BD435">
        <f t="shared" ref="BD435" si="5876">AZ435/AY435</f>
        <v>7.7821011673151752E-2</v>
      </c>
      <c r="BE435">
        <f t="shared" si="5659"/>
        <v>0</v>
      </c>
      <c r="BF435">
        <f t="shared" ref="BF435" si="5877">SUM(AU429:AU435)/SUM(AT429:AT435)</f>
        <v>2.6498989445317762E-2</v>
      </c>
      <c r="BG435">
        <f t="shared" ref="BG435" si="5878">SUM(AU422:AU435)/SUM(AT422:AT435)</f>
        <v>2.7927927927927927E-2</v>
      </c>
      <c r="BH435">
        <f t="shared" ref="BH435" si="5879">SUM(AX429:AX435)/SUM(AW429:AW435)</f>
        <v>2.3454157782515993E-2</v>
      </c>
      <c r="BI435">
        <f t="shared" ref="BI435" si="5880">SUM(AZ429:AZ435)/SUM(AY429:AY435)</f>
        <v>4.1267942583732058E-2</v>
      </c>
      <c r="BJ435">
        <f t="shared" ref="BJ435" si="5881">SUM(BB429:BB435)/SUM(BA429:BA435)</f>
        <v>1.8264840182648401E-2</v>
      </c>
      <c r="BN435" s="20">
        <v>5007283</v>
      </c>
      <c r="BO435" s="20">
        <v>400905</v>
      </c>
      <c r="BP435" s="20">
        <v>1460232</v>
      </c>
      <c r="BQ435" s="20">
        <v>292638</v>
      </c>
      <c r="BR435" s="20">
        <v>305649</v>
      </c>
      <c r="BS435" s="20">
        <v>65021</v>
      </c>
      <c r="BT435" s="21">
        <f t="shared" si="4946"/>
        <v>1752870</v>
      </c>
      <c r="BU435" s="21">
        <f t="shared" si="2991"/>
        <v>370670</v>
      </c>
      <c r="BV435" s="20">
        <v>41204</v>
      </c>
      <c r="BW435" s="20">
        <v>2999</v>
      </c>
      <c r="BX435" s="20">
        <v>9459</v>
      </c>
      <c r="BY435" s="20">
        <v>3399</v>
      </c>
      <c r="BZ435" s="20">
        <v>2208</v>
      </c>
      <c r="CA435" s="20">
        <v>654</v>
      </c>
      <c r="CB435" s="21">
        <f t="shared" si="4947"/>
        <v>12858</v>
      </c>
      <c r="CC435" s="21">
        <f t="shared" si="2993"/>
        <v>2862</v>
      </c>
      <c r="CD435" s="20">
        <v>30542</v>
      </c>
      <c r="CE435" s="20">
        <v>1747</v>
      </c>
      <c r="CF435" s="20">
        <v>5530</v>
      </c>
      <c r="CG435" s="20">
        <v>1860</v>
      </c>
      <c r="CH435" s="20">
        <v>1192</v>
      </c>
      <c r="CI435" s="20">
        <v>463</v>
      </c>
      <c r="CJ435" s="21">
        <f t="shared" si="4948"/>
        <v>7390</v>
      </c>
      <c r="CK435" s="21">
        <f t="shared" si="2995"/>
        <v>1655</v>
      </c>
      <c r="CL435" s="20">
        <v>223030</v>
      </c>
      <c r="CM435" s="20">
        <v>17367</v>
      </c>
      <c r="CN435" s="20">
        <v>68246</v>
      </c>
      <c r="CO435" s="20">
        <v>5292</v>
      </c>
      <c r="CP435" s="20">
        <v>15032</v>
      </c>
      <c r="CQ435" s="20">
        <v>862</v>
      </c>
      <c r="CR435" s="21">
        <f t="shared" si="4949"/>
        <v>73538</v>
      </c>
      <c r="CS435" s="21">
        <f t="shared" si="5167"/>
        <v>15894</v>
      </c>
    </row>
    <row r="436" spans="1:97" x14ac:dyDescent="0.35">
      <c r="A436" s="14">
        <f t="shared" si="2761"/>
        <v>44342</v>
      </c>
      <c r="B436" s="9">
        <f t="shared" si="4914"/>
        <v>1755826</v>
      </c>
      <c r="C436">
        <f t="shared" ref="C436" si="5882">BU436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883">-(J436-J435)+L436</f>
        <v>4</v>
      </c>
      <c r="N436" s="7">
        <f t="shared" ref="N436" si="5884">B436-C436</f>
        <v>1384862</v>
      </c>
      <c r="O436" s="4">
        <f t="shared" ref="O436" si="5885">C436/B436</f>
        <v>0.2112760603841155</v>
      </c>
      <c r="R436">
        <f t="shared" ref="R436" si="5886">C436-C435</f>
        <v>294</v>
      </c>
      <c r="S436">
        <f t="shared" ref="S436" si="5887">N436-N435</f>
        <v>2662</v>
      </c>
      <c r="T436" s="8">
        <f t="shared" ref="T436" si="5888">R436/V436</f>
        <v>9.9458728010825434E-2</v>
      </c>
      <c r="U436" s="8">
        <f t="shared" ref="U436" si="5889">SUM(R430:R436)/SUM(V430:V436)</f>
        <v>0.11107388172223152</v>
      </c>
      <c r="V436">
        <f t="shared" ref="V436" si="5890">B436-B435</f>
        <v>2956</v>
      </c>
      <c r="W436">
        <f t="shared" ref="W436" si="5891">C436-D436-E436</f>
        <v>6169</v>
      </c>
      <c r="X436" s="3">
        <f t="shared" ref="X436" si="5892">F436/W436</f>
        <v>1.9452099205705949E-2</v>
      </c>
      <c r="Y436">
        <f t="shared" ref="Y436" si="5893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894">Z436-AC436-AF436</f>
        <v>52</v>
      </c>
      <c r="AJ436">
        <f t="shared" ref="AJ436" si="5895">AA436-AD436-AG436</f>
        <v>32</v>
      </c>
      <c r="AK436">
        <f t="shared" ref="AK436" si="5896">AB436-AE436-AH436</f>
        <v>201</v>
      </c>
      <c r="AL436">
        <v>1</v>
      </c>
      <c r="AM436">
        <v>1</v>
      </c>
      <c r="AN436">
        <v>4</v>
      </c>
      <c r="AT436">
        <f t="shared" ref="AT436" si="5897">BN436-BN435</f>
        <v>14183</v>
      </c>
      <c r="AU436">
        <f t="shared" ref="AU436" si="5898">BO436-BO435</f>
        <v>355</v>
      </c>
      <c r="AV436">
        <f t="shared" ref="AV436" si="5899">AU436/AT436</f>
        <v>2.5029965451596983E-2</v>
      </c>
      <c r="AW436">
        <f t="shared" ref="AW436" si="5900">BV436-BV435</f>
        <v>86</v>
      </c>
      <c r="AX436">
        <f t="shared" ref="AX436" si="5901">BW436-BW435</f>
        <v>-4</v>
      </c>
      <c r="AY436">
        <f t="shared" ref="AY436" si="5902">CL436-CL435</f>
        <v>221</v>
      </c>
      <c r="AZ436">
        <f t="shared" ref="AZ436" si="5903">CM436-CM435</f>
        <v>7</v>
      </c>
      <c r="BA436">
        <f t="shared" ref="BA436" si="5904">CD436-CD435</f>
        <v>43</v>
      </c>
      <c r="BB436">
        <f t="shared" ref="BB436" si="5905">CE436-CE435</f>
        <v>3</v>
      </c>
      <c r="BC436">
        <f t="shared" ref="BC436" si="5906">AX436/AW436</f>
        <v>-4.6511627906976744E-2</v>
      </c>
      <c r="BD436">
        <f t="shared" ref="BD436" si="5907">AZ436/AY436</f>
        <v>3.1674208144796379E-2</v>
      </c>
      <c r="BE436">
        <f t="shared" si="5659"/>
        <v>6.9767441860465115E-2</v>
      </c>
      <c r="BF436">
        <f t="shared" ref="BF436" si="5908">SUM(AU430:AU436)/SUM(AT430:AT436)</f>
        <v>2.6434215655008683E-2</v>
      </c>
      <c r="BG436">
        <f t="shared" ref="BG436" si="5909">SUM(AU423:AU436)/SUM(AT423:AT436)</f>
        <v>2.6605863921217547E-2</v>
      </c>
      <c r="BH436">
        <f t="shared" ref="BH436" si="5910">SUM(AX430:AX436)/SUM(AW430:AW436)</f>
        <v>4.1580041580041582E-3</v>
      </c>
      <c r="BI436">
        <f t="shared" ref="BI436" si="5911">SUM(AZ430:AZ436)/SUM(AY430:AY436)</f>
        <v>3.9057656540607562E-2</v>
      </c>
      <c r="BJ436">
        <f t="shared" ref="BJ436" si="5912">SUM(BB430:BB436)/SUM(BA430:BA436)</f>
        <v>3.1390134529147982E-2</v>
      </c>
      <c r="BN436" s="20">
        <v>5021466</v>
      </c>
      <c r="BO436" s="20">
        <v>401260</v>
      </c>
      <c r="BP436" s="20">
        <v>1462368</v>
      </c>
      <c r="BQ436" s="20">
        <v>293458</v>
      </c>
      <c r="BR436" s="20">
        <v>305862</v>
      </c>
      <c r="BS436" s="20">
        <v>65102</v>
      </c>
      <c r="BT436" s="21">
        <f t="shared" si="4946"/>
        <v>1755826</v>
      </c>
      <c r="BU436" s="21">
        <f t="shared" si="2991"/>
        <v>370964</v>
      </c>
      <c r="BV436" s="20">
        <v>41290</v>
      </c>
      <c r="BW436" s="20">
        <v>2995</v>
      </c>
      <c r="BX436" s="20">
        <v>9458</v>
      </c>
      <c r="BY436" s="20">
        <v>3409</v>
      </c>
      <c r="BZ436" s="20">
        <v>2208</v>
      </c>
      <c r="CA436" s="20">
        <v>654</v>
      </c>
      <c r="CB436" s="21">
        <f t="shared" si="4947"/>
        <v>12867</v>
      </c>
      <c r="CC436" s="21">
        <f t="shared" si="2993"/>
        <v>2862</v>
      </c>
      <c r="CD436" s="20">
        <v>30585</v>
      </c>
      <c r="CE436" s="20">
        <v>1750</v>
      </c>
      <c r="CF436" s="20">
        <v>5528</v>
      </c>
      <c r="CG436" s="20">
        <v>1866</v>
      </c>
      <c r="CH436" s="20">
        <v>1192</v>
      </c>
      <c r="CI436" s="20">
        <v>464</v>
      </c>
      <c r="CJ436" s="21">
        <f t="shared" si="4948"/>
        <v>7394</v>
      </c>
      <c r="CK436" s="21">
        <f t="shared" si="2995"/>
        <v>1656</v>
      </c>
      <c r="CL436" s="20">
        <v>223251</v>
      </c>
      <c r="CM436" s="20">
        <v>17374</v>
      </c>
      <c r="CN436" s="20">
        <v>68302</v>
      </c>
      <c r="CO436" s="20">
        <v>5295</v>
      </c>
      <c r="CP436" s="20">
        <v>15032</v>
      </c>
      <c r="CQ436" s="20">
        <v>861</v>
      </c>
      <c r="CR436" s="21">
        <f t="shared" si="4949"/>
        <v>73597</v>
      </c>
      <c r="CS436" s="21">
        <f t="shared" si="5167"/>
        <v>15893</v>
      </c>
    </row>
    <row r="437" spans="1:97" x14ac:dyDescent="0.35">
      <c r="A437" s="14">
        <f t="shared" si="2761"/>
        <v>44343</v>
      </c>
      <c r="B437" s="9">
        <f t="shared" ref="B437:B468" si="5913">BT437</f>
        <v>1757422</v>
      </c>
      <c r="C437">
        <f t="shared" ref="C437" si="5914">BU437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915">-(J437-J436)+L437</f>
        <v>2</v>
      </c>
      <c r="N437" s="7">
        <f t="shared" ref="N437" si="5916">B437-C437</f>
        <v>1386330</v>
      </c>
      <c r="O437" s="4">
        <f t="shared" ref="O437" si="5917">C437/B437</f>
        <v>0.21115702432312786</v>
      </c>
      <c r="R437">
        <f t="shared" ref="R437" si="5918">C437-C436</f>
        <v>128</v>
      </c>
      <c r="S437">
        <f t="shared" ref="S437" si="5919">N437-N436</f>
        <v>1468</v>
      </c>
      <c r="T437" s="8">
        <f t="shared" ref="T437" si="5920">R437/V437</f>
        <v>8.0200501253132828E-2</v>
      </c>
      <c r="U437" s="8">
        <f t="shared" ref="U437" si="5921">SUM(R431:R437)/SUM(V431:V437)</f>
        <v>0.10179953055724593</v>
      </c>
      <c r="V437">
        <f t="shared" ref="V437" si="5922">B437-B436</f>
        <v>1596</v>
      </c>
      <c r="W437">
        <f t="shared" ref="W437" si="5923">C437-D437-E437</f>
        <v>5874</v>
      </c>
      <c r="X437" s="3">
        <f t="shared" ref="X437" si="5924">F437/W437</f>
        <v>2.0429009193054137E-2</v>
      </c>
      <c r="Y437">
        <f t="shared" ref="Y437" si="5925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926">Z437-AC437-AF437</f>
        <v>50</v>
      </c>
      <c r="AJ437">
        <f t="shared" ref="AJ437" si="5927">AA437-AD437-AG437</f>
        <v>30</v>
      </c>
      <c r="AK437">
        <f t="shared" ref="AK437" si="5928">AB437-AE437-AH437</f>
        <v>191</v>
      </c>
      <c r="AL437">
        <v>0</v>
      </c>
      <c r="AM437">
        <v>0</v>
      </c>
      <c r="AN437">
        <v>0</v>
      </c>
      <c r="AT437">
        <f t="shared" ref="AT437" si="5929">BN437-BN436</f>
        <v>8498</v>
      </c>
      <c r="AU437">
        <f t="shared" ref="AU437" si="5930">BO437-BO436</f>
        <v>123</v>
      </c>
      <c r="AV437">
        <f t="shared" ref="AV437" si="5931">AU437/AT437</f>
        <v>1.4473993880913156E-2</v>
      </c>
      <c r="AW437">
        <f t="shared" ref="AW437" si="5932">BV437-BV436</f>
        <v>32</v>
      </c>
      <c r="AX437">
        <f t="shared" ref="AX437" si="5933">BW437-BW436</f>
        <v>1</v>
      </c>
      <c r="AY437">
        <f t="shared" ref="AY437" si="5934">CL437-CL436</f>
        <v>233</v>
      </c>
      <c r="AZ437">
        <f t="shared" ref="AZ437" si="5935">CM437-CM436</f>
        <v>0</v>
      </c>
      <c r="BA437">
        <f t="shared" ref="BA437" si="5936">CD437-CD436</f>
        <v>27</v>
      </c>
      <c r="BB437">
        <f t="shared" ref="BB437" si="5937">CE437-CE436</f>
        <v>0</v>
      </c>
      <c r="BC437">
        <f t="shared" ref="BC437" si="5938">AX437/AW437</f>
        <v>3.125E-2</v>
      </c>
      <c r="BD437">
        <f t="shared" ref="BD437" si="5939">AZ437/AY437</f>
        <v>0</v>
      </c>
      <c r="BE437">
        <f t="shared" si="5659"/>
        <v>0</v>
      </c>
      <c r="BF437">
        <f t="shared" ref="BF437" si="5940">SUM(AU431:AU437)/SUM(AT431:AT437)</f>
        <v>2.3361699821128516E-2</v>
      </c>
      <c r="BG437">
        <f t="shared" ref="BG437" si="5941">SUM(AU424:AU437)/SUM(AT424:AT437)</f>
        <v>2.501175725350558E-2</v>
      </c>
      <c r="BH437">
        <f t="shared" ref="BH437" si="5942">SUM(AX431:AX437)/SUM(AW431:AW437)</f>
        <v>0</v>
      </c>
      <c r="BI437">
        <f t="shared" ref="BI437" si="5943">SUM(AZ431:AZ437)/SUM(AY431:AY437)</f>
        <v>3.0790762771168649E-2</v>
      </c>
      <c r="BJ437">
        <f t="shared" ref="BJ437" si="5944">SUM(BB431:BB437)/SUM(BA431:BA437)</f>
        <v>4.2328042328042326E-2</v>
      </c>
      <c r="BN437" s="20">
        <v>5029964</v>
      </c>
      <c r="BO437" s="20">
        <v>401383</v>
      </c>
      <c r="BP437" s="20">
        <v>1463460</v>
      </c>
      <c r="BQ437" s="20">
        <v>293962</v>
      </c>
      <c r="BR437" s="20">
        <v>305958</v>
      </c>
      <c r="BS437" s="20">
        <v>65134</v>
      </c>
      <c r="BT437" s="21">
        <f t="shared" ref="BT437:BT468" si="5945">SUM(BP437:BQ437)</f>
        <v>1757422</v>
      </c>
      <c r="BU437" s="21">
        <f t="shared" si="2991"/>
        <v>371092</v>
      </c>
      <c r="BV437" s="20">
        <v>41322</v>
      </c>
      <c r="BW437" s="20">
        <v>2996</v>
      </c>
      <c r="BX437" s="20">
        <v>9459</v>
      </c>
      <c r="BY437" s="20">
        <v>3416</v>
      </c>
      <c r="BZ437" s="20">
        <v>2207</v>
      </c>
      <c r="CA437" s="20">
        <v>657</v>
      </c>
      <c r="CB437" s="21">
        <f t="shared" ref="CB437:CB468" si="5946">SUM(BX437:BY437)</f>
        <v>12875</v>
      </c>
      <c r="CC437" s="21">
        <f t="shared" si="2993"/>
        <v>2864</v>
      </c>
      <c r="CD437" s="20">
        <v>30612</v>
      </c>
      <c r="CE437" s="20">
        <v>1750</v>
      </c>
      <c r="CF437" s="20">
        <v>5532</v>
      </c>
      <c r="CG437" s="20">
        <v>1866</v>
      </c>
      <c r="CH437" s="20">
        <v>1193</v>
      </c>
      <c r="CI437" s="20">
        <v>464</v>
      </c>
      <c r="CJ437" s="21">
        <f t="shared" ref="CJ437:CJ468" si="5947">SUM(CF437:CG437)</f>
        <v>7398</v>
      </c>
      <c r="CK437" s="21">
        <f t="shared" si="2995"/>
        <v>1657</v>
      </c>
      <c r="CL437" s="20">
        <v>223484</v>
      </c>
      <c r="CM437" s="20">
        <v>17374</v>
      </c>
      <c r="CN437" s="20">
        <v>68343</v>
      </c>
      <c r="CO437" s="20">
        <v>5298</v>
      </c>
      <c r="CP437" s="20">
        <v>15034</v>
      </c>
      <c r="CQ437" s="20">
        <v>861</v>
      </c>
      <c r="CR437" s="21">
        <f t="shared" ref="CR437:CR468" si="5948">SUM(CN437:CO437)</f>
        <v>73641</v>
      </c>
      <c r="CS437" s="21">
        <f t="shared" si="5167"/>
        <v>15895</v>
      </c>
    </row>
    <row r="438" spans="1:97" x14ac:dyDescent="0.35">
      <c r="A438" s="14">
        <f t="shared" si="2761"/>
        <v>44344</v>
      </c>
      <c r="B438" s="9">
        <f t="shared" si="5913"/>
        <v>1759115</v>
      </c>
      <c r="C438">
        <f t="shared" ref="C438" si="5949">BU438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950">-(J438-J437)+L438</f>
        <v>6</v>
      </c>
      <c r="N438" s="7">
        <f t="shared" ref="N438" si="5951">B438-C438</f>
        <v>1387883</v>
      </c>
      <c r="O438" s="4">
        <f t="shared" ref="O438" si="5952">C438/B438</f>
        <v>0.21103338894842008</v>
      </c>
      <c r="R438">
        <f t="shared" ref="R438" si="5953">C438-C437</f>
        <v>140</v>
      </c>
      <c r="S438">
        <f t="shared" ref="S438" si="5954">N438-N437</f>
        <v>1553</v>
      </c>
      <c r="T438" s="8">
        <f t="shared" ref="T438" si="5955">R438/V438</f>
        <v>8.2693443591258117E-2</v>
      </c>
      <c r="U438" s="8">
        <f t="shared" ref="U438" si="5956">SUM(R432:R438)/SUM(V432:V438)</f>
        <v>9.6058364575944882E-2</v>
      </c>
      <c r="V438">
        <f t="shared" ref="V438" si="5957">B438-B437</f>
        <v>1693</v>
      </c>
      <c r="W438">
        <f t="shared" ref="W438" si="5958">C438-D438-E438</f>
        <v>5605</v>
      </c>
      <c r="X438" s="3">
        <f t="shared" ref="X438" si="5959">F438/W438</f>
        <v>1.9803746654772525E-2</v>
      </c>
      <c r="Y438">
        <f t="shared" ref="Y438" si="5960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961">Z438-AC438-AF438</f>
        <v>49</v>
      </c>
      <c r="AJ438">
        <f t="shared" ref="AJ438" si="5962">AA438-AD438-AG438</f>
        <v>29</v>
      </c>
      <c r="AK438">
        <f t="shared" ref="AK438" si="5963">AB438-AE438-AH438</f>
        <v>180</v>
      </c>
      <c r="AL438">
        <v>0</v>
      </c>
      <c r="AM438">
        <v>0</v>
      </c>
      <c r="AN438">
        <v>0</v>
      </c>
      <c r="AT438">
        <f t="shared" ref="AT438" si="5964">BN438-BN437</f>
        <v>8496</v>
      </c>
      <c r="AU438">
        <f t="shared" ref="AU438" si="5965">BO438-BO437</f>
        <v>207</v>
      </c>
      <c r="AV438">
        <f t="shared" ref="AV438" si="5966">AU438/AT438</f>
        <v>2.4364406779661018E-2</v>
      </c>
      <c r="AW438">
        <f t="shared" ref="AW438" si="5967">BV438-BV437</f>
        <v>148</v>
      </c>
      <c r="AX438">
        <f t="shared" ref="AX438" si="5968">BW438-BW437</f>
        <v>6</v>
      </c>
      <c r="AY438">
        <f t="shared" ref="AY438" si="5969">CL438-CL437</f>
        <v>303</v>
      </c>
      <c r="AZ438">
        <f t="shared" ref="AZ438" si="5970">CM438-CM437</f>
        <v>16</v>
      </c>
      <c r="BA438">
        <f t="shared" ref="BA438" si="5971">CD438-CD437</f>
        <v>27</v>
      </c>
      <c r="BB438">
        <f t="shared" ref="BB438" si="5972">CE438-CE437</f>
        <v>-1</v>
      </c>
      <c r="BC438">
        <f t="shared" ref="BC438" si="5973">AX438/AW438</f>
        <v>4.0540540540540543E-2</v>
      </c>
      <c r="BD438">
        <f t="shared" ref="BD438" si="5974">AZ438/AY438</f>
        <v>5.2805280528052806E-2</v>
      </c>
      <c r="BE438">
        <f t="shared" si="5659"/>
        <v>-3.7037037037037035E-2</v>
      </c>
      <c r="BF438">
        <f t="shared" ref="BF438" si="5975">SUM(AU432:AU438)/SUM(AT432:AT438)</f>
        <v>2.2792904290429041E-2</v>
      </c>
      <c r="BG438">
        <f t="shared" ref="BG438" si="5976">SUM(AU425:AU438)/SUM(AT425:AT438)</f>
        <v>2.5085362632202013E-2</v>
      </c>
      <c r="BH438">
        <f t="shared" ref="BH438" si="5977">SUM(AX432:AX438)/SUM(AW432:AW438)</f>
        <v>1.6771488469601678E-2</v>
      </c>
      <c r="BI438">
        <f t="shared" ref="BI438" si="5978">SUM(AZ432:AZ438)/SUM(AY432:AY438)</f>
        <v>4.0268456375838924E-2</v>
      </c>
      <c r="BJ438">
        <f t="shared" ref="BJ438" si="5979">SUM(BB432:BB438)/SUM(BA432:BA438)</f>
        <v>2.0408163265306121E-2</v>
      </c>
      <c r="BN438" s="20">
        <v>5038460</v>
      </c>
      <c r="BO438" s="20">
        <v>401590</v>
      </c>
      <c r="BP438" s="20">
        <v>1464732</v>
      </c>
      <c r="BQ438" s="20">
        <v>294383</v>
      </c>
      <c r="BR438" s="20">
        <v>306069</v>
      </c>
      <c r="BS438" s="20">
        <v>65163</v>
      </c>
      <c r="BT438" s="21">
        <f t="shared" si="5945"/>
        <v>1759115</v>
      </c>
      <c r="BU438" s="21">
        <f t="shared" si="2991"/>
        <v>371232</v>
      </c>
      <c r="BV438" s="20">
        <v>41470</v>
      </c>
      <c r="BW438" s="20">
        <v>3002</v>
      </c>
      <c r="BX438" s="20">
        <v>9459</v>
      </c>
      <c r="BY438" s="20">
        <v>3420</v>
      </c>
      <c r="BZ438" s="20">
        <v>2208</v>
      </c>
      <c r="CA438" s="20">
        <v>658</v>
      </c>
      <c r="CB438" s="21">
        <f t="shared" si="5946"/>
        <v>12879</v>
      </c>
      <c r="CC438" s="21">
        <f t="shared" si="2993"/>
        <v>2866</v>
      </c>
      <c r="CD438" s="20">
        <v>30639</v>
      </c>
      <c r="CE438" s="20">
        <v>1749</v>
      </c>
      <c r="CF438" s="20">
        <v>5538</v>
      </c>
      <c r="CG438" s="20">
        <v>1868</v>
      </c>
      <c r="CH438" s="20">
        <v>1193</v>
      </c>
      <c r="CI438" s="20">
        <v>464</v>
      </c>
      <c r="CJ438" s="21">
        <f t="shared" si="5947"/>
        <v>7406</v>
      </c>
      <c r="CK438" s="21">
        <f t="shared" si="2995"/>
        <v>1657</v>
      </c>
      <c r="CL438" s="20">
        <v>223787</v>
      </c>
      <c r="CM438" s="20">
        <v>17390</v>
      </c>
      <c r="CN438" s="20">
        <v>68404</v>
      </c>
      <c r="CO438" s="20">
        <v>5321</v>
      </c>
      <c r="CP438" s="20">
        <v>15051</v>
      </c>
      <c r="CQ438" s="20">
        <v>862</v>
      </c>
      <c r="CR438" s="21">
        <f t="shared" si="5948"/>
        <v>73725</v>
      </c>
      <c r="CS438" s="21">
        <f t="shared" si="5167"/>
        <v>15913</v>
      </c>
    </row>
    <row r="439" spans="1:97" x14ac:dyDescent="0.35">
      <c r="A439" s="14">
        <f t="shared" si="2761"/>
        <v>44345</v>
      </c>
      <c r="B439" s="9">
        <f t="shared" si="5913"/>
        <v>1760455</v>
      </c>
      <c r="C439">
        <f t="shared" ref="C439" si="5980">BU439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981">-(J439-J438)+L439</f>
        <v>3</v>
      </c>
      <c r="N439" s="7">
        <f t="shared" ref="N439" si="5982">B439-C439</f>
        <v>1389138</v>
      </c>
      <c r="O439" s="4">
        <f t="shared" ref="O439" si="5983">C439/B439</f>
        <v>0.21092104029924083</v>
      </c>
      <c r="R439">
        <f t="shared" ref="R439" si="5984">C439-C438</f>
        <v>85</v>
      </c>
      <c r="S439">
        <f t="shared" ref="S439" si="5985">N439-N438</f>
        <v>1255</v>
      </c>
      <c r="T439" s="8">
        <f t="shared" ref="T439" si="5986">R439/V439</f>
        <v>6.3432835820895525E-2</v>
      </c>
      <c r="U439" s="8">
        <f t="shared" ref="U439" si="5987">SUM(R433:R439)/SUM(V433:V439)</f>
        <v>8.773625429553264E-2</v>
      </c>
      <c r="V439">
        <f t="shared" ref="V439" si="5988">B439-B438</f>
        <v>1340</v>
      </c>
      <c r="W439">
        <f t="shared" ref="W439" si="5989">C439-D439-E439</f>
        <v>5282</v>
      </c>
      <c r="X439" s="3">
        <f t="shared" ref="X439" si="5990">F439/W439</f>
        <v>2.1014767133661492E-2</v>
      </c>
      <c r="Y439">
        <f t="shared" ref="Y439" si="5991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992">Z439-AC439-AF439</f>
        <v>47</v>
      </c>
      <c r="AJ439">
        <f t="shared" ref="AJ439" si="5993">AA439-AD439-AG439</f>
        <v>25</v>
      </c>
      <c r="AK439">
        <f t="shared" ref="AK439:AK440" si="5994">AB439-AE439-AH439</f>
        <v>172</v>
      </c>
      <c r="AT439">
        <f t="shared" ref="AT439" si="5995">BN439-BN438</f>
        <v>6503</v>
      </c>
      <c r="AU439">
        <f t="shared" ref="AU439" si="5996">BO439-BO438</f>
        <v>103</v>
      </c>
      <c r="AV439">
        <f t="shared" ref="AV439" si="5997">AU439/AT439</f>
        <v>1.5838843610641244E-2</v>
      </c>
      <c r="AW439">
        <f t="shared" ref="AW439" si="5998">BV439-BV438</f>
        <v>57</v>
      </c>
      <c r="AX439">
        <f t="shared" ref="AX439" si="5999">BW439-BW438</f>
        <v>-1</v>
      </c>
      <c r="AY439">
        <f t="shared" ref="AY439" si="6000">CL439-CL438</f>
        <v>160</v>
      </c>
      <c r="AZ439">
        <f t="shared" ref="AZ439" si="6001">CM439-CM438</f>
        <v>11</v>
      </c>
      <c r="BA439">
        <f t="shared" ref="BA439" si="6002">CD439-CD438</f>
        <v>10</v>
      </c>
      <c r="BB439">
        <f t="shared" ref="BB439" si="6003">CE439-CE438</f>
        <v>3</v>
      </c>
      <c r="BC439">
        <f t="shared" ref="BC439" si="6004">AX439/AW439</f>
        <v>-1.7543859649122806E-2</v>
      </c>
      <c r="BD439">
        <f t="shared" ref="BD439" si="6005">AZ439/AY439</f>
        <v>6.8750000000000006E-2</v>
      </c>
      <c r="BE439">
        <f t="shared" si="5659"/>
        <v>0.3</v>
      </c>
      <c r="BF439">
        <f t="shared" ref="BF439" si="6006">SUM(AU433:AU439)/SUM(AT433:AT439)</f>
        <v>2.1763798111837328E-2</v>
      </c>
      <c r="BG439">
        <f t="shared" ref="BG439" si="6007">SUM(AU426:AU439)/SUM(AT426:AT439)</f>
        <v>2.4637741246709095E-2</v>
      </c>
      <c r="BH439">
        <f t="shared" ref="BH439" si="6008">SUM(AX433:AX439)/SUM(AW433:AW439)</f>
        <v>1.2931034482758621E-2</v>
      </c>
      <c r="BI439">
        <f t="shared" ref="BI439" si="6009">SUM(AZ433:AZ439)/SUM(AY433:AY439)</f>
        <v>-1.8897850369520466E-3</v>
      </c>
      <c r="BJ439">
        <f t="shared" ref="BJ439" si="6010">SUM(BB433:BB439)/SUM(BA433:BA439)</f>
        <v>4.1916167664670656E-2</v>
      </c>
      <c r="BN439" s="20">
        <v>5044963</v>
      </c>
      <c r="BO439" s="20">
        <v>401693</v>
      </c>
      <c r="BP439" s="20">
        <v>1465896</v>
      </c>
      <c r="BQ439" s="20">
        <v>294559</v>
      </c>
      <c r="BR439" s="20">
        <v>306140</v>
      </c>
      <c r="BS439" s="20">
        <v>65177</v>
      </c>
      <c r="BT439" s="21">
        <f t="shared" si="5945"/>
        <v>1760455</v>
      </c>
      <c r="BU439" s="21">
        <f t="shared" si="2991"/>
        <v>371317</v>
      </c>
      <c r="BV439" s="20">
        <v>41527</v>
      </c>
      <c r="BW439" s="20">
        <v>3001</v>
      </c>
      <c r="BX439" s="20">
        <v>9470</v>
      </c>
      <c r="BY439" s="20">
        <v>3422</v>
      </c>
      <c r="BZ439" s="20">
        <v>2208</v>
      </c>
      <c r="CA439" s="20">
        <v>658</v>
      </c>
      <c r="CB439" s="21">
        <f t="shared" si="5946"/>
        <v>12892</v>
      </c>
      <c r="CC439" s="21">
        <f t="shared" si="2993"/>
        <v>2866</v>
      </c>
      <c r="CD439" s="20">
        <v>30649</v>
      </c>
      <c r="CE439" s="20">
        <v>1752</v>
      </c>
      <c r="CF439" s="20">
        <v>5539</v>
      </c>
      <c r="CG439" s="20">
        <v>1869</v>
      </c>
      <c r="CH439" s="20">
        <v>1193</v>
      </c>
      <c r="CI439" s="20">
        <v>464</v>
      </c>
      <c r="CJ439" s="21">
        <f t="shared" si="5947"/>
        <v>7408</v>
      </c>
      <c r="CK439" s="21">
        <f t="shared" si="2995"/>
        <v>1657</v>
      </c>
      <c r="CL439" s="20">
        <v>223947</v>
      </c>
      <c r="CM439" s="20">
        <v>17401</v>
      </c>
      <c r="CN439" s="20">
        <v>68448</v>
      </c>
      <c r="CO439" s="20">
        <v>5326</v>
      </c>
      <c r="CP439" s="20">
        <v>15053</v>
      </c>
      <c r="CQ439" s="20">
        <v>862</v>
      </c>
      <c r="CR439" s="21">
        <f t="shared" si="5948"/>
        <v>73774</v>
      </c>
      <c r="CS439" s="21">
        <f t="shared" si="5167"/>
        <v>15915</v>
      </c>
    </row>
    <row r="440" spans="1:97" x14ac:dyDescent="0.35">
      <c r="A440" s="14">
        <f t="shared" si="2761"/>
        <v>44346</v>
      </c>
      <c r="B440" s="9">
        <f t="shared" si="5913"/>
        <v>1761045</v>
      </c>
      <c r="C440">
        <f t="shared" ref="C440" si="6011">BU440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012">-(J440-J439)+L440</f>
        <v>5</v>
      </c>
      <c r="N440" s="7">
        <f t="shared" ref="N440" si="6013">B440-C440</f>
        <v>1389671</v>
      </c>
      <c r="O440" s="4">
        <f t="shared" ref="O440" si="6014">C440/B440</f>
        <v>0.21088274291684767</v>
      </c>
      <c r="R440">
        <f t="shared" ref="R440" si="6015">C440-C439</f>
        <v>57</v>
      </c>
      <c r="S440">
        <f t="shared" ref="S440" si="6016">N440-N439</f>
        <v>533</v>
      </c>
      <c r="T440" s="8">
        <f t="shared" ref="T440" si="6017">R440/V440</f>
        <v>9.6610169491525427E-2</v>
      </c>
      <c r="U440" s="8">
        <f t="shared" ref="U440" si="6018">SUM(R434:R440)/SUM(V434:V440)</f>
        <v>8.6377603277569132E-2</v>
      </c>
      <c r="V440">
        <f t="shared" ref="V440" si="6019">B440-B439</f>
        <v>590</v>
      </c>
      <c r="W440">
        <f t="shared" ref="W440" si="6020">C440-D440-E440</f>
        <v>5163</v>
      </c>
      <c r="X440" s="3">
        <f t="shared" ref="X440" si="6021">F440/W440</f>
        <v>2.0143327522758086E-2</v>
      </c>
      <c r="Y440">
        <f t="shared" ref="Y440" si="6022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023">Z440-AC440-AF440</f>
        <v>48</v>
      </c>
      <c r="AJ440">
        <f t="shared" ref="AJ440" si="6024">AA440-AD440-AG440</f>
        <v>25</v>
      </c>
      <c r="AK440">
        <f t="shared" si="5994"/>
        <v>171</v>
      </c>
      <c r="AT440">
        <f t="shared" ref="AT440" si="6025">BN440-BN439</f>
        <v>2104</v>
      </c>
      <c r="AU440">
        <f t="shared" ref="AU440" si="6026">BO440-BO439</f>
        <v>36</v>
      </c>
      <c r="AV440">
        <f t="shared" ref="AV440" si="6027">AU440/AT440</f>
        <v>1.7110266159695818E-2</v>
      </c>
      <c r="AW440">
        <f t="shared" ref="AW440" si="6028">BV440-BV439</f>
        <v>14</v>
      </c>
      <c r="AX440">
        <f t="shared" ref="AX440" si="6029">BW440-BW439</f>
        <v>1</v>
      </c>
      <c r="AY440">
        <f t="shared" ref="AY440" si="6030">CL440-CL439</f>
        <v>58</v>
      </c>
      <c r="AZ440">
        <f t="shared" ref="AZ440" si="6031">CM440-CM439</f>
        <v>-7</v>
      </c>
      <c r="BA440">
        <f t="shared" ref="BA440" si="6032">CD440-CD439</f>
        <v>9</v>
      </c>
      <c r="BB440">
        <f t="shared" ref="BB440" si="6033">CE440-CE439</f>
        <v>-2</v>
      </c>
      <c r="BC440">
        <f t="shared" ref="BC440" si="6034">AX440/AW440</f>
        <v>7.1428571428571425E-2</v>
      </c>
      <c r="BD440">
        <f t="shared" ref="BD440" si="6035">AZ440/AY440</f>
        <v>-0.1206896551724138</v>
      </c>
      <c r="BE440">
        <f t="shared" si="5659"/>
        <v>-0.22222222222222221</v>
      </c>
      <c r="BF440">
        <f t="shared" ref="BF440" si="6036">SUM(AU434:AU440)/SUM(AT434:AT440)</f>
        <v>2.0844657670219553E-2</v>
      </c>
      <c r="BG440">
        <f t="shared" ref="BG440" si="6037">SUM(AU427:AU440)/SUM(AT427:AT440)</f>
        <v>2.397728356342908E-2</v>
      </c>
      <c r="BH440">
        <f t="shared" ref="BH440" si="6038">SUM(AX434:AX440)/SUM(AW434:AW440)</f>
        <v>1.2931034482758621E-2</v>
      </c>
      <c r="BI440">
        <f t="shared" ref="BI440" si="6039">SUM(AZ434:AZ440)/SUM(AY434:AY440)</f>
        <v>3.8102643856920686E-2</v>
      </c>
      <c r="BJ440">
        <f t="shared" ref="BJ440" si="6040">SUM(BB434:BB440)/SUM(BA434:BA440)</f>
        <v>6.1728395061728392E-3</v>
      </c>
      <c r="BN440" s="20">
        <v>5047067</v>
      </c>
      <c r="BO440" s="20">
        <v>401729</v>
      </c>
      <c r="BP440" s="20">
        <v>1466444</v>
      </c>
      <c r="BQ440" s="20">
        <v>294601</v>
      </c>
      <c r="BR440" s="20">
        <v>306181</v>
      </c>
      <c r="BS440" s="20">
        <v>65193</v>
      </c>
      <c r="BT440" s="21">
        <f t="shared" si="5945"/>
        <v>1761045</v>
      </c>
      <c r="BU440" s="21">
        <f t="shared" si="2991"/>
        <v>371374</v>
      </c>
      <c r="BV440" s="20">
        <v>41541</v>
      </c>
      <c r="BW440" s="20">
        <v>3002</v>
      </c>
      <c r="BX440" s="20">
        <v>9472</v>
      </c>
      <c r="BY440" s="20">
        <v>3422</v>
      </c>
      <c r="BZ440" s="20">
        <v>2207</v>
      </c>
      <c r="CA440" s="20">
        <v>658</v>
      </c>
      <c r="CB440" s="21">
        <f t="shared" si="5946"/>
        <v>12894</v>
      </c>
      <c r="CC440" s="21">
        <f t="shared" si="2993"/>
        <v>2865</v>
      </c>
      <c r="CD440" s="20">
        <v>30658</v>
      </c>
      <c r="CE440" s="20">
        <v>1750</v>
      </c>
      <c r="CF440" s="20">
        <v>5541</v>
      </c>
      <c r="CG440" s="20">
        <v>1869</v>
      </c>
      <c r="CH440" s="20">
        <v>1194</v>
      </c>
      <c r="CI440" s="20">
        <v>464</v>
      </c>
      <c r="CJ440" s="21">
        <f t="shared" si="5947"/>
        <v>7410</v>
      </c>
      <c r="CK440" s="21">
        <f t="shared" si="2995"/>
        <v>1658</v>
      </c>
      <c r="CL440" s="20">
        <v>224005</v>
      </c>
      <c r="CM440" s="20">
        <v>17394</v>
      </c>
      <c r="CN440" s="20">
        <v>68474</v>
      </c>
      <c r="CO440" s="20">
        <v>5323</v>
      </c>
      <c r="CP440" s="20">
        <v>15056</v>
      </c>
      <c r="CQ440" s="20">
        <v>862</v>
      </c>
      <c r="CR440" s="21">
        <f t="shared" si="5948"/>
        <v>73797</v>
      </c>
      <c r="CS440" s="21">
        <f t="shared" si="5167"/>
        <v>15918</v>
      </c>
    </row>
    <row r="441" spans="1:97" x14ac:dyDescent="0.35">
      <c r="A441" s="14">
        <f t="shared" si="2761"/>
        <v>44347</v>
      </c>
      <c r="B441" s="9">
        <f t="shared" si="5913"/>
        <v>1761729</v>
      </c>
      <c r="C441">
        <f t="shared" ref="C441" si="6041">BU441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042">-(J441-J440)+L441</f>
        <v>4</v>
      </c>
      <c r="N441" s="7">
        <f t="shared" ref="N441" si="6043">B441-C441</f>
        <v>1390322</v>
      </c>
      <c r="O441" s="4">
        <f t="shared" ref="O441" si="6044">C441/B441</f>
        <v>0.21081959824694946</v>
      </c>
      <c r="R441">
        <f t="shared" ref="R441" si="6045">C441-C440</f>
        <v>33</v>
      </c>
      <c r="S441">
        <f t="shared" ref="S441" si="6046">N441-N440</f>
        <v>651</v>
      </c>
      <c r="T441" s="8">
        <f t="shared" ref="T441" si="6047">R441/V441</f>
        <v>4.8245614035087717E-2</v>
      </c>
      <c r="U441" s="8">
        <f t="shared" ref="U441" si="6048">SUM(R435:R441)/SUM(V435:V441)</f>
        <v>8.2890070921985817E-2</v>
      </c>
      <c r="V441">
        <f t="shared" ref="V441" si="6049">B441-B440</f>
        <v>684</v>
      </c>
      <c r="W441">
        <f t="shared" ref="W441" si="6050">C441-D441-E441</f>
        <v>5067</v>
      </c>
      <c r="X441" s="3">
        <f t="shared" ref="X441" si="6051">F441/W441</f>
        <v>1.8748766528517861E-2</v>
      </c>
      <c r="Y441">
        <f t="shared" ref="Y441" si="6052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053">Z441-AC441-AF441</f>
        <v>48</v>
      </c>
      <c r="AJ441">
        <f t="shared" ref="AJ441" si="6054">AA441-AD441-AG441</f>
        <v>24</v>
      </c>
      <c r="AK441">
        <f t="shared" ref="AK441" si="6055">AB441-AE441-AH441</f>
        <v>175</v>
      </c>
      <c r="AT441">
        <f t="shared" ref="AT441" si="6056">BN441-BN440</f>
        <v>2558</v>
      </c>
      <c r="AU441">
        <f t="shared" ref="AU441" si="6057">BO441-BO440</f>
        <v>92</v>
      </c>
      <c r="AV441">
        <f t="shared" ref="AV441" si="6058">AU441/AT441</f>
        <v>3.5965598123534011E-2</v>
      </c>
      <c r="AW441">
        <f t="shared" ref="AW441" si="6059">BV441-BV440</f>
        <v>7</v>
      </c>
      <c r="AX441">
        <f t="shared" ref="AX441" si="6060">BW441-BW440</f>
        <v>0</v>
      </c>
      <c r="AY441">
        <f t="shared" ref="AY441" si="6061">CL441-CL440</f>
        <v>76</v>
      </c>
      <c r="AZ441">
        <f t="shared" ref="AZ441" si="6062">CM441-CM440</f>
        <v>6</v>
      </c>
      <c r="BA441">
        <f t="shared" ref="BA441" si="6063">CD441-CD440</f>
        <v>9</v>
      </c>
      <c r="BB441">
        <f t="shared" ref="BB441" si="6064">CE441-CE440</f>
        <v>-1</v>
      </c>
      <c r="BC441">
        <f t="shared" ref="BC441" si="6065">AX441/AW441</f>
        <v>0</v>
      </c>
      <c r="BD441">
        <f t="shared" ref="BD441" si="6066">AZ441/AY441</f>
        <v>7.8947368421052627E-2</v>
      </c>
      <c r="BE441">
        <f t="shared" si="5659"/>
        <v>-0.1111111111111111</v>
      </c>
      <c r="BF441">
        <f t="shared" ref="BF441" si="6067">SUM(AU435:AU441)/SUM(AT435:AT441)</f>
        <v>2.1138400651844955E-2</v>
      </c>
      <c r="BG441">
        <f t="shared" ref="BG441" si="6068">SUM(AU428:AU441)/SUM(AT428:AT441)</f>
        <v>2.4178836927294774E-2</v>
      </c>
      <c r="BH441">
        <f t="shared" ref="BH441" si="6069">SUM(AX435:AX441)/SUM(AW435:AW441)</f>
        <v>8.658008658008658E-3</v>
      </c>
      <c r="BI441">
        <f t="shared" ref="BI441" si="6070">SUM(AZ435:AZ441)/SUM(AY435:AY441)</f>
        <v>4.0519877675840976E-2</v>
      </c>
      <c r="BJ441">
        <f t="shared" ref="BJ441" si="6071">SUM(BB435:BB441)/SUM(BA435:BA441)</f>
        <v>1.2658227848101266E-2</v>
      </c>
      <c r="BN441" s="20">
        <v>5049625</v>
      </c>
      <c r="BO441" s="20">
        <v>401821</v>
      </c>
      <c r="BP441" s="20">
        <v>1467096</v>
      </c>
      <c r="BQ441" s="20">
        <v>294633</v>
      </c>
      <c r="BR441" s="20">
        <v>306213</v>
      </c>
      <c r="BS441" s="20">
        <v>65194</v>
      </c>
      <c r="BT441" s="21">
        <f t="shared" si="5945"/>
        <v>1761729</v>
      </c>
      <c r="BU441" s="21">
        <f t="shared" si="2991"/>
        <v>371407</v>
      </c>
      <c r="BV441" s="20">
        <v>41548</v>
      </c>
      <c r="BW441" s="20">
        <v>3002</v>
      </c>
      <c r="BX441" s="20">
        <v>9473</v>
      </c>
      <c r="BY441" s="20">
        <v>3422</v>
      </c>
      <c r="BZ441" s="20">
        <v>2208</v>
      </c>
      <c r="CA441" s="20">
        <v>658</v>
      </c>
      <c r="CB441" s="21">
        <f t="shared" si="5946"/>
        <v>12895</v>
      </c>
      <c r="CC441" s="21">
        <f t="shared" si="2993"/>
        <v>2866</v>
      </c>
      <c r="CD441" s="20">
        <v>30667</v>
      </c>
      <c r="CE441" s="20">
        <v>1749</v>
      </c>
      <c r="CF441" s="20">
        <v>5543</v>
      </c>
      <c r="CG441" s="20">
        <v>1868</v>
      </c>
      <c r="CH441" s="20">
        <v>1194</v>
      </c>
      <c r="CI441" s="20">
        <v>464</v>
      </c>
      <c r="CJ441" s="21">
        <f t="shared" si="5947"/>
        <v>7411</v>
      </c>
      <c r="CK441" s="21">
        <f t="shared" si="2995"/>
        <v>1658</v>
      </c>
      <c r="CL441" s="20">
        <v>224081</v>
      </c>
      <c r="CM441" s="20">
        <v>17400</v>
      </c>
      <c r="CN441" s="20">
        <v>68498</v>
      </c>
      <c r="CO441" s="20">
        <v>5322</v>
      </c>
      <c r="CP441" s="20">
        <v>15053</v>
      </c>
      <c r="CQ441" s="20">
        <v>862</v>
      </c>
      <c r="CR441" s="21">
        <f t="shared" si="5948"/>
        <v>73820</v>
      </c>
      <c r="CS441" s="21">
        <f t="shared" si="5167"/>
        <v>15915</v>
      </c>
    </row>
    <row r="442" spans="1:97" x14ac:dyDescent="0.35">
      <c r="A442" s="14">
        <f t="shared" si="2761"/>
        <v>44348</v>
      </c>
      <c r="B442" s="9">
        <f t="shared" si="5913"/>
        <v>1762364</v>
      </c>
      <c r="C442">
        <f t="shared" ref="C442" si="6072">BU442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073">-(J442-J441)+L442</f>
        <v>2</v>
      </c>
      <c r="N442" s="7">
        <f t="shared" ref="N442" si="6074">B442-C442</f>
        <v>1390916</v>
      </c>
      <c r="O442" s="4">
        <f t="shared" ref="O442" si="6075">C442/B442</f>
        <v>0.21076690172972212</v>
      </c>
      <c r="R442">
        <f t="shared" ref="R442" si="6076">C442-C441</f>
        <v>41</v>
      </c>
      <c r="S442">
        <f t="shared" ref="S442" si="6077">N442-N441</f>
        <v>594</v>
      </c>
      <c r="T442" s="8">
        <f t="shared" ref="T442" si="6078">R442/V442</f>
        <v>6.4566929133858267E-2</v>
      </c>
      <c r="U442" s="8">
        <f t="shared" ref="U442" si="6079">SUM(R436:R442)/SUM(V436:V442)</f>
        <v>8.1946492521592584E-2</v>
      </c>
      <c r="V442">
        <f t="shared" ref="V442" si="6080">B442-B441</f>
        <v>635</v>
      </c>
      <c r="W442">
        <f t="shared" ref="W442" si="6081">C442-D442-E442</f>
        <v>4564</v>
      </c>
      <c r="X442" s="3">
        <f t="shared" ref="X442" si="6082">F442/W442</f>
        <v>2.1034180543382998E-2</v>
      </c>
      <c r="Y442">
        <f t="shared" ref="Y442" si="6083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084">Z442-AC442-AF442</f>
        <v>44</v>
      </c>
      <c r="AJ442">
        <f t="shared" ref="AJ442" si="6085">AA442-AD442-AG442</f>
        <v>22</v>
      </c>
      <c r="AK442">
        <f t="shared" ref="AK442" si="6086">AB442-AE442-AH442</f>
        <v>160</v>
      </c>
      <c r="AT442">
        <f t="shared" ref="AT442" si="6087">BN442-BN441</f>
        <v>2247</v>
      </c>
      <c r="AU442">
        <f t="shared" ref="AU442" si="6088">BO442-BO441</f>
        <v>0</v>
      </c>
      <c r="AV442">
        <f t="shared" ref="AV442" si="6089">AU442/AT442</f>
        <v>0</v>
      </c>
      <c r="AW442">
        <f t="shared" ref="AW442" si="6090">BV442-BV441</f>
        <v>22</v>
      </c>
      <c r="AX442">
        <f t="shared" ref="AX442" si="6091">BW442-BW441</f>
        <v>-2</v>
      </c>
      <c r="AY442">
        <f t="shared" ref="AY442" si="6092">CL442-CL441</f>
        <v>109</v>
      </c>
      <c r="AZ442">
        <f t="shared" ref="AZ442" si="6093">CM442-CM441</f>
        <v>1</v>
      </c>
      <c r="BA442">
        <f t="shared" ref="BA442" si="6094">CD442-CD441</f>
        <v>11</v>
      </c>
      <c r="BB442">
        <f t="shared" ref="BB442" si="6095">CE442-CE441</f>
        <v>3</v>
      </c>
      <c r="BC442">
        <f t="shared" ref="BC442" si="6096">AX442/AW442</f>
        <v>-9.0909090909090912E-2</v>
      </c>
      <c r="BD442">
        <f t="shared" ref="BD442" si="6097">AZ442/AY442</f>
        <v>9.1743119266055051E-3</v>
      </c>
      <c r="BE442">
        <f t="shared" si="5659"/>
        <v>0.27272727272727271</v>
      </c>
      <c r="BF442">
        <f t="shared" ref="BF442" si="6098">SUM(AU436:AU442)/SUM(AT436:AT442)</f>
        <v>2.054318329632869E-2</v>
      </c>
      <c r="BG442">
        <f t="shared" ref="BG442" si="6099">SUM(AU429:AU442)/SUM(AT429:AT442)</f>
        <v>2.3519114891325084E-2</v>
      </c>
      <c r="BH442">
        <f t="shared" ref="BH442" si="6100">SUM(AX436:AX442)/SUM(AW436:AW442)</f>
        <v>2.7322404371584699E-3</v>
      </c>
      <c r="BI442">
        <f t="shared" ref="BI442" si="6101">SUM(AZ436:AZ442)/SUM(AY436:AY442)</f>
        <v>2.9310344827586206E-2</v>
      </c>
      <c r="BJ442">
        <f t="shared" ref="BJ442" si="6102">SUM(BB436:BB442)/SUM(BA436:BA442)</f>
        <v>3.6764705882352942E-2</v>
      </c>
      <c r="BN442" s="20">
        <v>5051872</v>
      </c>
      <c r="BO442" s="20">
        <v>401821</v>
      </c>
      <c r="BP442" s="20">
        <v>1467642</v>
      </c>
      <c r="BQ442" s="20">
        <v>294722</v>
      </c>
      <c r="BR442" s="20">
        <v>306248</v>
      </c>
      <c r="BS442" s="20">
        <v>65200</v>
      </c>
      <c r="BT442" s="21">
        <f t="shared" si="5945"/>
        <v>1762364</v>
      </c>
      <c r="BU442" s="21">
        <f t="shared" si="2991"/>
        <v>371448</v>
      </c>
      <c r="BV442" s="20">
        <v>41570</v>
      </c>
      <c r="BW442" s="20">
        <v>3000</v>
      </c>
      <c r="BX442" s="20">
        <v>9479</v>
      </c>
      <c r="BY442" s="20">
        <v>3421</v>
      </c>
      <c r="BZ442" s="20">
        <v>2210</v>
      </c>
      <c r="CA442" s="20">
        <v>658</v>
      </c>
      <c r="CB442" s="21">
        <f t="shared" si="5946"/>
        <v>12900</v>
      </c>
      <c r="CC442" s="21">
        <f t="shared" si="2993"/>
        <v>2868</v>
      </c>
      <c r="CD442" s="20">
        <v>30678</v>
      </c>
      <c r="CE442" s="20">
        <v>1752</v>
      </c>
      <c r="CF442" s="20">
        <v>5546</v>
      </c>
      <c r="CG442" s="20">
        <v>1867</v>
      </c>
      <c r="CH442" s="20">
        <v>1194</v>
      </c>
      <c r="CI442" s="20">
        <v>464</v>
      </c>
      <c r="CJ442" s="21">
        <f t="shared" si="5947"/>
        <v>7413</v>
      </c>
      <c r="CK442" s="21">
        <f t="shared" si="2995"/>
        <v>1658</v>
      </c>
      <c r="CL442" s="20">
        <f>254868-CD442</f>
        <v>224190</v>
      </c>
      <c r="CM442" s="20">
        <f>19153-CE442</f>
        <v>17401</v>
      </c>
      <c r="CN442" s="20">
        <f>74083-CF442</f>
        <v>68537</v>
      </c>
      <c r="CO442" s="20">
        <f>7190-CG442</f>
        <v>5323</v>
      </c>
      <c r="CP442" s="20">
        <v>15062</v>
      </c>
      <c r="CQ442" s="20">
        <v>863</v>
      </c>
      <c r="CR442" s="21">
        <f t="shared" si="5948"/>
        <v>73860</v>
      </c>
      <c r="CS442" s="21">
        <f t="shared" si="5167"/>
        <v>15925</v>
      </c>
    </row>
    <row r="443" spans="1:97" x14ac:dyDescent="0.35">
      <c r="A443" s="14">
        <f t="shared" si="2761"/>
        <v>44349</v>
      </c>
      <c r="B443" s="9">
        <f t="shared" si="5913"/>
        <v>1764186</v>
      </c>
      <c r="C443">
        <f t="shared" ref="C443" si="6103">BU443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104">-(J443-J442)+L443</f>
        <v>0</v>
      </c>
      <c r="N443" s="7">
        <f t="shared" ref="N443" si="6105">B443-C443</f>
        <v>1392569</v>
      </c>
      <c r="O443" s="4">
        <f t="shared" ref="O443" si="6106">C443/B443</f>
        <v>0.21064502269035124</v>
      </c>
      <c r="R443">
        <f t="shared" ref="R443" si="6107">C443-C442</f>
        <v>169</v>
      </c>
      <c r="S443">
        <f t="shared" ref="S443" si="6108">N443-N442</f>
        <v>1653</v>
      </c>
      <c r="T443" s="8">
        <f t="shared" ref="T443" si="6109">R443/V443</f>
        <v>9.2755214050493959E-2</v>
      </c>
      <c r="U443" s="8">
        <f t="shared" ref="U443" si="6110">SUM(R437:R443)/SUM(V437:V443)</f>
        <v>7.8110047846889949E-2</v>
      </c>
      <c r="V443">
        <f t="shared" ref="V443" si="6111">B443-B442</f>
        <v>1822</v>
      </c>
      <c r="W443">
        <f t="shared" ref="W443" si="6112">C443-D443-E443</f>
        <v>4357</v>
      </c>
      <c r="X443" s="3">
        <f t="shared" ref="X443" si="6113">F443/W443</f>
        <v>2.1803993573559787E-2</v>
      </c>
      <c r="Y443">
        <f t="shared" ref="Y443" si="6114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115">Z443-AC443-AF443</f>
        <v>43</v>
      </c>
      <c r="AJ443">
        <f t="shared" ref="AJ443" si="6116">AA443-AD443-AG443</f>
        <v>18</v>
      </c>
      <c r="AK443">
        <f t="shared" ref="AK443" si="6117">AB443-AE443-AH443</f>
        <v>156</v>
      </c>
      <c r="AT443">
        <f t="shared" ref="AT443" si="6118">BN443-BN442</f>
        <v>9050</v>
      </c>
      <c r="AU443">
        <f t="shared" ref="AU443" si="6119">BO443-BO442</f>
        <v>203</v>
      </c>
      <c r="AV443">
        <f t="shared" ref="AV443" si="6120">AU443/AT443</f>
        <v>2.2430939226519338E-2</v>
      </c>
      <c r="AW443">
        <f t="shared" ref="AW443" si="6121">BV443-BV442</f>
        <v>45</v>
      </c>
      <c r="AX443">
        <f t="shared" ref="AX443" si="6122">BW443-BW442</f>
        <v>4</v>
      </c>
      <c r="AY443">
        <f t="shared" ref="AY443" si="6123">CL443-CL442</f>
        <v>342</v>
      </c>
      <c r="AZ443">
        <f t="shared" ref="AZ443" si="6124">CM443-CM442</f>
        <v>26</v>
      </c>
      <c r="BA443">
        <f t="shared" ref="BA443" si="6125">CD443-CD442</f>
        <v>32</v>
      </c>
      <c r="BB443">
        <f t="shared" ref="BB443" si="6126">CE443-CE442</f>
        <v>-3</v>
      </c>
      <c r="BC443">
        <f t="shared" ref="BC443" si="6127">AX443/AW443</f>
        <v>8.8888888888888892E-2</v>
      </c>
      <c r="BD443">
        <f t="shared" ref="BD443" si="6128">AZ443/AY443</f>
        <v>7.6023391812865493E-2</v>
      </c>
      <c r="BE443">
        <f t="shared" si="5659"/>
        <v>-9.375E-2</v>
      </c>
      <c r="BF443">
        <f t="shared" ref="BF443" si="6129">SUM(AU437:AU443)/SUM(AT437:AT443)</f>
        <v>1.9363341443633414E-2</v>
      </c>
      <c r="BG443">
        <f t="shared" ref="BG443" si="6130">SUM(AU430:AU443)/SUM(AT430:AT443)</f>
        <v>2.3524995307514233E-2</v>
      </c>
      <c r="BH443">
        <f t="shared" ref="BH443" si="6131">SUM(AX437:AX443)/SUM(AW437:AW443)</f>
        <v>2.7692307692307693E-2</v>
      </c>
      <c r="BI443">
        <f t="shared" ref="BI443" si="6132">SUM(AZ437:AZ443)/SUM(AY437:AY443)</f>
        <v>4.1373926619828257E-2</v>
      </c>
      <c r="BJ443">
        <f t="shared" ref="BJ443" si="6133">SUM(BB437:BB443)/SUM(BA437:BA443)</f>
        <v>-8.0000000000000002E-3</v>
      </c>
      <c r="BN443" s="20">
        <v>5060922</v>
      </c>
      <c r="BO443" s="20">
        <v>402024</v>
      </c>
      <c r="BP443" s="20">
        <v>1469103</v>
      </c>
      <c r="BQ443" s="20">
        <v>295083</v>
      </c>
      <c r="BR443" s="20">
        <v>306385</v>
      </c>
      <c r="BS443" s="20">
        <v>65232</v>
      </c>
      <c r="BT443" s="21">
        <f t="shared" si="5945"/>
        <v>1764186</v>
      </c>
      <c r="BU443" s="21">
        <f t="shared" si="2991"/>
        <v>371617</v>
      </c>
      <c r="BV443" s="20">
        <v>41615</v>
      </c>
      <c r="BW443" s="20">
        <v>3004</v>
      </c>
      <c r="BX443" s="20">
        <v>9493</v>
      </c>
      <c r="BY443" s="20">
        <v>3421</v>
      </c>
      <c r="BZ443" s="20">
        <v>2213</v>
      </c>
      <c r="CA443" s="20">
        <v>659</v>
      </c>
      <c r="CB443" s="21">
        <f t="shared" si="5946"/>
        <v>12914</v>
      </c>
      <c r="CC443" s="21">
        <f t="shared" si="2993"/>
        <v>2872</v>
      </c>
      <c r="CD443" s="20">
        <v>30710</v>
      </c>
      <c r="CE443" s="20">
        <v>1749</v>
      </c>
      <c r="CF443" s="20">
        <v>5553</v>
      </c>
      <c r="CG443" s="20">
        <v>1871</v>
      </c>
      <c r="CH443" s="20">
        <v>1194</v>
      </c>
      <c r="CI443" s="20">
        <v>464</v>
      </c>
      <c r="CJ443" s="21">
        <f t="shared" si="5947"/>
        <v>7424</v>
      </c>
      <c r="CK443" s="21">
        <f t="shared" si="2995"/>
        <v>1658</v>
      </c>
      <c r="CL443" s="20">
        <v>224532</v>
      </c>
      <c r="CM443" s="20">
        <v>17427</v>
      </c>
      <c r="CN443" s="20">
        <v>68620</v>
      </c>
      <c r="CO443" s="20">
        <v>5329</v>
      </c>
      <c r="CP443" s="20">
        <v>15077</v>
      </c>
      <c r="CQ443" s="20">
        <v>863</v>
      </c>
      <c r="CR443" s="21">
        <f t="shared" si="5948"/>
        <v>73949</v>
      </c>
      <c r="CS443" s="21">
        <f t="shared" si="5167"/>
        <v>15940</v>
      </c>
    </row>
    <row r="444" spans="1:97" x14ac:dyDescent="0.35">
      <c r="A444" s="14">
        <f t="shared" si="2761"/>
        <v>44350</v>
      </c>
      <c r="B444" s="9">
        <f t="shared" si="5913"/>
        <v>1765991</v>
      </c>
      <c r="C444">
        <f t="shared" ref="C444" si="6134">BU444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135">-(J444-J443)+L444</f>
        <v>-2</v>
      </c>
      <c r="N444" s="7">
        <f t="shared" ref="N444" si="6136">B444-C444</f>
        <v>1394268</v>
      </c>
      <c r="O444" s="4">
        <f t="shared" ref="O444" si="6137">C444/B444</f>
        <v>0.21048974768274584</v>
      </c>
      <c r="R444">
        <f t="shared" ref="R444" si="6138">C444-C443</f>
        <v>106</v>
      </c>
      <c r="S444">
        <f t="shared" ref="S444" si="6139">N444-N443</f>
        <v>1699</v>
      </c>
      <c r="T444" s="8">
        <f t="shared" ref="T444" si="6140">R444/V444</f>
        <v>5.8725761772853186E-2</v>
      </c>
      <c r="U444" s="8">
        <f t="shared" ref="U444" si="6141">SUM(R438:R444)/SUM(V438:V444)</f>
        <v>7.3637530633679546E-2</v>
      </c>
      <c r="V444">
        <f t="shared" ref="V444" si="6142">B444-B443</f>
        <v>1805</v>
      </c>
      <c r="W444">
        <f t="shared" ref="W444" si="6143">C444-D444-E444</f>
        <v>4097</v>
      </c>
      <c r="X444" s="3">
        <f t="shared" ref="X444" si="6144">F444/W444</f>
        <v>2.2455455211130095E-2</v>
      </c>
      <c r="Y444">
        <f t="shared" ref="Y444" si="6145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146">Z444-AC444-AF444</f>
        <v>42</v>
      </c>
      <c r="AJ444">
        <f t="shared" ref="AJ444" si="6147">AA444-AD444-AG444</f>
        <v>18</v>
      </c>
      <c r="AK444">
        <f t="shared" ref="AK444" si="6148">AB444-AE444-AH444</f>
        <v>160</v>
      </c>
      <c r="AT444">
        <f t="shared" ref="AT444" si="6149">BN444-BN443</f>
        <v>7843</v>
      </c>
      <c r="AU444">
        <f t="shared" ref="AU444" si="6150">BO444-BO443</f>
        <v>147</v>
      </c>
      <c r="AV444">
        <f t="shared" ref="AV444" si="6151">AU444/AT444</f>
        <v>1.8742827999489991E-2</v>
      </c>
      <c r="AW444">
        <f t="shared" ref="AW444" si="6152">BV444-BV443</f>
        <v>36</v>
      </c>
      <c r="AX444">
        <f t="shared" ref="AX444" si="6153">BW444-BW443</f>
        <v>4</v>
      </c>
      <c r="AY444">
        <f t="shared" ref="AY444" si="6154">CL444-CL443</f>
        <v>178</v>
      </c>
      <c r="AZ444">
        <f t="shared" ref="AZ444" si="6155">CM444-CM443</f>
        <v>2</v>
      </c>
      <c r="BA444">
        <f t="shared" ref="BA444" si="6156">CD444-CD443</f>
        <v>34</v>
      </c>
      <c r="BB444">
        <f t="shared" ref="BB444" si="6157">CE444-CE443</f>
        <v>1</v>
      </c>
      <c r="BC444">
        <f t="shared" ref="BC444" si="6158">AX444/AW444</f>
        <v>0.1111111111111111</v>
      </c>
      <c r="BD444">
        <f t="shared" ref="BD444" si="6159">AZ444/AY444</f>
        <v>1.1235955056179775E-2</v>
      </c>
      <c r="BE444">
        <f t="shared" si="5659"/>
        <v>2.9411764705882353E-2</v>
      </c>
      <c r="BF444">
        <f t="shared" ref="BF444" si="6160">SUM(AU438:AU444)/SUM(AT438:AT444)</f>
        <v>2.0308754928996677E-2</v>
      </c>
      <c r="BG444">
        <f t="shared" ref="BG444" si="6161">SUM(AU431:AU444)/SUM(AT431:AT444)</f>
        <v>2.2103496622339295E-2</v>
      </c>
      <c r="BH444">
        <f t="shared" ref="BH444" si="6162">SUM(AX438:AX444)/SUM(AW438:AW444)</f>
        <v>3.64741641337386E-2</v>
      </c>
      <c r="BI444">
        <f t="shared" ref="BI444" si="6163">SUM(AZ438:AZ444)/SUM(AY438:AY444)</f>
        <v>4.4861337683523655E-2</v>
      </c>
      <c r="BJ444">
        <f t="shared" ref="BJ444" si="6164">SUM(BB438:BB444)/SUM(BA438:BA444)</f>
        <v>0</v>
      </c>
      <c r="BN444" s="20">
        <v>5068765</v>
      </c>
      <c r="BO444" s="20">
        <v>402171</v>
      </c>
      <c r="BP444" s="20">
        <v>1470436</v>
      </c>
      <c r="BQ444" s="20">
        <v>295555</v>
      </c>
      <c r="BR444" s="20">
        <v>306468</v>
      </c>
      <c r="BS444" s="20">
        <v>65255</v>
      </c>
      <c r="BT444" s="21">
        <f t="shared" si="5945"/>
        <v>1765991</v>
      </c>
      <c r="BU444" s="21">
        <f t="shared" si="2991"/>
        <v>371723</v>
      </c>
      <c r="BV444" s="20">
        <v>41651</v>
      </c>
      <c r="BW444" s="20">
        <v>3008</v>
      </c>
      <c r="BX444" s="20">
        <v>9499</v>
      </c>
      <c r="BY444" s="20">
        <v>3425</v>
      </c>
      <c r="BZ444" s="20">
        <v>2213</v>
      </c>
      <c r="CA444" s="20">
        <v>659</v>
      </c>
      <c r="CB444" s="21">
        <f t="shared" si="5946"/>
        <v>12924</v>
      </c>
      <c r="CC444" s="21">
        <f t="shared" si="2993"/>
        <v>2872</v>
      </c>
      <c r="CD444" s="20">
        <v>30744</v>
      </c>
      <c r="CE444" s="20">
        <v>1750</v>
      </c>
      <c r="CF444" s="20">
        <v>5552</v>
      </c>
      <c r="CG444" s="20">
        <v>1878</v>
      </c>
      <c r="CH444" s="20">
        <v>1194</v>
      </c>
      <c r="CI444" s="20">
        <v>465</v>
      </c>
      <c r="CJ444" s="21">
        <f t="shared" si="5947"/>
        <v>7430</v>
      </c>
      <c r="CK444" s="21">
        <f t="shared" si="2995"/>
        <v>1659</v>
      </c>
      <c r="CL444" s="20">
        <v>224710</v>
      </c>
      <c r="CM444" s="20">
        <v>17429</v>
      </c>
      <c r="CN444" s="20">
        <v>68666</v>
      </c>
      <c r="CO444" s="20">
        <v>5337</v>
      </c>
      <c r="CP444" s="20">
        <v>15086</v>
      </c>
      <c r="CQ444" s="20">
        <v>862</v>
      </c>
      <c r="CR444" s="21">
        <f t="shared" si="5948"/>
        <v>74003</v>
      </c>
      <c r="CS444" s="21">
        <f t="shared" si="5167"/>
        <v>15948</v>
      </c>
    </row>
    <row r="445" spans="1:97" x14ac:dyDescent="0.35">
      <c r="A445" s="14">
        <f t="shared" si="2761"/>
        <v>44351</v>
      </c>
      <c r="B445" s="9">
        <f t="shared" si="5913"/>
        <v>1767532</v>
      </c>
      <c r="C445">
        <f t="shared" ref="C445" si="6165">BU445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166">-(J445-J444)+L445</f>
        <v>1</v>
      </c>
      <c r="N445" s="7">
        <f t="shared" ref="N445" si="6167">B445-C445</f>
        <v>1395694</v>
      </c>
      <c r="O445" s="4">
        <f t="shared" ref="O445" si="6168">C445/B445</f>
        <v>0.21037129737962312</v>
      </c>
      <c r="R445">
        <f t="shared" ref="R445" si="6169">C445-C444</f>
        <v>115</v>
      </c>
      <c r="S445">
        <f t="shared" ref="S445" si="6170">N445-N444</f>
        <v>1426</v>
      </c>
      <c r="T445" s="8">
        <f t="shared" ref="T445" si="6171">R445/V445</f>
        <v>7.4626865671641784E-2</v>
      </c>
      <c r="U445" s="8">
        <f t="shared" ref="U445" si="6172">SUM(R439:R445)/SUM(V439:V445)</f>
        <v>7.1997148627777119E-2</v>
      </c>
      <c r="V445">
        <f t="shared" ref="V445" si="6173">B445-B444</f>
        <v>1541</v>
      </c>
      <c r="W445">
        <f t="shared" ref="W445" si="6174">C445-D445-E445</f>
        <v>3885</v>
      </c>
      <c r="X445" s="3">
        <f t="shared" ref="X445" si="6175">F445/W445</f>
        <v>2.3423423423423424E-2</v>
      </c>
      <c r="Y445">
        <f t="shared" ref="Y445" si="6176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177">Z445-AC445-AF445</f>
        <v>42</v>
      </c>
      <c r="AJ445">
        <f t="shared" ref="AJ445" si="6178">AA445-AD445-AG445</f>
        <v>17</v>
      </c>
      <c r="AK445">
        <f t="shared" ref="AK445" si="6179">AB445-AE445-AH445</f>
        <v>160</v>
      </c>
      <c r="AT445">
        <f t="shared" ref="AT445" si="6180">BN445-BN444</f>
        <v>6818</v>
      </c>
      <c r="AU445">
        <f t="shared" ref="AU445" si="6181">BO445-BO444</f>
        <v>97</v>
      </c>
      <c r="AV445">
        <f t="shared" ref="AV445" si="6182">AU445/AT445</f>
        <v>1.4227046054561454E-2</v>
      </c>
      <c r="AW445">
        <f t="shared" ref="AW445" si="6183">BV445-BV444</f>
        <v>49</v>
      </c>
      <c r="AX445">
        <f t="shared" ref="AX445" si="6184">BW445-BW444</f>
        <v>-2</v>
      </c>
      <c r="AY445">
        <f t="shared" ref="AY445" si="6185">CL445-CL444</f>
        <v>240</v>
      </c>
      <c r="AZ445">
        <f t="shared" ref="AZ445" si="6186">CM445-CM444</f>
        <v>7</v>
      </c>
      <c r="BA445">
        <f t="shared" ref="BA445" si="6187">CD445-CD444</f>
        <v>44</v>
      </c>
      <c r="BB445">
        <f t="shared" ref="BB445" si="6188">CE445-CE444</f>
        <v>3</v>
      </c>
      <c r="BC445">
        <f t="shared" ref="BC445" si="6189">AX445/AW445</f>
        <v>-4.0816326530612242E-2</v>
      </c>
      <c r="BD445">
        <f t="shared" ref="BD445" si="6190">AZ445/AY445</f>
        <v>2.9166666666666667E-2</v>
      </c>
      <c r="BE445">
        <f t="shared" si="5659"/>
        <v>6.8181818181818177E-2</v>
      </c>
      <c r="BF445">
        <f t="shared" ref="BF445" si="6191">SUM(AU439:AU445)/SUM(AT439:AT445)</f>
        <v>1.8263610160816745E-2</v>
      </c>
      <c r="BG445">
        <f t="shared" ref="BG445" si="6192">SUM(AU432:AU445)/SUM(AT432:AT445)</f>
        <v>2.0828709274207678E-2</v>
      </c>
      <c r="BH445">
        <f t="shared" ref="BH445" si="6193">SUM(AX439:AX445)/SUM(AW439:AW445)</f>
        <v>1.7391304347826087E-2</v>
      </c>
      <c r="BI445">
        <f t="shared" ref="BI445" si="6194">SUM(AZ439:AZ445)/SUM(AY439:AY445)</f>
        <v>3.9552880481513328E-2</v>
      </c>
      <c r="BJ445">
        <f t="shared" ref="BJ445" si="6195">SUM(BB439:BB445)/SUM(BA439:BA445)</f>
        <v>2.6845637583892617E-2</v>
      </c>
      <c r="BN445" s="20">
        <v>5075583</v>
      </c>
      <c r="BO445" s="20">
        <v>402268</v>
      </c>
      <c r="BP445" s="20">
        <v>1471678</v>
      </c>
      <c r="BQ445" s="20">
        <v>295854</v>
      </c>
      <c r="BR445" s="20">
        <v>306559</v>
      </c>
      <c r="BS445" s="20">
        <v>65279</v>
      </c>
      <c r="BT445" s="21">
        <f t="shared" si="5945"/>
        <v>1767532</v>
      </c>
      <c r="BU445" s="21">
        <f t="shared" si="2991"/>
        <v>371838</v>
      </c>
      <c r="BV445" s="20">
        <v>41700</v>
      </c>
      <c r="BW445" s="20">
        <v>3006</v>
      </c>
      <c r="BX445" s="20">
        <v>9506</v>
      </c>
      <c r="BY445" s="20">
        <v>3428</v>
      </c>
      <c r="BZ445" s="20">
        <v>2214</v>
      </c>
      <c r="CA445" s="20">
        <v>659</v>
      </c>
      <c r="CB445" s="21">
        <f t="shared" si="5946"/>
        <v>12934</v>
      </c>
      <c r="CC445" s="21">
        <f t="shared" si="2993"/>
        <v>2873</v>
      </c>
      <c r="CD445" s="20">
        <v>30788</v>
      </c>
      <c r="CE445" s="20">
        <v>1753</v>
      </c>
      <c r="CF445" s="20">
        <v>5558</v>
      </c>
      <c r="CG445" s="20">
        <v>1878</v>
      </c>
      <c r="CH445" s="20">
        <v>1194</v>
      </c>
      <c r="CI445" s="20">
        <v>465</v>
      </c>
      <c r="CJ445" s="21">
        <f t="shared" si="5947"/>
        <v>7436</v>
      </c>
      <c r="CK445" s="21">
        <f t="shared" si="2995"/>
        <v>1659</v>
      </c>
      <c r="CL445" s="20">
        <v>224950</v>
      </c>
      <c r="CM445" s="20">
        <v>17436</v>
      </c>
      <c r="CN445" s="20">
        <v>68723</v>
      </c>
      <c r="CO445" s="20">
        <v>5341</v>
      </c>
      <c r="CP445" s="20">
        <v>15097</v>
      </c>
      <c r="CQ445" s="20">
        <v>862</v>
      </c>
      <c r="CR445" s="21">
        <f t="shared" si="5948"/>
        <v>74064</v>
      </c>
      <c r="CS445" s="21">
        <f t="shared" si="5167"/>
        <v>15959</v>
      </c>
    </row>
    <row r="446" spans="1:97" x14ac:dyDescent="0.35">
      <c r="A446" s="14">
        <f t="shared" si="2761"/>
        <v>44352</v>
      </c>
      <c r="B446" s="9">
        <f t="shared" si="5913"/>
        <v>1769136</v>
      </c>
      <c r="C446">
        <f t="shared" ref="C446" si="6196">BU446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197">-(J446-J445)+L446</f>
        <v>4</v>
      </c>
      <c r="N446" s="7">
        <f t="shared" ref="N446" si="6198">B446-C446</f>
        <v>1397193</v>
      </c>
      <c r="O446" s="4">
        <f t="shared" ref="O446" si="6199">C446/B446</f>
        <v>0.21023991372059581</v>
      </c>
      <c r="R446">
        <f t="shared" ref="R446" si="6200">C446-C445</f>
        <v>105</v>
      </c>
      <c r="S446">
        <f t="shared" ref="S446" si="6201">N446-N445</f>
        <v>1499</v>
      </c>
      <c r="T446" s="8">
        <f t="shared" ref="T446" si="6202">R446/V446</f>
        <v>6.5461346633416462E-2</v>
      </c>
      <c r="U446" s="8">
        <f t="shared" ref="U446" si="6203">SUM(R440:R446)/SUM(V440:V446)</f>
        <v>7.2111507890795998E-2</v>
      </c>
      <c r="V446">
        <f t="shared" ref="V446" si="6204">B446-B445</f>
        <v>1604</v>
      </c>
      <c r="W446">
        <f t="shared" ref="W446" si="6205">C446-D446-E446</f>
        <v>3725</v>
      </c>
      <c r="X446" s="3">
        <f t="shared" ref="X446" si="6206">F446/W446</f>
        <v>2.3624161073825502E-2</v>
      </c>
      <c r="Y446">
        <f t="shared" ref="Y446" si="6207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208">Z446-AC446-AF446</f>
        <v>39</v>
      </c>
      <c r="AJ446">
        <f t="shared" ref="AJ446" si="6209">AA446-AD446-AG446</f>
        <v>15</v>
      </c>
      <c r="AK446">
        <f t="shared" ref="AK446" si="6210">AB446-AE446-AH446</f>
        <v>164</v>
      </c>
      <c r="AT446">
        <f t="shared" ref="AT446" si="6211">BN446-BN445</f>
        <v>6330</v>
      </c>
      <c r="AU446">
        <f t="shared" ref="AU446" si="6212">BO446-BO445</f>
        <v>134</v>
      </c>
      <c r="AV446">
        <f t="shared" ref="AV446" si="6213">AU446/AT446</f>
        <v>2.1169036334913113E-2</v>
      </c>
      <c r="AW446">
        <f t="shared" ref="AW446" si="6214">BV446-BV445</f>
        <v>45</v>
      </c>
      <c r="AX446">
        <f t="shared" ref="AX446" si="6215">BW446-BW445</f>
        <v>3</v>
      </c>
      <c r="AY446">
        <f t="shared" ref="AY446" si="6216">CL446-CL445</f>
        <v>216</v>
      </c>
      <c r="AZ446">
        <f t="shared" ref="AZ446" si="6217">CM446-CM445</f>
        <v>19</v>
      </c>
      <c r="BA446">
        <f t="shared" ref="BA446" si="6218">CD446-CD445</f>
        <v>27</v>
      </c>
      <c r="BB446">
        <f t="shared" ref="BB446" si="6219">CE446-CE445</f>
        <v>-2</v>
      </c>
      <c r="BC446">
        <f t="shared" ref="BC446" si="6220">AX446/AW446</f>
        <v>6.6666666666666666E-2</v>
      </c>
      <c r="BD446">
        <f t="shared" ref="BD446" si="6221">AZ446/AY446</f>
        <v>8.7962962962962965E-2</v>
      </c>
      <c r="BE446">
        <f t="shared" si="5659"/>
        <v>-7.407407407407407E-2</v>
      </c>
      <c r="BF446">
        <f t="shared" ref="BF446" si="6222">SUM(AU440:AU446)/SUM(AT440:AT446)</f>
        <v>1.918809201623816E-2</v>
      </c>
      <c r="BG446">
        <f t="shared" ref="BG446" si="6223">SUM(AU433:AU446)/SUM(AT433:AT446)</f>
        <v>2.0589033994124473E-2</v>
      </c>
      <c r="BH446">
        <f t="shared" ref="BH446" si="6224">SUM(AX440:AX446)/SUM(AW440:AW446)</f>
        <v>3.669724770642202E-2</v>
      </c>
      <c r="BI446">
        <f t="shared" ref="BI446" si="6225">SUM(AZ440:AZ446)/SUM(AY440:AY446)</f>
        <v>4.4298605414273995E-2</v>
      </c>
      <c r="BJ446">
        <f t="shared" ref="BJ446" si="6226">SUM(BB440:BB446)/SUM(BA440:BA446)</f>
        <v>-6.024096385542169E-3</v>
      </c>
      <c r="BN446" s="20">
        <v>5081913</v>
      </c>
      <c r="BO446" s="20">
        <v>402402</v>
      </c>
      <c r="BP446" s="20">
        <v>1473088</v>
      </c>
      <c r="BQ446" s="20">
        <v>296048</v>
      </c>
      <c r="BR446" s="20">
        <v>306652</v>
      </c>
      <c r="BS446" s="20">
        <v>65291</v>
      </c>
      <c r="BT446" s="21">
        <f t="shared" si="5945"/>
        <v>1769136</v>
      </c>
      <c r="BU446" s="21">
        <f t="shared" si="2991"/>
        <v>371943</v>
      </c>
      <c r="BV446" s="20">
        <v>41745</v>
      </c>
      <c r="BW446" s="20">
        <v>3009</v>
      </c>
      <c r="BX446" s="20">
        <v>9517</v>
      </c>
      <c r="BY446" s="20">
        <v>3435</v>
      </c>
      <c r="BZ446" s="20">
        <v>2214</v>
      </c>
      <c r="CA446" s="20">
        <v>659</v>
      </c>
      <c r="CB446" s="21">
        <f t="shared" si="5946"/>
        <v>12952</v>
      </c>
      <c r="CC446" s="21">
        <f t="shared" si="2993"/>
        <v>2873</v>
      </c>
      <c r="CD446" s="20">
        <v>30815</v>
      </c>
      <c r="CE446" s="20">
        <v>1751</v>
      </c>
      <c r="CF446" s="20">
        <v>5560</v>
      </c>
      <c r="CG446" s="20">
        <v>1878</v>
      </c>
      <c r="CH446" s="20">
        <v>1194</v>
      </c>
      <c r="CI446" s="20">
        <v>465</v>
      </c>
      <c r="CJ446" s="21">
        <f t="shared" si="5947"/>
        <v>7438</v>
      </c>
      <c r="CK446" s="21">
        <f t="shared" si="2995"/>
        <v>1659</v>
      </c>
      <c r="CL446" s="20">
        <v>225166</v>
      </c>
      <c r="CM446" s="20">
        <v>17455</v>
      </c>
      <c r="CN446" s="20">
        <v>68797</v>
      </c>
      <c r="CO446" s="20">
        <v>5340</v>
      </c>
      <c r="CP446" s="20">
        <v>15109</v>
      </c>
      <c r="CQ446" s="20">
        <v>862</v>
      </c>
      <c r="CR446" s="21">
        <f t="shared" si="5948"/>
        <v>74137</v>
      </c>
      <c r="CS446" s="21">
        <f t="shared" si="5167"/>
        <v>15971</v>
      </c>
    </row>
    <row r="447" spans="1:97" x14ac:dyDescent="0.35">
      <c r="A447" s="14">
        <f t="shared" si="2761"/>
        <v>44353</v>
      </c>
      <c r="B447" s="9">
        <f t="shared" si="5913"/>
        <v>1769858</v>
      </c>
      <c r="C447">
        <f t="shared" ref="C447" si="6227">BU447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228">-(J447-J446)+L447</f>
        <v>8</v>
      </c>
      <c r="N447" s="7">
        <f t="shared" ref="N447" si="6229">B447-C447</f>
        <v>1397866</v>
      </c>
      <c r="O447" s="4">
        <f t="shared" ref="O447" si="6230">C447/B447</f>
        <v>0.21018183379683567</v>
      </c>
      <c r="R447">
        <f t="shared" ref="R447" si="6231">C447-C446</f>
        <v>49</v>
      </c>
      <c r="S447">
        <f t="shared" ref="S447" si="6232">N447-N446</f>
        <v>673</v>
      </c>
      <c r="T447" s="8">
        <f t="shared" ref="T447" si="6233">R447/V447</f>
        <v>6.7867036011080337E-2</v>
      </c>
      <c r="U447" s="8">
        <f t="shared" ref="U447" si="6234">SUM(R441:R447)/SUM(V441:V447)</f>
        <v>7.0123680925904916E-2</v>
      </c>
      <c r="V447">
        <f t="shared" ref="V447" si="6235">B447-B446</f>
        <v>722</v>
      </c>
      <c r="W447">
        <f t="shared" ref="W447" si="6236">C447-D447-E447</f>
        <v>3646</v>
      </c>
      <c r="X447" s="3">
        <f t="shared" ref="X447" si="6237">F447/W447</f>
        <v>2.1941854086670324E-2</v>
      </c>
      <c r="Y447">
        <f t="shared" ref="Y447" si="6238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239">Z447-AC447-AF447</f>
        <v>37</v>
      </c>
      <c r="AJ447">
        <f t="shared" ref="AJ447" si="6240">AA447-AD447-AG447</f>
        <v>15</v>
      </c>
      <c r="AK447">
        <f t="shared" ref="AK447" si="6241">AB447-AE447-AH447</f>
        <v>174</v>
      </c>
      <c r="AT447">
        <f t="shared" ref="AT447" si="6242">BN447-BN446</f>
        <v>2410</v>
      </c>
      <c r="AU447">
        <f t="shared" ref="AU447" si="6243">BO447-BO446</f>
        <v>51</v>
      </c>
      <c r="AV447">
        <f t="shared" ref="AV447" si="6244">AU447/AT447</f>
        <v>2.116182572614108E-2</v>
      </c>
      <c r="AW447">
        <f t="shared" ref="AW447" si="6245">BV447-BV446</f>
        <v>8</v>
      </c>
      <c r="AX447">
        <f t="shared" ref="AX447" si="6246">BW447-BW446</f>
        <v>-2</v>
      </c>
      <c r="AY447">
        <f t="shared" ref="AY447" si="6247">CL447-CL446</f>
        <v>82</v>
      </c>
      <c r="AZ447">
        <f t="shared" ref="AZ447" si="6248">CM447-CM446</f>
        <v>4</v>
      </c>
      <c r="BA447">
        <f t="shared" ref="BA447" si="6249">CD447-CD446</f>
        <v>4</v>
      </c>
      <c r="BB447">
        <f t="shared" ref="BB447" si="6250">CE447-CE446</f>
        <v>2</v>
      </c>
      <c r="BC447">
        <f t="shared" ref="BC447" si="6251">AX447/AW447</f>
        <v>-0.25</v>
      </c>
      <c r="BD447">
        <f t="shared" ref="BD447" si="6252">AZ447/AY447</f>
        <v>4.878048780487805E-2</v>
      </c>
      <c r="BE447">
        <f t="shared" si="5659"/>
        <v>0.5</v>
      </c>
      <c r="BF447">
        <f t="shared" ref="BF447" si="6253">SUM(AU441:AU447)/SUM(AT441:AT447)</f>
        <v>1.9433111445136354E-2</v>
      </c>
      <c r="BG447">
        <f t="shared" ref="BG447" si="6254">SUM(AU434:AU447)/SUM(AT434:AT447)</f>
        <v>2.018373989870427E-2</v>
      </c>
      <c r="BH447">
        <f t="shared" ref="BH447" si="6255">SUM(AX441:AX447)/SUM(AW441:AW447)</f>
        <v>2.358490566037736E-2</v>
      </c>
      <c r="BI447">
        <f t="shared" ref="BI447" si="6256">SUM(AZ441:AZ447)/SUM(AY441:AY447)</f>
        <v>5.229283990345937E-2</v>
      </c>
      <c r="BJ447">
        <f t="shared" ref="BJ447" si="6257">SUM(BB441:BB447)/SUM(BA441:BA447)</f>
        <v>1.8633540372670808E-2</v>
      </c>
      <c r="BN447" s="20">
        <v>5084323</v>
      </c>
      <c r="BO447" s="20">
        <v>402453</v>
      </c>
      <c r="BP447" s="20">
        <v>1473756</v>
      </c>
      <c r="BQ447" s="20">
        <v>296102</v>
      </c>
      <c r="BR447" s="20">
        <v>306696</v>
      </c>
      <c r="BS447" s="20">
        <v>65296</v>
      </c>
      <c r="BT447" s="21">
        <f t="shared" si="5945"/>
        <v>1769858</v>
      </c>
      <c r="BU447" s="21">
        <f t="shared" si="2991"/>
        <v>371992</v>
      </c>
      <c r="BV447" s="20">
        <v>41753</v>
      </c>
      <c r="BW447" s="20">
        <v>3007</v>
      </c>
      <c r="BX447" s="20">
        <v>9523</v>
      </c>
      <c r="BY447" s="20">
        <v>3434</v>
      </c>
      <c r="BZ447" s="20">
        <v>2213</v>
      </c>
      <c r="CA447" s="20">
        <v>659</v>
      </c>
      <c r="CB447" s="21">
        <f t="shared" si="5946"/>
        <v>12957</v>
      </c>
      <c r="CC447" s="21">
        <f t="shared" si="2993"/>
        <v>2872</v>
      </c>
      <c r="CD447" s="20">
        <v>30819</v>
      </c>
      <c r="CE447" s="20">
        <v>1753</v>
      </c>
      <c r="CF447" s="20">
        <v>5561</v>
      </c>
      <c r="CG447" s="20">
        <v>1878</v>
      </c>
      <c r="CH447" s="20">
        <v>1194</v>
      </c>
      <c r="CI447" s="20">
        <v>465</v>
      </c>
      <c r="CJ447" s="21">
        <f t="shared" si="5947"/>
        <v>7439</v>
      </c>
      <c r="CK447" s="21">
        <f t="shared" si="2995"/>
        <v>1659</v>
      </c>
      <c r="CL447" s="20">
        <v>225248</v>
      </c>
      <c r="CM447" s="20">
        <v>17459</v>
      </c>
      <c r="CN447" s="20">
        <v>68829</v>
      </c>
      <c r="CO447" s="20">
        <v>5341</v>
      </c>
      <c r="CP447" s="20">
        <v>15111</v>
      </c>
      <c r="CQ447" s="20">
        <v>862</v>
      </c>
      <c r="CR447" s="21">
        <f t="shared" si="5948"/>
        <v>74170</v>
      </c>
      <c r="CS447" s="21">
        <f t="shared" si="5167"/>
        <v>15973</v>
      </c>
    </row>
    <row r="448" spans="1:97" x14ac:dyDescent="0.35">
      <c r="A448" s="14">
        <f t="shared" si="2761"/>
        <v>44354</v>
      </c>
      <c r="B448" s="9">
        <f t="shared" si="5913"/>
        <v>1770719</v>
      </c>
      <c r="C448">
        <f t="shared" ref="C448" si="6258">BU448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259">-(J448-J447)+L448</f>
        <v>4</v>
      </c>
      <c r="N448" s="7">
        <f t="shared" ref="N448" si="6260">B448-C448</f>
        <v>1398658</v>
      </c>
      <c r="O448" s="4">
        <f t="shared" ref="O448" si="6261">C448/B448</f>
        <v>0.21011860153982648</v>
      </c>
      <c r="R448">
        <f t="shared" ref="R448" si="6262">C448-C447</f>
        <v>69</v>
      </c>
      <c r="S448">
        <f t="shared" ref="S448" si="6263">N448-N447</f>
        <v>792</v>
      </c>
      <c r="T448" s="8">
        <f t="shared" ref="T448" si="6264">R448/V448</f>
        <v>8.0139372822299645E-2</v>
      </c>
      <c r="U448" s="8">
        <f t="shared" ref="U448" si="6265">SUM(R442:R448)/SUM(V442:V448)</f>
        <v>7.2747497219132373E-2</v>
      </c>
      <c r="V448">
        <f t="shared" ref="V448" si="6266">B448-B447</f>
        <v>861</v>
      </c>
      <c r="W448">
        <f t="shared" ref="W448" si="6267">C448-D448-E448</f>
        <v>3613</v>
      </c>
      <c r="X448" s="3">
        <f t="shared" ref="X448" si="6268">F448/W448</f>
        <v>2.3249377248823692E-2</v>
      </c>
      <c r="Y448">
        <f t="shared" ref="Y448" si="6269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270">Z448-AC448-AF448</f>
        <v>37</v>
      </c>
      <c r="AJ448">
        <f t="shared" ref="AJ448" si="6271">AA448-AD448-AG448</f>
        <v>15</v>
      </c>
      <c r="AK448">
        <f t="shared" ref="AK448" si="6272">AB448-AE448-AH448</f>
        <v>177</v>
      </c>
      <c r="AT448">
        <f t="shared" ref="AT448" si="6273">BN448-BN447</f>
        <v>2752</v>
      </c>
      <c r="AU448">
        <f t="shared" ref="AU448" si="6274">BO448-BO447</f>
        <v>89</v>
      </c>
      <c r="AV448">
        <f t="shared" ref="AV448" si="6275">AU448/AT448</f>
        <v>3.2340116279069769E-2</v>
      </c>
      <c r="AW448">
        <f t="shared" ref="AW448" si="6276">BV448-BV447</f>
        <v>12</v>
      </c>
      <c r="AX448">
        <f t="shared" ref="AX448" si="6277">BW448-BW447</f>
        <v>2</v>
      </c>
      <c r="AY448">
        <f t="shared" ref="AY448" si="6278">CL448-CL447</f>
        <v>114</v>
      </c>
      <c r="AZ448">
        <f t="shared" ref="AZ448" si="6279">CM448-CM447</f>
        <v>11</v>
      </c>
      <c r="BA448">
        <f t="shared" ref="BA448" si="6280">CD448-CD447</f>
        <v>9</v>
      </c>
      <c r="BB448">
        <f t="shared" ref="BB448" si="6281">CE448-CE447</f>
        <v>0</v>
      </c>
      <c r="BC448">
        <f t="shared" ref="BC448" si="6282">AX448/AW448</f>
        <v>0.16666666666666666</v>
      </c>
      <c r="BD448">
        <f t="shared" ref="BD448" si="6283">AZ448/AY448</f>
        <v>9.6491228070175433E-2</v>
      </c>
      <c r="BE448">
        <f t="shared" si="5659"/>
        <v>0</v>
      </c>
      <c r="BF448">
        <f t="shared" ref="BF448" si="6284">SUM(AU442:AU448)/SUM(AT442:AT448)</f>
        <v>1.9252336448598129E-2</v>
      </c>
      <c r="BG448">
        <f t="shared" ref="BG448" si="6285">SUM(AU435:AU448)/SUM(AT435:AT448)</f>
        <v>2.0259934083701261E-2</v>
      </c>
      <c r="BH448">
        <f t="shared" ref="BH448" si="6286">SUM(AX442:AX448)/SUM(AW442:AW448)</f>
        <v>3.2258064516129031E-2</v>
      </c>
      <c r="BI448">
        <f t="shared" ref="BI448" si="6287">SUM(AZ442:AZ448)/SUM(AY442:AY448)</f>
        <v>5.4644808743169397E-2</v>
      </c>
      <c r="BJ448">
        <f t="shared" ref="BJ448" si="6288">SUM(BB442:BB448)/SUM(BA442:BA448)</f>
        <v>2.4844720496894408E-2</v>
      </c>
      <c r="BN448" s="20">
        <v>5087075</v>
      </c>
      <c r="BO448" s="20">
        <v>402542</v>
      </c>
      <c r="BP448" s="20">
        <v>1474561</v>
      </c>
      <c r="BQ448" s="20">
        <v>296158</v>
      </c>
      <c r="BR448" s="20">
        <v>306760</v>
      </c>
      <c r="BS448" s="20">
        <v>65301</v>
      </c>
      <c r="BT448" s="21">
        <f t="shared" si="5945"/>
        <v>1770719</v>
      </c>
      <c r="BU448" s="21">
        <f t="shared" si="2991"/>
        <v>372061</v>
      </c>
      <c r="BV448" s="20">
        <v>41765</v>
      </c>
      <c r="BW448" s="20">
        <v>3009</v>
      </c>
      <c r="BX448" s="20">
        <v>9527</v>
      </c>
      <c r="BY448" s="20">
        <v>3435</v>
      </c>
      <c r="BZ448" s="20">
        <v>2215</v>
      </c>
      <c r="CA448" s="20">
        <v>659</v>
      </c>
      <c r="CB448" s="21">
        <f t="shared" si="5946"/>
        <v>12962</v>
      </c>
      <c r="CC448" s="21">
        <f t="shared" si="2993"/>
        <v>2874</v>
      </c>
      <c r="CD448" s="20">
        <v>30828</v>
      </c>
      <c r="CE448" s="20">
        <v>1753</v>
      </c>
      <c r="CF448" s="20">
        <v>5564</v>
      </c>
      <c r="CG448" s="20">
        <v>1877</v>
      </c>
      <c r="CH448" s="20">
        <v>1194</v>
      </c>
      <c r="CI448" s="20">
        <v>465</v>
      </c>
      <c r="CJ448" s="21">
        <f t="shared" si="5947"/>
        <v>7441</v>
      </c>
      <c r="CK448" s="21">
        <f t="shared" si="2995"/>
        <v>1659</v>
      </c>
      <c r="CL448" s="20">
        <v>225362</v>
      </c>
      <c r="CM448" s="20">
        <v>17470</v>
      </c>
      <c r="CN448" s="20">
        <v>68872</v>
      </c>
      <c r="CO448" s="20">
        <v>5340</v>
      </c>
      <c r="CP448" s="20">
        <v>15117</v>
      </c>
      <c r="CQ448" s="20">
        <v>862</v>
      </c>
      <c r="CR448" s="21">
        <f t="shared" si="5948"/>
        <v>74212</v>
      </c>
      <c r="CS448" s="21">
        <f t="shared" si="5167"/>
        <v>15979</v>
      </c>
    </row>
    <row r="449" spans="1:97" x14ac:dyDescent="0.35">
      <c r="A449" s="14">
        <f t="shared" si="2761"/>
        <v>44355</v>
      </c>
      <c r="B449" s="9">
        <f t="shared" si="5913"/>
        <v>1771796</v>
      </c>
      <c r="C449">
        <f t="shared" ref="C449" si="6289">BU449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290">-(J449-J448)+L449</f>
        <v>8</v>
      </c>
      <c r="N449" s="7">
        <f t="shared" ref="N449" si="6291">B449-C449</f>
        <v>1399687</v>
      </c>
      <c r="O449" s="4">
        <f t="shared" ref="O449" si="6292">C449/B449</f>
        <v>0.21001797046612589</v>
      </c>
      <c r="R449">
        <f t="shared" ref="R449" si="6293">C449-C448</f>
        <v>48</v>
      </c>
      <c r="S449">
        <f t="shared" ref="S449" si="6294">N449-N448</f>
        <v>1029</v>
      </c>
      <c r="T449" s="8">
        <f t="shared" ref="T449" si="6295">R449/V449</f>
        <v>4.456824512534819E-2</v>
      </c>
      <c r="U449" s="8">
        <f t="shared" ref="U449" si="6296">SUM(R443:R449)/SUM(V443:V449)</f>
        <v>7.0080576759966068E-2</v>
      </c>
      <c r="V449">
        <f t="shared" ref="V449" si="6297">B449-B448</f>
        <v>1077</v>
      </c>
      <c r="W449">
        <f t="shared" ref="W449" si="6298">C449-D449-E449</f>
        <v>3255</v>
      </c>
      <c r="X449" s="3">
        <f t="shared" ref="X449" si="6299">F449/W449</f>
        <v>2.4270353302611368E-2</v>
      </c>
      <c r="Y449">
        <f t="shared" ref="Y449" si="6300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301">Z449-AC449-AF449</f>
        <v>35</v>
      </c>
      <c r="AJ449">
        <f t="shared" ref="AJ449" si="6302">AA449-AD449-AG449</f>
        <v>14</v>
      </c>
      <c r="AK449">
        <f t="shared" ref="AK449" si="6303">AB449-AE449-AH449</f>
        <v>168</v>
      </c>
      <c r="AT449">
        <f t="shared" ref="AT449" si="6304">BN449-BN448</f>
        <v>4377</v>
      </c>
      <c r="AU449">
        <f t="shared" ref="AU449" si="6305">BO449-BO448</f>
        <v>36</v>
      </c>
      <c r="AV449">
        <f t="shared" ref="AV449" si="6306">AU449/AT449</f>
        <v>8.2248115147361203E-3</v>
      </c>
      <c r="AW449">
        <f t="shared" ref="AW449" si="6307">BV449-BV448</f>
        <v>45</v>
      </c>
      <c r="AX449">
        <f t="shared" ref="AX449" si="6308">BW449-BW448</f>
        <v>0</v>
      </c>
      <c r="AY449">
        <f t="shared" ref="AY449" si="6309">CL449-CL448</f>
        <v>120</v>
      </c>
      <c r="AZ449">
        <f t="shared" ref="AZ449" si="6310">CM449-CM448</f>
        <v>2</v>
      </c>
      <c r="BA449">
        <f t="shared" ref="BA449" si="6311">CD449-CD448</f>
        <v>23</v>
      </c>
      <c r="BB449">
        <f t="shared" ref="BB449" si="6312">CE449-CE448</f>
        <v>0</v>
      </c>
      <c r="BC449">
        <f t="shared" ref="BC449" si="6313">AX449/AW449</f>
        <v>0</v>
      </c>
      <c r="BD449">
        <f t="shared" ref="BD449" si="6314">AZ449/AY449</f>
        <v>1.6666666666666666E-2</v>
      </c>
      <c r="BE449">
        <f t="shared" si="5659"/>
        <v>0</v>
      </c>
      <c r="BF449">
        <f t="shared" ref="BF449" si="6315">SUM(AU443:AU449)/SUM(AT443:AT449)</f>
        <v>1.9125821121778675E-2</v>
      </c>
      <c r="BG449">
        <f t="shared" ref="BG449" si="6316">SUM(AU436:AU449)/SUM(AT436:AT449)</f>
        <v>1.9876676686190878E-2</v>
      </c>
      <c r="BH449">
        <f t="shared" ref="BH449" si="6317">SUM(AX443:AX449)/SUM(AW443:AW449)</f>
        <v>3.7499999999999999E-2</v>
      </c>
      <c r="BI449">
        <f t="shared" ref="BI449" si="6318">SUM(AZ443:AZ449)/SUM(AY443:AY449)</f>
        <v>5.4953560371517031E-2</v>
      </c>
      <c r="BJ449">
        <f t="shared" ref="BJ449" si="6319">SUM(BB443:BB449)/SUM(BA443:BA449)</f>
        <v>5.7803468208092483E-3</v>
      </c>
      <c r="BN449" s="20">
        <v>5091452</v>
      </c>
      <c r="BO449" s="20">
        <v>402578</v>
      </c>
      <c r="BP449" s="20">
        <v>1475419</v>
      </c>
      <c r="BQ449" s="20">
        <v>296377</v>
      </c>
      <c r="BR449" s="20">
        <v>306806</v>
      </c>
      <c r="BS449" s="20">
        <v>65303</v>
      </c>
      <c r="BT449" s="21">
        <f t="shared" si="5945"/>
        <v>1771796</v>
      </c>
      <c r="BU449" s="21">
        <f t="shared" si="2991"/>
        <v>372109</v>
      </c>
      <c r="BV449" s="20">
        <v>41810</v>
      </c>
      <c r="BW449" s="20">
        <v>3009</v>
      </c>
      <c r="BX449" s="20">
        <v>9533</v>
      </c>
      <c r="BY449" s="20">
        <v>3443</v>
      </c>
      <c r="BZ449" s="20">
        <v>2218</v>
      </c>
      <c r="CA449" s="20">
        <v>659</v>
      </c>
      <c r="CB449" s="21">
        <f t="shared" si="5946"/>
        <v>12976</v>
      </c>
      <c r="CC449" s="21">
        <f t="shared" si="2993"/>
        <v>2877</v>
      </c>
      <c r="CD449" s="20">
        <v>30851</v>
      </c>
      <c r="CE449" s="20">
        <v>1753</v>
      </c>
      <c r="CF449" s="20">
        <v>5570</v>
      </c>
      <c r="CG449" s="20">
        <v>1877</v>
      </c>
      <c r="CH449" s="20">
        <v>1194</v>
      </c>
      <c r="CI449" s="20">
        <v>465</v>
      </c>
      <c r="CJ449" s="21">
        <f t="shared" si="5947"/>
        <v>7447</v>
      </c>
      <c r="CK449" s="21">
        <f t="shared" si="2995"/>
        <v>1659</v>
      </c>
      <c r="CL449" s="20">
        <v>225482</v>
      </c>
      <c r="CM449" s="20">
        <v>17472</v>
      </c>
      <c r="CN449" s="20">
        <v>68917</v>
      </c>
      <c r="CO449" s="20">
        <v>5345</v>
      </c>
      <c r="CP449" s="20">
        <v>15124</v>
      </c>
      <c r="CQ449" s="20">
        <v>863</v>
      </c>
      <c r="CR449" s="21">
        <f t="shared" si="5948"/>
        <v>74262</v>
      </c>
      <c r="CS449" s="21">
        <f t="shared" si="5167"/>
        <v>15987</v>
      </c>
    </row>
    <row r="450" spans="1:97" x14ac:dyDescent="0.35">
      <c r="A450" s="14">
        <f t="shared" si="2761"/>
        <v>44356</v>
      </c>
      <c r="B450" s="9">
        <f t="shared" si="5913"/>
        <v>1773559</v>
      </c>
      <c r="C450">
        <f t="shared" ref="C450" si="6320">BU450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321">-(J450-J449)+L450</f>
        <v>1</v>
      </c>
      <c r="N450" s="7">
        <f t="shared" ref="N450" si="6322">B450-C450</f>
        <v>1401320</v>
      </c>
      <c r="O450" s="4">
        <f t="shared" ref="O450" si="6323">C450/B450</f>
        <v>0.20988250179441451</v>
      </c>
      <c r="R450">
        <f t="shared" ref="R450" si="6324">C450-C449</f>
        <v>130</v>
      </c>
      <c r="S450">
        <f t="shared" ref="S450" si="6325">N450-N449</f>
        <v>1633</v>
      </c>
      <c r="T450" s="8">
        <f t="shared" ref="T450" si="6326">R450/V450</f>
        <v>7.3737946681792399E-2</v>
      </c>
      <c r="U450" s="8">
        <f t="shared" ref="U450" si="6327">SUM(R444:R450)/SUM(V444:V450)</f>
        <v>6.636082364237704E-2</v>
      </c>
      <c r="V450">
        <f t="shared" ref="V450" si="6328">B450-B449</f>
        <v>1763</v>
      </c>
      <c r="W450">
        <f t="shared" ref="W450" si="6329">C450-D450-E450</f>
        <v>3101</v>
      </c>
      <c r="X450" s="3">
        <f t="shared" ref="X450" si="6330">F450/W450</f>
        <v>2.7410512737826506E-2</v>
      </c>
      <c r="Y450">
        <f t="shared" ref="Y450" si="6331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332">Z450-AC450-AF450</f>
        <v>36</v>
      </c>
      <c r="AJ450">
        <f t="shared" ref="AJ450" si="6333">AA450-AD450-AG450</f>
        <v>14</v>
      </c>
      <c r="AK450">
        <f t="shared" ref="AK450" si="6334">AB450-AE450-AH450</f>
        <v>171</v>
      </c>
      <c r="AT450">
        <f t="shared" ref="AT450" si="6335">BN450-BN449</f>
        <v>7721</v>
      </c>
      <c r="AU450">
        <f t="shared" ref="AU450" si="6336">BO450-BO449</f>
        <v>169</v>
      </c>
      <c r="AV450">
        <f t="shared" ref="AV450" si="6337">AU450/AT450</f>
        <v>2.1888356430514181E-2</v>
      </c>
      <c r="AW450">
        <f t="shared" ref="AW450" si="6338">BV450-BV449</f>
        <v>74</v>
      </c>
      <c r="AX450">
        <f t="shared" ref="AX450" si="6339">BW450-BW449</f>
        <v>5</v>
      </c>
      <c r="AY450">
        <f t="shared" ref="AY450" si="6340">CL450-CL449</f>
        <v>521</v>
      </c>
      <c r="AZ450">
        <f t="shared" ref="AZ450" si="6341">CM450-CM449</f>
        <v>23</v>
      </c>
      <c r="BA450">
        <f t="shared" ref="BA450" si="6342">CD450-CD449</f>
        <v>37</v>
      </c>
      <c r="BB450">
        <f t="shared" ref="BB450" si="6343">CE450-CE449</f>
        <v>-2</v>
      </c>
      <c r="BC450">
        <f t="shared" ref="BC450" si="6344">AX450/AW450</f>
        <v>6.7567567567567571E-2</v>
      </c>
      <c r="BD450">
        <f t="shared" ref="BD450" si="6345">AZ450/AY450</f>
        <v>4.4145873320537425E-2</v>
      </c>
      <c r="BE450">
        <f t="shared" si="5659"/>
        <v>-5.4054054054054057E-2</v>
      </c>
      <c r="BF450">
        <f t="shared" ref="BF450" si="6346">SUM(AU444:AU450)/SUM(AT444:AT450)</f>
        <v>1.8901466628323444E-2</v>
      </c>
      <c r="BG450">
        <f t="shared" ref="BG450" si="6347">SUM(AU437:AU450)/SUM(AT437:AT450)</f>
        <v>1.9135985175080753E-2</v>
      </c>
      <c r="BH450">
        <f t="shared" ref="BH450" si="6348">SUM(AX444:AX450)/SUM(AW444:AW450)</f>
        <v>3.717472118959108E-2</v>
      </c>
      <c r="BI450">
        <f t="shared" ref="BI450" si="6349">SUM(AZ444:AZ450)/SUM(AY444:AY450)</f>
        <v>4.6227056424201225E-2</v>
      </c>
      <c r="BJ450">
        <f t="shared" ref="BJ450" si="6350">SUM(BB444:BB450)/SUM(BA444:BA450)</f>
        <v>1.1235955056179775E-2</v>
      </c>
      <c r="BN450" s="20">
        <v>5099173</v>
      </c>
      <c r="BO450" s="20">
        <v>402747</v>
      </c>
      <c r="BP450" s="20">
        <v>1476752</v>
      </c>
      <c r="BQ450" s="20">
        <v>296807</v>
      </c>
      <c r="BR450" s="20">
        <v>306918</v>
      </c>
      <c r="BS450" s="20">
        <v>65321</v>
      </c>
      <c r="BT450" s="21">
        <f t="shared" si="5945"/>
        <v>1773559</v>
      </c>
      <c r="BU450" s="21">
        <f t="shared" si="2991"/>
        <v>372239</v>
      </c>
      <c r="BV450" s="20">
        <v>41884</v>
      </c>
      <c r="BW450" s="20">
        <v>3014</v>
      </c>
      <c r="BX450" s="20">
        <v>9543</v>
      </c>
      <c r="BY450" s="20">
        <v>3449</v>
      </c>
      <c r="BZ450" s="20">
        <v>2219</v>
      </c>
      <c r="CA450" s="20">
        <v>659</v>
      </c>
      <c r="CB450" s="21">
        <f t="shared" si="5946"/>
        <v>12992</v>
      </c>
      <c r="CC450" s="21">
        <f t="shared" si="2993"/>
        <v>2878</v>
      </c>
      <c r="CD450" s="20">
        <v>30888</v>
      </c>
      <c r="CE450" s="20">
        <v>1751</v>
      </c>
      <c r="CF450" s="20">
        <v>5576</v>
      </c>
      <c r="CG450" s="20">
        <v>1877</v>
      </c>
      <c r="CH450" s="20">
        <v>1194</v>
      </c>
      <c r="CI450" s="20">
        <v>465</v>
      </c>
      <c r="CJ450" s="21">
        <f t="shared" si="5947"/>
        <v>7453</v>
      </c>
      <c r="CK450" s="21">
        <f t="shared" si="2995"/>
        <v>1659</v>
      </c>
      <c r="CL450" s="20">
        <v>226003</v>
      </c>
      <c r="CM450" s="20">
        <v>17495</v>
      </c>
      <c r="CN450" s="20">
        <v>69011</v>
      </c>
      <c r="CO450" s="20">
        <v>5345</v>
      </c>
      <c r="CP450" s="20">
        <v>15145</v>
      </c>
      <c r="CQ450" s="20">
        <v>863</v>
      </c>
      <c r="CR450" s="21">
        <f t="shared" si="5948"/>
        <v>74356</v>
      </c>
      <c r="CS450" s="21">
        <f t="shared" si="5167"/>
        <v>16008</v>
      </c>
    </row>
    <row r="451" spans="1:97" x14ac:dyDescent="0.35">
      <c r="A451" s="14">
        <f t="shared" si="2761"/>
        <v>44357</v>
      </c>
      <c r="B451" s="9">
        <f t="shared" si="5913"/>
        <v>1774522</v>
      </c>
      <c r="C451">
        <f t="shared" ref="C451" si="6351">BU451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352">-(J451-J450)+L451</f>
        <v>1</v>
      </c>
      <c r="N451" s="7">
        <f t="shared" ref="N451" si="6353">B451-C451</f>
        <v>1402236</v>
      </c>
      <c r="O451" s="4">
        <f t="shared" ref="O451" si="6354">C451/B451</f>
        <v>0.20979508848016537</v>
      </c>
      <c r="R451">
        <f t="shared" ref="R451" si="6355">C451-C450</f>
        <v>47</v>
      </c>
      <c r="S451">
        <f t="shared" ref="S451" si="6356">N451-N450</f>
        <v>916</v>
      </c>
      <c r="T451" s="8">
        <f t="shared" ref="T451" si="6357">R451/V451</f>
        <v>4.8805815160955349E-2</v>
      </c>
      <c r="U451" s="8">
        <f t="shared" ref="U451" si="6358">SUM(R445:R451)/SUM(V445:V451)</f>
        <v>6.5994607900597815E-2</v>
      </c>
      <c r="V451">
        <f t="shared" ref="V451" si="6359">B451-B450</f>
        <v>963</v>
      </c>
      <c r="W451">
        <f t="shared" ref="W451" si="6360">C451-D451-E451</f>
        <v>2921</v>
      </c>
      <c r="X451" s="3">
        <f t="shared" ref="X451" si="6361">F451/W451</f>
        <v>2.5333789798014379E-2</v>
      </c>
      <c r="Y451">
        <f t="shared" ref="Y451" si="6362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363">Z451-AC451-AF451</f>
        <v>35</v>
      </c>
      <c r="AJ451">
        <f t="shared" ref="AJ451" si="6364">AA451-AD451-AG451</f>
        <v>12</v>
      </c>
      <c r="AK451">
        <f t="shared" ref="AK451" si="6365">AB451-AE451-AH451</f>
        <v>180</v>
      </c>
      <c r="AT451">
        <f t="shared" ref="AT451" si="6366">BN451-BN450</f>
        <v>4298</v>
      </c>
      <c r="AU451">
        <f t="shared" ref="AU451" si="6367">BO451-BO450</f>
        <v>67</v>
      </c>
      <c r="AV451">
        <f t="shared" ref="AV451" si="6368">AU451/AT451</f>
        <v>1.5588645881805491E-2</v>
      </c>
      <c r="AW451">
        <f t="shared" ref="AW451" si="6369">BV451-BV450</f>
        <v>27</v>
      </c>
      <c r="AX451">
        <f t="shared" ref="AX451" si="6370">BW451-BW450</f>
        <v>-1</v>
      </c>
      <c r="AY451">
        <f t="shared" ref="AY451" si="6371">CL451-CL450</f>
        <v>201</v>
      </c>
      <c r="AZ451">
        <f t="shared" ref="AZ451" si="6372">CM451-CM450</f>
        <v>3</v>
      </c>
      <c r="BA451">
        <f t="shared" ref="BA451" si="6373">CD451-CD450</f>
        <v>13</v>
      </c>
      <c r="BB451">
        <f t="shared" ref="BB451" si="6374">CE451-CE450</f>
        <v>1</v>
      </c>
      <c r="BC451">
        <f t="shared" ref="BC451" si="6375">AX451/AW451</f>
        <v>-3.7037037037037035E-2</v>
      </c>
      <c r="BD451">
        <f t="shared" ref="BD451" si="6376">AZ451/AY451</f>
        <v>1.4925373134328358E-2</v>
      </c>
      <c r="BE451">
        <f t="shared" si="5659"/>
        <v>7.6923076923076927E-2</v>
      </c>
      <c r="BF451">
        <f t="shared" ref="BF451" si="6377">SUM(AU445:AU451)/SUM(AT445:AT451)</f>
        <v>1.8527055840488676E-2</v>
      </c>
      <c r="BG451">
        <f t="shared" ref="BG451" si="6378">SUM(AU438:AU451)/SUM(AT438:AT451)</f>
        <v>1.9467533704273062E-2</v>
      </c>
      <c r="BH451">
        <f t="shared" ref="BH451" si="6379">SUM(AX445:AX451)/SUM(AW445:AW451)</f>
        <v>1.9230769230769232E-2</v>
      </c>
      <c r="BI451">
        <f t="shared" ref="BI451" si="6380">SUM(AZ445:AZ451)/SUM(AY445:AY451)</f>
        <v>4.6184738955823292E-2</v>
      </c>
      <c r="BJ451">
        <f t="shared" ref="BJ451" si="6381">SUM(BB445:BB451)/SUM(BA445:BA451)</f>
        <v>1.2738853503184714E-2</v>
      </c>
      <c r="BN451" s="20">
        <v>5103471</v>
      </c>
      <c r="BO451" s="20">
        <v>402814</v>
      </c>
      <c r="BP451" s="20">
        <v>1477610</v>
      </c>
      <c r="BQ451" s="20">
        <v>296912</v>
      </c>
      <c r="BR451" s="20">
        <v>306957</v>
      </c>
      <c r="BS451" s="20">
        <v>65329</v>
      </c>
      <c r="BT451" s="21">
        <f t="shared" si="5945"/>
        <v>1774522</v>
      </c>
      <c r="BU451" s="21">
        <f t="shared" si="2991"/>
        <v>372286</v>
      </c>
      <c r="BV451" s="20">
        <v>41911</v>
      </c>
      <c r="BW451" s="20">
        <v>3013</v>
      </c>
      <c r="BX451" s="20">
        <v>9546</v>
      </c>
      <c r="BY451" s="20">
        <v>3451</v>
      </c>
      <c r="BZ451" s="20">
        <v>2218</v>
      </c>
      <c r="CA451" s="20">
        <v>659</v>
      </c>
      <c r="CB451" s="21">
        <f t="shared" si="5946"/>
        <v>12997</v>
      </c>
      <c r="CC451" s="21">
        <f t="shared" si="2993"/>
        <v>2877</v>
      </c>
      <c r="CD451" s="20">
        <v>30901</v>
      </c>
      <c r="CE451" s="20">
        <v>1752</v>
      </c>
      <c r="CF451" s="20">
        <v>5576</v>
      </c>
      <c r="CG451" s="20">
        <v>1880</v>
      </c>
      <c r="CH451" s="20">
        <v>1194</v>
      </c>
      <c r="CI451" s="20">
        <v>465</v>
      </c>
      <c r="CJ451" s="21">
        <f t="shared" si="5947"/>
        <v>7456</v>
      </c>
      <c r="CK451" s="21">
        <f t="shared" si="2995"/>
        <v>1659</v>
      </c>
      <c r="CL451" s="20">
        <v>226204</v>
      </c>
      <c r="CM451" s="20">
        <v>17498</v>
      </c>
      <c r="CN451" s="20">
        <v>69075</v>
      </c>
      <c r="CO451" s="20">
        <v>5331</v>
      </c>
      <c r="CP451" s="20">
        <v>15150</v>
      </c>
      <c r="CQ451" s="20">
        <v>863</v>
      </c>
      <c r="CR451" s="21">
        <f t="shared" si="5948"/>
        <v>74406</v>
      </c>
      <c r="CS451" s="21">
        <f t="shared" si="5167"/>
        <v>16013</v>
      </c>
    </row>
    <row r="452" spans="1:97" x14ac:dyDescent="0.35">
      <c r="A452" s="14">
        <f t="shared" si="2761"/>
        <v>44358</v>
      </c>
      <c r="B452" s="9">
        <f t="shared" si="5913"/>
        <v>1775675</v>
      </c>
      <c r="C452">
        <f t="shared" ref="C452" si="6382">BU452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383">-(J452-J451)+L452</f>
        <v>5</v>
      </c>
      <c r="N452" s="7">
        <f t="shared" ref="N452" si="6384">B452-C452</f>
        <v>1403299</v>
      </c>
      <c r="O452" s="4">
        <f t="shared" ref="O452" si="6385">C452/B452</f>
        <v>0.20970954707364806</v>
      </c>
      <c r="R452">
        <f t="shared" ref="R452" si="6386">C452-C451</f>
        <v>90</v>
      </c>
      <c r="S452">
        <f t="shared" ref="S452" si="6387">N452-N451</f>
        <v>1063</v>
      </c>
      <c r="T452" s="8">
        <f t="shared" ref="T452" si="6388">R452/V452</f>
        <v>7.8057241977450134E-2</v>
      </c>
      <c r="U452" s="8">
        <f t="shared" ref="U452" si="6389">SUM(R446:R452)/SUM(V446:V452)</f>
        <v>6.6069016333046793E-2</v>
      </c>
      <c r="V452">
        <f t="shared" ref="V452" si="6390">B452-B451</f>
        <v>1153</v>
      </c>
      <c r="W452">
        <f t="shared" ref="W452" si="6391">C452-D452-E452</f>
        <v>2800</v>
      </c>
      <c r="X452" s="3">
        <f t="shared" ref="X452" si="6392">F452/W452</f>
        <v>2.6071428571428572E-2</v>
      </c>
      <c r="Y452">
        <f t="shared" ref="Y452" si="6393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394">Z452-AC452-AF452</f>
        <v>28</v>
      </c>
      <c r="AJ452">
        <f t="shared" ref="AJ452" si="6395">AA452-AD452-AG452</f>
        <v>11</v>
      </c>
      <c r="AK452">
        <f t="shared" ref="AK452" si="6396">AB452-AE452-AH452</f>
        <v>183</v>
      </c>
      <c r="AT452">
        <f t="shared" ref="AT452" si="6397">BN452-BN451</f>
        <v>5116</v>
      </c>
      <c r="AU452">
        <f t="shared" ref="AU452" si="6398">BO452-BO451</f>
        <v>75</v>
      </c>
      <c r="AV452">
        <f t="shared" ref="AV452" si="6399">AU452/AT452</f>
        <v>1.4659890539483971E-2</v>
      </c>
      <c r="AW452">
        <f t="shared" ref="AW452" si="6400">BV452-BV451</f>
        <v>78</v>
      </c>
      <c r="AX452">
        <f t="shared" ref="AX452" si="6401">BW452-BW451</f>
        <v>-1</v>
      </c>
      <c r="AY452">
        <f t="shared" ref="AY452" si="6402">CL452-CL451</f>
        <v>191</v>
      </c>
      <c r="AZ452">
        <f t="shared" ref="AZ452" si="6403">CM452-CM451</f>
        <v>23</v>
      </c>
      <c r="BA452">
        <f t="shared" ref="BA452" si="6404">CD452-CD451</f>
        <v>27</v>
      </c>
      <c r="BB452">
        <f t="shared" ref="BB452" si="6405">CE452-CE451</f>
        <v>0</v>
      </c>
      <c r="BC452">
        <f t="shared" ref="BC452" si="6406">AX452/AW452</f>
        <v>-1.282051282051282E-2</v>
      </c>
      <c r="BD452">
        <f t="shared" ref="BD452" si="6407">AZ452/AY452</f>
        <v>0.12041884816753927</v>
      </c>
      <c r="BE452">
        <f t="shared" si="5659"/>
        <v>0</v>
      </c>
      <c r="BF452">
        <f t="shared" ref="BF452" si="6408">SUM(AU446:AU452)/SUM(AT446:AT452)</f>
        <v>1.8815901102896618E-2</v>
      </c>
      <c r="BG452">
        <f t="shared" ref="BG452" si="6409">SUM(AU439:AU452)/SUM(AT439:AT452)</f>
        <v>1.8523535870634704E-2</v>
      </c>
      <c r="BH452">
        <f t="shared" ref="BH452" si="6410">SUM(AX446:AX452)/SUM(AW446:AW452)</f>
        <v>2.0761245674740483E-2</v>
      </c>
      <c r="BI452">
        <f t="shared" ref="BI452" si="6411">SUM(AZ446:AZ452)/SUM(AY446:AY452)</f>
        <v>5.8823529411764705E-2</v>
      </c>
      <c r="BJ452">
        <f t="shared" ref="BJ452" si="6412">SUM(BB446:BB452)/SUM(BA446:BA452)</f>
        <v>-7.1428571428571426E-3</v>
      </c>
      <c r="BN452" s="20">
        <v>5108587</v>
      </c>
      <c r="BO452" s="20">
        <v>402889</v>
      </c>
      <c r="BP452" s="20">
        <v>1478498</v>
      </c>
      <c r="BQ452" s="20">
        <v>297177</v>
      </c>
      <c r="BR452" s="20">
        <v>307031</v>
      </c>
      <c r="BS452" s="20">
        <v>65345</v>
      </c>
      <c r="BT452" s="21">
        <f t="shared" si="5945"/>
        <v>1775675</v>
      </c>
      <c r="BU452" s="21">
        <f t="shared" si="2991"/>
        <v>372376</v>
      </c>
      <c r="BV452" s="20">
        <v>41989</v>
      </c>
      <c r="BW452" s="20">
        <v>3012</v>
      </c>
      <c r="BX452" s="20">
        <v>9549</v>
      </c>
      <c r="BY452" s="20">
        <v>3455</v>
      </c>
      <c r="BZ452" s="20">
        <v>2218</v>
      </c>
      <c r="CA452" s="20">
        <v>659</v>
      </c>
      <c r="CB452" s="21">
        <f t="shared" si="5946"/>
        <v>13004</v>
      </c>
      <c r="CC452" s="21">
        <f t="shared" si="2993"/>
        <v>2877</v>
      </c>
      <c r="CD452" s="20">
        <v>30928</v>
      </c>
      <c r="CE452" s="20">
        <v>1752</v>
      </c>
      <c r="CF452" s="20">
        <v>5585</v>
      </c>
      <c r="CG452" s="20">
        <v>1876</v>
      </c>
      <c r="CH452" s="20">
        <v>1194</v>
      </c>
      <c r="CI452" s="20">
        <v>465</v>
      </c>
      <c r="CJ452" s="21">
        <f t="shared" si="5947"/>
        <v>7461</v>
      </c>
      <c r="CK452" s="21">
        <f t="shared" si="2995"/>
        <v>1659</v>
      </c>
      <c r="CL452" s="20">
        <v>226395</v>
      </c>
      <c r="CM452" s="20">
        <v>17521</v>
      </c>
      <c r="CN452" s="20">
        <v>69112</v>
      </c>
      <c r="CO452" s="20">
        <v>5337</v>
      </c>
      <c r="CP452" s="20">
        <v>15169</v>
      </c>
      <c r="CQ452" s="20">
        <v>865</v>
      </c>
      <c r="CR452" s="21">
        <f t="shared" si="5948"/>
        <v>74449</v>
      </c>
      <c r="CS452" s="21">
        <f t="shared" si="5167"/>
        <v>16034</v>
      </c>
    </row>
    <row r="453" spans="1:97" x14ac:dyDescent="0.35">
      <c r="A453" s="14">
        <f t="shared" si="2761"/>
        <v>44359</v>
      </c>
      <c r="B453" s="9">
        <f t="shared" si="5913"/>
        <v>1777671</v>
      </c>
      <c r="C453">
        <f t="shared" ref="C453" si="6413">BU453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414">-(J453-J452)+L453</f>
        <v>3</v>
      </c>
      <c r="N453" s="7">
        <f t="shared" ref="N453" si="6415">B453-C453</f>
        <v>1405155</v>
      </c>
      <c r="O453" s="4">
        <f t="shared" ref="O453" si="6416">C453/B453</f>
        <v>0.20955283626722829</v>
      </c>
      <c r="R453">
        <f t="shared" ref="R453" si="6417">C453-C452</f>
        <v>140</v>
      </c>
      <c r="S453">
        <f t="shared" ref="S453" si="6418">N453-N452</f>
        <v>1856</v>
      </c>
      <c r="T453" s="8">
        <f t="shared" ref="T453" si="6419">R453/V453</f>
        <v>7.0140280561122245E-2</v>
      </c>
      <c r="U453" s="8">
        <f t="shared" ref="U453" si="6420">SUM(R447:R453)/SUM(V447:V453)</f>
        <v>6.7135325131810197E-2</v>
      </c>
      <c r="V453">
        <f t="shared" ref="V453" si="6421">B453-B452</f>
        <v>1996</v>
      </c>
      <c r="W453">
        <f t="shared" ref="W453" si="6422">C453-D453-E453</f>
        <v>2726</v>
      </c>
      <c r="X453" s="3">
        <f t="shared" ref="X453" si="6423">F453/W453</f>
        <v>2.9713866471019808E-2</v>
      </c>
      <c r="Y453">
        <f t="shared" ref="Y453" si="6424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425">Z453-AC453-AF453</f>
        <v>27</v>
      </c>
      <c r="AJ453">
        <f t="shared" ref="AJ453" si="6426">AA453-AD453-AG453</f>
        <v>11</v>
      </c>
      <c r="AK453">
        <f t="shared" ref="AK453" si="6427">AB453-AE453-AH453</f>
        <v>191</v>
      </c>
      <c r="AT453">
        <f t="shared" ref="AT453" si="6428">BN453-BN452</f>
        <v>7472</v>
      </c>
      <c r="AU453">
        <f t="shared" ref="AU453" si="6429">BO453-BO452</f>
        <v>190</v>
      </c>
      <c r="AV453">
        <f t="shared" ref="AV453" si="6430">AU453/AT453</f>
        <v>2.5428265524625269E-2</v>
      </c>
      <c r="AW453">
        <f t="shared" ref="AW453" si="6431">BV453-BV452</f>
        <v>34</v>
      </c>
      <c r="AX453">
        <f t="shared" ref="AX453" si="6432">BW453-BW452</f>
        <v>5</v>
      </c>
      <c r="AY453">
        <f t="shared" ref="AY453" si="6433">CL453-CL452</f>
        <v>406</v>
      </c>
      <c r="AZ453">
        <f t="shared" ref="AZ453" si="6434">CM453-CM452</f>
        <v>21</v>
      </c>
      <c r="BA453">
        <f t="shared" ref="BA453" si="6435">CD453-CD452</f>
        <v>104</v>
      </c>
      <c r="BB453">
        <f t="shared" ref="BB453" si="6436">CE453-CE452</f>
        <v>-2</v>
      </c>
      <c r="BC453">
        <f t="shared" ref="BC453" si="6437">AX453/AW453</f>
        <v>0.14705882352941177</v>
      </c>
      <c r="BD453">
        <f t="shared" ref="BD453" si="6438">AZ453/AY453</f>
        <v>5.1724137931034482E-2</v>
      </c>
      <c r="BE453">
        <f t="shared" si="5659"/>
        <v>-1.9230769230769232E-2</v>
      </c>
      <c r="BF453">
        <f t="shared" ref="BF453" si="6439">SUM(AU447:AU453)/SUM(AT447:AT453)</f>
        <v>1.982662683769695E-2</v>
      </c>
      <c r="BG453">
        <f t="shared" ref="BG453" si="6440">SUM(AU440:AU453)/SUM(AT440:AT453)</f>
        <v>1.9494767638123103E-2</v>
      </c>
      <c r="BH453">
        <f t="shared" ref="BH453" si="6441">SUM(AX447:AX453)/SUM(AW447:AW453)</f>
        <v>2.8776978417266189E-2</v>
      </c>
      <c r="BI453">
        <f t="shared" ref="BI453" si="6442">SUM(AZ447:AZ453)/SUM(AY447:AY453)</f>
        <v>5.321100917431193E-2</v>
      </c>
      <c r="BJ453">
        <f t="shared" ref="BJ453" si="6443">SUM(BB447:BB453)/SUM(BA447:BA453)</f>
        <v>-4.608294930875576E-3</v>
      </c>
      <c r="BN453" s="20">
        <v>5116059</v>
      </c>
      <c r="BO453" s="20">
        <v>403079</v>
      </c>
      <c r="BP453" s="20">
        <v>1480215</v>
      </c>
      <c r="BQ453" s="20">
        <v>297456</v>
      </c>
      <c r="BR453" s="20">
        <v>307151</v>
      </c>
      <c r="BS453" s="20">
        <v>65365</v>
      </c>
      <c r="BT453" s="21">
        <f t="shared" si="5945"/>
        <v>1777671</v>
      </c>
      <c r="BU453" s="21">
        <f t="shared" si="2991"/>
        <v>372516</v>
      </c>
      <c r="BV453" s="20">
        <v>42023</v>
      </c>
      <c r="BW453" s="20">
        <v>3017</v>
      </c>
      <c r="BX453" s="20">
        <v>9560</v>
      </c>
      <c r="BY453" s="20">
        <v>3458</v>
      </c>
      <c r="BZ453" s="20">
        <v>2218</v>
      </c>
      <c r="CA453" s="20">
        <v>659</v>
      </c>
      <c r="CB453" s="21">
        <f t="shared" si="5946"/>
        <v>13018</v>
      </c>
      <c r="CC453" s="21">
        <f t="shared" si="2993"/>
        <v>2877</v>
      </c>
      <c r="CD453" s="20">
        <v>31032</v>
      </c>
      <c r="CE453" s="20">
        <v>1750</v>
      </c>
      <c r="CF453" s="20">
        <v>5598</v>
      </c>
      <c r="CG453" s="20">
        <v>1877</v>
      </c>
      <c r="CH453" s="20">
        <v>1194</v>
      </c>
      <c r="CI453" s="20">
        <v>465</v>
      </c>
      <c r="CJ453" s="21">
        <f t="shared" si="5947"/>
        <v>7475</v>
      </c>
      <c r="CK453" s="21">
        <f t="shared" si="2995"/>
        <v>1659</v>
      </c>
      <c r="CL453" s="20">
        <v>226801</v>
      </c>
      <c r="CM453" s="20">
        <v>17542</v>
      </c>
      <c r="CN453" s="20">
        <v>69232</v>
      </c>
      <c r="CO453" s="20">
        <v>5341</v>
      </c>
      <c r="CP453" s="20">
        <v>15189</v>
      </c>
      <c r="CQ453" s="20">
        <v>864</v>
      </c>
      <c r="CR453" s="21">
        <f t="shared" si="5948"/>
        <v>74573</v>
      </c>
      <c r="CS453" s="21">
        <f t="shared" si="5167"/>
        <v>16053</v>
      </c>
    </row>
    <row r="454" spans="1:97" x14ac:dyDescent="0.35">
      <c r="A454" s="14">
        <f t="shared" si="2761"/>
        <v>44360</v>
      </c>
      <c r="B454" s="9">
        <f t="shared" si="5913"/>
        <v>1778410</v>
      </c>
      <c r="C454">
        <f t="shared" ref="C454" si="6444">BU454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445">-(J454-J453)+L454</f>
        <v>6</v>
      </c>
      <c r="N454" s="7">
        <f t="shared" ref="N454" si="6446">B454-C454</f>
        <v>1405839</v>
      </c>
      <c r="O454" s="4">
        <f t="shared" ref="O454" si="6447">C454/B454</f>
        <v>0.20949668524131107</v>
      </c>
      <c r="R454">
        <f t="shared" ref="R454" si="6448">C454-C453</f>
        <v>55</v>
      </c>
      <c r="S454">
        <f t="shared" ref="S454" si="6449">N454-N453</f>
        <v>684</v>
      </c>
      <c r="T454" s="8">
        <f t="shared" ref="T454" si="6450">R454/V454</f>
        <v>7.4424898511502025E-2</v>
      </c>
      <c r="U454" s="8">
        <f t="shared" ref="U454" si="6451">SUM(R448:R454)/SUM(V448:V454)</f>
        <v>6.7703461178671653E-2</v>
      </c>
      <c r="V454">
        <f t="shared" ref="V454" si="6452">B454-B453</f>
        <v>739</v>
      </c>
      <c r="W454">
        <f t="shared" ref="W454" si="6453">C454-D454-E454</f>
        <v>2706</v>
      </c>
      <c r="X454" s="3">
        <f t="shared" ref="X454" si="6454">F454/W454</f>
        <v>3.0303030303030304E-2</v>
      </c>
      <c r="Y454">
        <f t="shared" ref="Y454" si="6455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456">Z454-AC454-AF454</f>
        <v>27</v>
      </c>
      <c r="AJ454">
        <f t="shared" ref="AJ454" si="6457">AA454-AD454-AG454</f>
        <v>11</v>
      </c>
      <c r="AK454">
        <f t="shared" ref="AK454" si="6458">AB454-AE454-AH454</f>
        <v>205</v>
      </c>
      <c r="AT454">
        <f t="shared" ref="AT454" si="6459">BN454-BN453</f>
        <v>2524</v>
      </c>
      <c r="AU454">
        <f t="shared" ref="AU454" si="6460">BO454-BO453</f>
        <v>46</v>
      </c>
      <c r="AV454">
        <f t="shared" ref="AV454" si="6461">AU454/AT454</f>
        <v>1.8225039619651346E-2</v>
      </c>
      <c r="AW454">
        <f t="shared" ref="AW454" si="6462">BV454-BV453</f>
        <v>3</v>
      </c>
      <c r="AX454">
        <f t="shared" ref="AX454" si="6463">BW454-BW453</f>
        <v>-7</v>
      </c>
      <c r="AY454">
        <f t="shared" ref="AY454" si="6464">CL454-CL453</f>
        <v>72</v>
      </c>
      <c r="AZ454">
        <f t="shared" ref="AZ454" si="6465">CM454-CM453</f>
        <v>17</v>
      </c>
      <c r="BA454">
        <f t="shared" ref="BA454" si="6466">CD454-CD453</f>
        <v>6</v>
      </c>
      <c r="BB454">
        <f t="shared" ref="BB454" si="6467">CE454-CE453</f>
        <v>3</v>
      </c>
      <c r="BC454">
        <f t="shared" ref="BC454" si="6468">AX454/AW454</f>
        <v>-2.3333333333333335</v>
      </c>
      <c r="BD454">
        <f t="shared" ref="BD454" si="6469">AZ454/AY454</f>
        <v>0.2361111111111111</v>
      </c>
      <c r="BE454">
        <f t="shared" si="5659"/>
        <v>0.5</v>
      </c>
      <c r="BF454">
        <f t="shared" ref="BF454" si="6470">SUM(AU448:AU454)/SUM(AT448:AT454)</f>
        <v>1.9614711033274956E-2</v>
      </c>
      <c r="BG454">
        <f t="shared" ref="BG454" si="6471">SUM(AU441:AU454)/SUM(AT441:AT454)</f>
        <v>1.9520107388556408E-2</v>
      </c>
      <c r="BH454">
        <f t="shared" ref="BH454" si="6472">SUM(AX448:AX454)/SUM(AW448:AW454)</f>
        <v>1.098901098901099E-2</v>
      </c>
      <c r="BI454">
        <f t="shared" ref="BI454" si="6473">SUM(AZ448:AZ454)/SUM(AY448:AY454)</f>
        <v>6.1538461538461542E-2</v>
      </c>
      <c r="BJ454">
        <f t="shared" ref="BJ454" si="6474">SUM(BB448:BB454)/SUM(BA448:BA454)</f>
        <v>0</v>
      </c>
      <c r="BN454" s="20">
        <v>5118583</v>
      </c>
      <c r="BO454" s="20">
        <v>403125</v>
      </c>
      <c r="BP454" s="20">
        <v>1480897</v>
      </c>
      <c r="BQ454" s="20">
        <v>297513</v>
      </c>
      <c r="BR454" s="20">
        <v>307197</v>
      </c>
      <c r="BS454" s="20">
        <v>65374</v>
      </c>
      <c r="BT454" s="21">
        <f t="shared" si="5945"/>
        <v>1778410</v>
      </c>
      <c r="BU454" s="21">
        <f t="shared" si="2991"/>
        <v>372571</v>
      </c>
      <c r="BV454" s="20">
        <v>42026</v>
      </c>
      <c r="BW454" s="20">
        <v>3010</v>
      </c>
      <c r="BX454" s="20">
        <v>9560</v>
      </c>
      <c r="BY454" s="20">
        <v>3458</v>
      </c>
      <c r="BZ454" s="20">
        <v>2218</v>
      </c>
      <c r="CA454" s="20">
        <v>659</v>
      </c>
      <c r="CB454" s="21">
        <f t="shared" si="5946"/>
        <v>13018</v>
      </c>
      <c r="CC454" s="21">
        <f t="shared" si="2993"/>
        <v>2877</v>
      </c>
      <c r="CD454" s="20">
        <v>31038</v>
      </c>
      <c r="CE454" s="20">
        <v>1753</v>
      </c>
      <c r="CF454" s="20">
        <v>5590</v>
      </c>
      <c r="CG454" s="20">
        <v>1876</v>
      </c>
      <c r="CH454" s="20">
        <v>1194</v>
      </c>
      <c r="CI454" s="20">
        <v>465</v>
      </c>
      <c r="CJ454" s="21">
        <f t="shared" si="5947"/>
        <v>7466</v>
      </c>
      <c r="CK454" s="21">
        <f t="shared" si="2995"/>
        <v>1659</v>
      </c>
      <c r="CL454" s="20">
        <v>226873</v>
      </c>
      <c r="CM454" s="20">
        <v>17559</v>
      </c>
      <c r="CN454" s="20">
        <v>69266</v>
      </c>
      <c r="CO454" s="20">
        <v>5343</v>
      </c>
      <c r="CP454" s="20">
        <v>15202</v>
      </c>
      <c r="CQ454" s="20">
        <v>864</v>
      </c>
      <c r="CR454" s="21">
        <f t="shared" si="5948"/>
        <v>74609</v>
      </c>
      <c r="CS454" s="21">
        <f t="shared" si="5167"/>
        <v>16066</v>
      </c>
    </row>
    <row r="455" spans="1:97" x14ac:dyDescent="0.35">
      <c r="A455" s="14">
        <f t="shared" si="2761"/>
        <v>44361</v>
      </c>
      <c r="B455" s="9">
        <f t="shared" si="5913"/>
        <v>1779146</v>
      </c>
      <c r="C455">
        <f t="shared" ref="C455" si="6475">BU455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476">-(J455-J454)+L455</f>
        <v>7</v>
      </c>
      <c r="N455" s="7">
        <f t="shared" ref="N455" si="6477">B455-C455</f>
        <v>1406521</v>
      </c>
      <c r="O455" s="4">
        <f t="shared" ref="O455" si="6478">C455/B455</f>
        <v>0.2094403719537351</v>
      </c>
      <c r="R455">
        <f t="shared" ref="R455" si="6479">C455-C454</f>
        <v>54</v>
      </c>
      <c r="S455">
        <f t="shared" ref="S455" si="6480">N455-N454</f>
        <v>682</v>
      </c>
      <c r="T455" s="8">
        <f t="shared" ref="T455" si="6481">R455/V455</f>
        <v>7.3369565217391311E-2</v>
      </c>
      <c r="U455" s="8">
        <f t="shared" ref="U455" si="6482">SUM(R449:R455)/SUM(V449:V455)</f>
        <v>6.692773228907084E-2</v>
      </c>
      <c r="V455">
        <f t="shared" ref="V455" si="6483">B455-B454</f>
        <v>736</v>
      </c>
      <c r="W455">
        <f t="shared" ref="W455" si="6484">C455-D455-E455</f>
        <v>2660</v>
      </c>
      <c r="X455" s="3">
        <f t="shared" ref="X455" si="6485">F455/W455</f>
        <v>3.0451127819548871E-2</v>
      </c>
      <c r="Y455">
        <f t="shared" ref="Y455" si="6486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487">Z455-AC455-AF455</f>
        <v>26</v>
      </c>
      <c r="AJ455">
        <f t="shared" ref="AJ455" si="6488">AA455-AD455-AG455</f>
        <v>9</v>
      </c>
      <c r="AK455">
        <f t="shared" ref="AK455" si="6489">AB455-AE455-AH455</f>
        <v>214</v>
      </c>
      <c r="AT455">
        <f t="shared" ref="AT455" si="6490">BN455-BN454</f>
        <v>2155</v>
      </c>
      <c r="AU455">
        <f t="shared" ref="AU455" si="6491">BO455-BO454</f>
        <v>66</v>
      </c>
      <c r="AV455">
        <f t="shared" ref="AV455" si="6492">AU455/AT455</f>
        <v>3.0626450116009282E-2</v>
      </c>
      <c r="AW455">
        <f t="shared" ref="AW455" si="6493">BV455-BV454</f>
        <v>16</v>
      </c>
      <c r="AX455">
        <f t="shared" ref="AX455" si="6494">BW455-BW454</f>
        <v>3</v>
      </c>
      <c r="AY455">
        <f t="shared" ref="AY455" si="6495">CL455-CL454</f>
        <v>108</v>
      </c>
      <c r="AZ455">
        <f t="shared" ref="AZ455" si="6496">CM455-CM454</f>
        <v>1</v>
      </c>
      <c r="BA455">
        <f t="shared" ref="BA455" si="6497">CD455-CD454</f>
        <v>7</v>
      </c>
      <c r="BB455">
        <f t="shared" ref="BB455" si="6498">CE455-CE454</f>
        <v>0</v>
      </c>
      <c r="BC455">
        <f t="shared" ref="BC455" si="6499">AX455/AW455</f>
        <v>0.1875</v>
      </c>
      <c r="BD455">
        <f t="shared" ref="BD455" si="6500">AZ455/AY455</f>
        <v>9.2592592592592587E-3</v>
      </c>
      <c r="BE455">
        <f t="shared" si="5659"/>
        <v>0</v>
      </c>
      <c r="BF455">
        <f t="shared" ref="BF455" si="6501">SUM(AU449:AU455)/SUM(AT449:AT455)</f>
        <v>1.9279327451504621E-2</v>
      </c>
      <c r="BG455">
        <f t="shared" ref="BG455" si="6502">SUM(AU442:AU455)/SUM(AT442:AT455)</f>
        <v>1.9265113270428753E-2</v>
      </c>
      <c r="BH455">
        <f t="shared" ref="BH455" si="6503">SUM(AX449:AX455)/SUM(AW449:AW455)</f>
        <v>1.444043321299639E-2</v>
      </c>
      <c r="BI455">
        <f t="shared" ref="BI455" si="6504">SUM(AZ449:AZ455)/SUM(AY449:AY455)</f>
        <v>5.5589870290302656E-2</v>
      </c>
      <c r="BJ455">
        <f t="shared" ref="BJ455" si="6505">SUM(BB449:BB455)/SUM(BA449:BA455)</f>
        <v>0</v>
      </c>
      <c r="BN455" s="20">
        <v>5120738</v>
      </c>
      <c r="BO455" s="20">
        <v>403191</v>
      </c>
      <c r="BP455" s="20">
        <v>1481602</v>
      </c>
      <c r="BQ455" s="20">
        <v>297544</v>
      </c>
      <c r="BR455" s="20">
        <v>307246</v>
      </c>
      <c r="BS455" s="20">
        <v>65379</v>
      </c>
      <c r="BT455" s="21">
        <f t="shared" si="5945"/>
        <v>1779146</v>
      </c>
      <c r="BU455" s="21">
        <f t="shared" si="2991"/>
        <v>372625</v>
      </c>
      <c r="BV455" s="20">
        <v>42042</v>
      </c>
      <c r="BW455" s="20">
        <v>3013</v>
      </c>
      <c r="BX455" s="20">
        <v>9564</v>
      </c>
      <c r="BY455" s="20">
        <v>3461</v>
      </c>
      <c r="BZ455" s="20">
        <v>2218</v>
      </c>
      <c r="CA455" s="20">
        <v>659</v>
      </c>
      <c r="CB455" s="21">
        <f t="shared" si="5946"/>
        <v>13025</v>
      </c>
      <c r="CC455" s="21">
        <f t="shared" si="2993"/>
        <v>2877</v>
      </c>
      <c r="CD455" s="20">
        <v>31045</v>
      </c>
      <c r="CE455" s="20">
        <v>1753</v>
      </c>
      <c r="CF455" s="20">
        <v>5590</v>
      </c>
      <c r="CG455" s="20">
        <v>1878</v>
      </c>
      <c r="CH455" s="20">
        <v>1195</v>
      </c>
      <c r="CI455" s="20">
        <v>465</v>
      </c>
      <c r="CJ455" s="21">
        <f t="shared" si="5947"/>
        <v>7468</v>
      </c>
      <c r="CK455" s="21">
        <f t="shared" si="2995"/>
        <v>1660</v>
      </c>
      <c r="CL455" s="20">
        <v>226981</v>
      </c>
      <c r="CM455" s="20">
        <v>17560</v>
      </c>
      <c r="CN455" s="20">
        <v>69300</v>
      </c>
      <c r="CO455" s="20">
        <v>5343</v>
      </c>
      <c r="CP455" s="20">
        <v>15207</v>
      </c>
      <c r="CQ455" s="20">
        <v>864</v>
      </c>
      <c r="CR455" s="21">
        <f t="shared" si="5948"/>
        <v>74643</v>
      </c>
      <c r="CS455" s="21">
        <f t="shared" si="5167"/>
        <v>16071</v>
      </c>
    </row>
    <row r="456" spans="1:97" x14ac:dyDescent="0.35">
      <c r="A456" s="14">
        <f t="shared" si="2761"/>
        <v>44362</v>
      </c>
      <c r="B456" s="9">
        <f t="shared" si="5913"/>
        <v>1780117</v>
      </c>
      <c r="C456">
        <f t="shared" ref="C456" si="6506">BU456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507">-(J456-J455)+L456</f>
        <v>8</v>
      </c>
      <c r="N456" s="7">
        <f t="shared" ref="N456" si="6508">B456-C456</f>
        <v>1407402</v>
      </c>
      <c r="O456" s="4">
        <f t="shared" ref="O456" si="6509">C456/B456</f>
        <v>0.20937668703798684</v>
      </c>
      <c r="R456">
        <f t="shared" ref="R456" si="6510">C456-C455</f>
        <v>90</v>
      </c>
      <c r="S456">
        <f t="shared" ref="S456" si="6511">N456-N455</f>
        <v>881</v>
      </c>
      <c r="T456" s="8">
        <f t="shared" ref="T456" si="6512">R456/V456</f>
        <v>9.2687950566426369E-2</v>
      </c>
      <c r="U456" s="8">
        <f t="shared" ref="U456" si="6513">SUM(R450:R456)/SUM(V450:V456)</f>
        <v>7.2827785121980529E-2</v>
      </c>
      <c r="V456">
        <f t="shared" ref="V456" si="6514">B456-B455</f>
        <v>971</v>
      </c>
      <c r="W456">
        <f t="shared" ref="W456" si="6515">C456-D456-E456</f>
        <v>2406</v>
      </c>
      <c r="X456" s="3">
        <f t="shared" ref="X456" si="6516">F456/W456</f>
        <v>3.5743973399833748E-2</v>
      </c>
      <c r="Y456">
        <f t="shared" ref="Y456" si="6517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6518">Z456-AC456-AF456</f>
        <v>20</v>
      </c>
      <c r="AJ456">
        <f t="shared" ref="AJ456" si="6519">AA456-AD456-AG456</f>
        <v>10</v>
      </c>
      <c r="AK456">
        <f t="shared" ref="AK456" si="6520">AB456-AE456-AH456</f>
        <v>216</v>
      </c>
      <c r="AT456">
        <f t="shared" ref="AT456" si="6521">BN456-BN455</f>
        <v>4063</v>
      </c>
      <c r="AU456">
        <f t="shared" ref="AU456" si="6522">BO456-BO455</f>
        <v>166</v>
      </c>
      <c r="AV456">
        <f t="shared" ref="AV456" si="6523">AU456/AT456</f>
        <v>4.085650996800394E-2</v>
      </c>
      <c r="AW456">
        <f t="shared" ref="AW456" si="6524">BV456-BV455</f>
        <v>24</v>
      </c>
      <c r="AX456">
        <f t="shared" ref="AX456" si="6525">BW456-BW455</f>
        <v>-3</v>
      </c>
      <c r="AY456">
        <f t="shared" ref="AY456" si="6526">CL456-CL455</f>
        <v>97</v>
      </c>
      <c r="AZ456">
        <f t="shared" ref="AZ456" si="6527">CM456-CM455</f>
        <v>12</v>
      </c>
      <c r="BA456">
        <f t="shared" ref="BA456" si="6528">CD456-CD455</f>
        <v>14</v>
      </c>
      <c r="BB456">
        <f t="shared" ref="BB456" si="6529">CE456-CE455</f>
        <v>1</v>
      </c>
      <c r="BC456">
        <f t="shared" ref="BC456" si="6530">AX456/AW456</f>
        <v>-0.125</v>
      </c>
      <c r="BD456">
        <f t="shared" ref="BD456" si="6531">AZ456/AY456</f>
        <v>0.12371134020618557</v>
      </c>
      <c r="BE456">
        <f t="shared" si="5659"/>
        <v>7.1428571428571425E-2</v>
      </c>
      <c r="BF456">
        <f t="shared" ref="BF456" si="6532">SUM(AU450:AU456)/SUM(AT450:AT456)</f>
        <v>2.3359021260007797E-2</v>
      </c>
      <c r="BG456">
        <f t="shared" ref="BG456" si="6533">SUM(AU443:AU456)/SUM(AT443:AT456)</f>
        <v>2.1061580441251081E-2</v>
      </c>
      <c r="BH456">
        <f t="shared" ref="BH456" si="6534">SUM(AX450:AX456)/SUM(AW450:AW456)</f>
        <v>3.90625E-3</v>
      </c>
      <c r="BI456">
        <f t="shared" ref="BI456" si="6535">SUM(AZ450:AZ456)/SUM(AY450:AY456)</f>
        <v>6.2656641604010022E-2</v>
      </c>
      <c r="BJ456">
        <f t="shared" ref="BJ456" si="6536">SUM(BB450:BB456)/SUM(BA450:BA456)</f>
        <v>4.807692307692308E-3</v>
      </c>
      <c r="BN456" s="20">
        <v>5124801</v>
      </c>
      <c r="BO456" s="20">
        <v>403357</v>
      </c>
      <c r="BP456" s="20">
        <v>1482385</v>
      </c>
      <c r="BQ456" s="20">
        <v>297732</v>
      </c>
      <c r="BR456" s="20">
        <v>307318</v>
      </c>
      <c r="BS456" s="20">
        <v>65397</v>
      </c>
      <c r="BT456" s="21">
        <f t="shared" si="5945"/>
        <v>1780117</v>
      </c>
      <c r="BU456" s="21">
        <f t="shared" si="2991"/>
        <v>372715</v>
      </c>
      <c r="BV456" s="20">
        <v>42066</v>
      </c>
      <c r="BW456" s="20">
        <v>3010</v>
      </c>
      <c r="BX456" s="20">
        <v>9566</v>
      </c>
      <c r="BY456" s="20">
        <v>3466</v>
      </c>
      <c r="BZ456" s="20">
        <v>2220</v>
      </c>
      <c r="CA456" s="20">
        <v>359</v>
      </c>
      <c r="CB456" s="21">
        <f t="shared" si="5946"/>
        <v>13032</v>
      </c>
      <c r="CC456" s="21">
        <f t="shared" si="2993"/>
        <v>2579</v>
      </c>
      <c r="CD456" s="20">
        <v>31059</v>
      </c>
      <c r="CE456" s="20">
        <v>1754</v>
      </c>
      <c r="CF456" s="20">
        <v>5595</v>
      </c>
      <c r="CG456" s="20">
        <v>1880</v>
      </c>
      <c r="CH456" s="20">
        <v>1195</v>
      </c>
      <c r="CI456" s="20">
        <v>465</v>
      </c>
      <c r="CJ456" s="21">
        <f t="shared" si="5947"/>
        <v>7475</v>
      </c>
      <c r="CK456" s="21">
        <f t="shared" si="2995"/>
        <v>1660</v>
      </c>
      <c r="CL456" s="20">
        <v>227078</v>
      </c>
      <c r="CM456" s="20">
        <v>17572</v>
      </c>
      <c r="CN456" s="20">
        <v>69326</v>
      </c>
      <c r="CO456" s="20">
        <v>5347</v>
      </c>
      <c r="CP456" s="20">
        <v>15215</v>
      </c>
      <c r="CQ456" s="20">
        <v>864</v>
      </c>
      <c r="CR456" s="21">
        <f t="shared" si="5948"/>
        <v>74673</v>
      </c>
      <c r="CS456" s="21">
        <f t="shared" si="5167"/>
        <v>16079</v>
      </c>
    </row>
    <row r="457" spans="1:97" x14ac:dyDescent="0.35">
      <c r="A457" s="14">
        <f t="shared" si="2761"/>
        <v>44363</v>
      </c>
      <c r="B457" s="9">
        <f t="shared" si="5913"/>
        <v>1781339</v>
      </c>
      <c r="C457">
        <f t="shared" ref="C457" si="6537">BU457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6538">-(J457-J456)+L457</f>
        <v>5</v>
      </c>
      <c r="N457" s="7">
        <f t="shared" ref="N457" si="6539">B457-C457</f>
        <v>1408535</v>
      </c>
      <c r="O457" s="4">
        <f t="shared" ref="O457" si="6540">C457/B457</f>
        <v>0.20928301687663045</v>
      </c>
      <c r="R457">
        <f t="shared" ref="R457" si="6541">C457-C456</f>
        <v>89</v>
      </c>
      <c r="S457">
        <f t="shared" ref="S457" si="6542">N457-N456</f>
        <v>1133</v>
      </c>
      <c r="T457" s="8">
        <f t="shared" ref="T457" si="6543">R457/V457</f>
        <v>7.2831423895253683E-2</v>
      </c>
      <c r="U457" s="8">
        <f t="shared" ref="U457" si="6544">SUM(R451:R457)/SUM(V451:V457)</f>
        <v>7.2622107969151667E-2</v>
      </c>
      <c r="V457">
        <f t="shared" ref="V457" si="6545">B457-B456</f>
        <v>1222</v>
      </c>
      <c r="W457">
        <f t="shared" ref="W457" si="6546">C457-D457-E457</f>
        <v>2296</v>
      </c>
      <c r="X457" s="3">
        <f t="shared" ref="X457" si="6547">F457/W457</f>
        <v>3.6149825783972127E-2</v>
      </c>
      <c r="Y457">
        <f t="shared" ref="Y457" si="6548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6549">Z457-AC457-AF457</f>
        <v>17</v>
      </c>
      <c r="AJ457">
        <f t="shared" ref="AJ457" si="6550">AA457-AD457-AG457</f>
        <v>10</v>
      </c>
      <c r="AK457">
        <f t="shared" ref="AK457" si="6551">AB457-AE457-AH457</f>
        <v>206</v>
      </c>
      <c r="AT457">
        <f t="shared" ref="AT457" si="6552">BN457-BN456</f>
        <v>4932</v>
      </c>
      <c r="AU457">
        <f t="shared" ref="AU457" si="6553">BO457-BO456</f>
        <v>91</v>
      </c>
      <c r="AV457">
        <f t="shared" ref="AV457" si="6554">AU457/AT457</f>
        <v>1.8450932684509327E-2</v>
      </c>
      <c r="AW457">
        <f t="shared" ref="AW457" si="6555">BV457-BV456</f>
        <v>51</v>
      </c>
      <c r="AX457">
        <f t="shared" ref="AX457" si="6556">BW457-BW456</f>
        <v>6</v>
      </c>
      <c r="AY457">
        <f t="shared" ref="AY457" si="6557">CL457-CL456</f>
        <v>232</v>
      </c>
      <c r="AZ457">
        <f t="shared" ref="AZ457" si="6558">CM457-CM456</f>
        <v>25</v>
      </c>
      <c r="BA457">
        <f t="shared" ref="BA457" si="6559">CD457-CD456</f>
        <v>30</v>
      </c>
      <c r="BB457">
        <f t="shared" ref="BB457" si="6560">CE457-CE456</f>
        <v>1</v>
      </c>
      <c r="BC457">
        <f t="shared" ref="BC457" si="6561">AX457/AW457</f>
        <v>0.11764705882352941</v>
      </c>
      <c r="BD457">
        <f t="shared" ref="BD457" si="6562">AZ457/AY457</f>
        <v>0.10775862068965517</v>
      </c>
      <c r="BE457">
        <f t="shared" si="5659"/>
        <v>3.3333333333333333E-2</v>
      </c>
      <c r="BF457">
        <f t="shared" ref="BF457" si="6563">SUM(AU451:AU457)/SUM(AT451:AT457)</f>
        <v>2.2938481675392669E-2</v>
      </c>
      <c r="BG457">
        <f t="shared" ref="BG457" si="6564">SUM(AU444:AU457)/SUM(AT444:AT457)</f>
        <v>2.0694365726410022E-2</v>
      </c>
      <c r="BH457">
        <f t="shared" ref="BH457" si="6565">SUM(AX451:AX457)/SUM(AW451:AW457)</f>
        <v>8.5836909871244635E-3</v>
      </c>
      <c r="BI457">
        <f t="shared" ref="BI457" si="6566">SUM(AZ451:AZ457)/SUM(AY451:AY457)</f>
        <v>7.8041315990818663E-2</v>
      </c>
      <c r="BJ457">
        <f t="shared" ref="BJ457" si="6567">SUM(BB451:BB457)/SUM(BA451:BA457)</f>
        <v>1.9900497512437811E-2</v>
      </c>
      <c r="BN457" s="20">
        <v>5129733</v>
      </c>
      <c r="BO457" s="20">
        <v>403448</v>
      </c>
      <c r="BP457" s="20">
        <v>1483376</v>
      </c>
      <c r="BQ457" s="20">
        <v>297963</v>
      </c>
      <c r="BR457" s="20">
        <v>307398</v>
      </c>
      <c r="BS457" s="20">
        <v>65406</v>
      </c>
      <c r="BT457" s="21">
        <f t="shared" si="5945"/>
        <v>1781339</v>
      </c>
      <c r="BU457" s="21">
        <f t="shared" si="2991"/>
        <v>372804</v>
      </c>
      <c r="BV457" s="20">
        <v>42117</v>
      </c>
      <c r="BW457" s="20">
        <v>3016</v>
      </c>
      <c r="BX457" s="20">
        <v>9572</v>
      </c>
      <c r="BY457" s="20">
        <v>3476</v>
      </c>
      <c r="BZ457" s="20">
        <v>2223</v>
      </c>
      <c r="CA457" s="20">
        <v>659</v>
      </c>
      <c r="CB457" s="21">
        <f t="shared" si="5946"/>
        <v>13048</v>
      </c>
      <c r="CC457" s="21">
        <f t="shared" si="2993"/>
        <v>2882</v>
      </c>
      <c r="CD457" s="20">
        <v>31089</v>
      </c>
      <c r="CE457" s="20">
        <v>1755</v>
      </c>
      <c r="CF457" s="20">
        <v>5595</v>
      </c>
      <c r="CG457" s="20">
        <v>1886</v>
      </c>
      <c r="CH457" s="20">
        <v>1196</v>
      </c>
      <c r="CI457" s="20">
        <v>465</v>
      </c>
      <c r="CJ457" s="21">
        <f t="shared" si="5947"/>
        <v>7481</v>
      </c>
      <c r="CK457" s="21">
        <f t="shared" si="2995"/>
        <v>1661</v>
      </c>
      <c r="CL457" s="20">
        <v>227310</v>
      </c>
      <c r="CM457" s="20">
        <v>17597</v>
      </c>
      <c r="CN457" s="20">
        <v>69377</v>
      </c>
      <c r="CO457" s="20">
        <v>5358</v>
      </c>
      <c r="CP457" s="20">
        <v>15237</v>
      </c>
      <c r="CQ457" s="20">
        <v>865</v>
      </c>
      <c r="CR457" s="21">
        <f t="shared" si="5948"/>
        <v>74735</v>
      </c>
      <c r="CS457" s="21">
        <f t="shared" si="5167"/>
        <v>16102</v>
      </c>
    </row>
    <row r="458" spans="1:97" x14ac:dyDescent="0.35">
      <c r="A458" s="14">
        <f t="shared" si="2761"/>
        <v>44364</v>
      </c>
      <c r="B458" s="9">
        <f t="shared" si="5913"/>
        <v>1782924</v>
      </c>
      <c r="C458">
        <f t="shared" ref="C458" si="6568">BU458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6569">-(J458-J457)+L458</f>
        <v>4</v>
      </c>
      <c r="N458" s="7">
        <f t="shared" ref="N458" si="6570">B458-C458</f>
        <v>1410030</v>
      </c>
      <c r="O458" s="4">
        <f t="shared" ref="O458" si="6571">C458/B458</f>
        <v>0.20914744543233474</v>
      </c>
      <c r="R458">
        <f t="shared" ref="R458" si="6572">C458-C457</f>
        <v>90</v>
      </c>
      <c r="S458">
        <f t="shared" ref="S458" si="6573">N458-N457</f>
        <v>1495</v>
      </c>
      <c r="T458" s="8">
        <f t="shared" ref="T458" si="6574">R458/V458</f>
        <v>5.6782334384858045E-2</v>
      </c>
      <c r="U458" s="8">
        <f t="shared" ref="U458" si="6575">SUM(R452:R458)/SUM(V452:V458)</f>
        <v>7.2363722923113549E-2</v>
      </c>
      <c r="V458">
        <f t="shared" ref="V458" si="6576">B458-B457</f>
        <v>1585</v>
      </c>
      <c r="W458">
        <f t="shared" ref="W458" si="6577">C458-D458-E458</f>
        <v>2174</v>
      </c>
      <c r="X458" s="3">
        <f t="shared" ref="X458" si="6578">F458/W458</f>
        <v>3.4498620055197791E-2</v>
      </c>
      <c r="Y458">
        <f t="shared" ref="Y458" si="6579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6580">Z458-AC458-AF458</f>
        <v>17</v>
      </c>
      <c r="AJ458">
        <f t="shared" ref="AJ458" si="6581">AA458-AD458-AG458</f>
        <v>10</v>
      </c>
      <c r="AK458">
        <f t="shared" ref="AK458" si="6582">AB458-AE458-AH458</f>
        <v>206</v>
      </c>
      <c r="AT458">
        <f t="shared" ref="AT458" si="6583">BN458-BN457</f>
        <v>7052</v>
      </c>
      <c r="AU458">
        <f t="shared" ref="AU458" si="6584">BO458-BO457</f>
        <v>125</v>
      </c>
      <c r="AV458">
        <f t="shared" ref="AV458" si="6585">AU458/AT458</f>
        <v>1.772546795235394E-2</v>
      </c>
      <c r="AW458">
        <f t="shared" ref="AW458" si="6586">BV458-BV457</f>
        <v>63</v>
      </c>
      <c r="AX458">
        <f t="shared" ref="AX458" si="6587">BW458-BW457</f>
        <v>0</v>
      </c>
      <c r="AY458">
        <f t="shared" ref="AY458" si="6588">CL458-CL457</f>
        <v>297</v>
      </c>
      <c r="AZ458">
        <f t="shared" ref="AZ458" si="6589">CM458-CM457</f>
        <v>15</v>
      </c>
      <c r="BA458">
        <f t="shared" ref="BA458" si="6590">CD458-CD457</f>
        <v>38</v>
      </c>
      <c r="BB458">
        <f t="shared" ref="BB458" si="6591">CE458-CE457</f>
        <v>-2</v>
      </c>
      <c r="BC458">
        <f t="shared" ref="BC458" si="6592">AX458/AW458</f>
        <v>0</v>
      </c>
      <c r="BD458">
        <f t="shared" ref="BD458" si="6593">AZ458/AY458</f>
        <v>5.0505050505050504E-2</v>
      </c>
      <c r="BE458">
        <f t="shared" si="5659"/>
        <v>-5.2631578947368418E-2</v>
      </c>
      <c r="BF458">
        <f t="shared" ref="BF458" si="6594">SUM(AU452:AU458)/SUM(AT452:AT458)</f>
        <v>2.278321426427328E-2</v>
      </c>
      <c r="BG458">
        <f t="shared" ref="BG458" si="6595">SUM(AU445:AU458)/SUM(AT445:AT458)</f>
        <v>2.0611584827991768E-2</v>
      </c>
      <c r="BH458">
        <f t="shared" ref="BH458" si="6596">SUM(AX452:AX458)/SUM(AW452:AW458)</f>
        <v>1.1152416356877323E-2</v>
      </c>
      <c r="BI458">
        <f t="shared" ref="BI458" si="6597">SUM(AZ452:AZ458)/SUM(AY452:AY458)</f>
        <v>8.125445473984319E-2</v>
      </c>
      <c r="BJ458">
        <f t="shared" ref="BJ458" si="6598">SUM(BB452:BB458)/SUM(BA452:BA458)</f>
        <v>4.4247787610619468E-3</v>
      </c>
      <c r="BN458" s="20">
        <v>5136785</v>
      </c>
      <c r="BO458" s="20">
        <v>403573</v>
      </c>
      <c r="BP458" s="20">
        <v>1484646</v>
      </c>
      <c r="BQ458" s="20">
        <v>298278</v>
      </c>
      <c r="BR458" s="20">
        <v>307477</v>
      </c>
      <c r="BS458" s="20">
        <v>65417</v>
      </c>
      <c r="BT458" s="21">
        <f t="shared" si="5945"/>
        <v>1782924</v>
      </c>
      <c r="BU458" s="21">
        <f t="shared" si="2991"/>
        <v>372894</v>
      </c>
      <c r="BV458" s="20">
        <v>42180</v>
      </c>
      <c r="BW458" s="20">
        <v>3016</v>
      </c>
      <c r="BX458" s="20">
        <v>9577</v>
      </c>
      <c r="BY458" s="20">
        <v>3476</v>
      </c>
      <c r="BZ458" s="20">
        <v>2222</v>
      </c>
      <c r="CA458" s="20">
        <v>659</v>
      </c>
      <c r="CB458" s="21">
        <f t="shared" si="5946"/>
        <v>13053</v>
      </c>
      <c r="CC458" s="21">
        <f t="shared" si="2993"/>
        <v>2881</v>
      </c>
      <c r="CD458" s="20">
        <v>31127</v>
      </c>
      <c r="CE458" s="20">
        <v>1753</v>
      </c>
      <c r="CF458" s="20">
        <v>5602</v>
      </c>
      <c r="CG458" s="20">
        <v>1887</v>
      </c>
      <c r="CH458" s="20">
        <v>1197</v>
      </c>
      <c r="CI458" s="20">
        <v>465</v>
      </c>
      <c r="CJ458" s="21">
        <f t="shared" si="5947"/>
        <v>7489</v>
      </c>
      <c r="CK458" s="21">
        <f t="shared" si="2995"/>
        <v>1662</v>
      </c>
      <c r="CL458" s="20">
        <v>227607</v>
      </c>
      <c r="CM458" s="20">
        <v>17612</v>
      </c>
      <c r="CN458" s="20">
        <v>69439</v>
      </c>
      <c r="CO458" s="20">
        <v>5375</v>
      </c>
      <c r="CP458" s="20">
        <v>15249</v>
      </c>
      <c r="CQ458" s="20">
        <v>865</v>
      </c>
      <c r="CR458" s="21">
        <f t="shared" si="5948"/>
        <v>74814</v>
      </c>
      <c r="CS458" s="21">
        <f t="shared" si="5167"/>
        <v>16114</v>
      </c>
    </row>
    <row r="459" spans="1:97" x14ac:dyDescent="0.35">
      <c r="A459" s="14">
        <f t="shared" si="2761"/>
        <v>44365</v>
      </c>
      <c r="B459" s="9">
        <f t="shared" si="5913"/>
        <v>1784094</v>
      </c>
      <c r="C459">
        <f t="shared" ref="C459" si="6599">BU459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6600">-(J459-J458)+L459</f>
        <v>8</v>
      </c>
      <c r="N459" s="7">
        <f t="shared" ref="N459" si="6601">B459-C459</f>
        <v>1411130</v>
      </c>
      <c r="O459" s="4">
        <f t="shared" ref="O459" si="6602">C459/B459</f>
        <v>0.20904952317534839</v>
      </c>
      <c r="R459">
        <f t="shared" ref="R459" si="6603">C459-C458</f>
        <v>70</v>
      </c>
      <c r="S459">
        <f t="shared" ref="S459" si="6604">N459-N458</f>
        <v>1100</v>
      </c>
      <c r="T459" s="8">
        <f t="shared" ref="T459" si="6605">R459/V459</f>
        <v>5.9829059829059832E-2</v>
      </c>
      <c r="U459" s="8">
        <f t="shared" ref="U459" si="6606">SUM(R453:R459)/SUM(V453:V459)</f>
        <v>6.9842023993348379E-2</v>
      </c>
      <c r="V459">
        <f t="shared" ref="V459" si="6607">B459-B458</f>
        <v>1170</v>
      </c>
      <c r="W459">
        <f t="shared" ref="W459" si="6608">C459-D459-E459</f>
        <v>2098</v>
      </c>
      <c r="X459" s="3">
        <f t="shared" ref="X459" si="6609">F459/W459</f>
        <v>3.2411820781696854E-2</v>
      </c>
      <c r="Y459">
        <f t="shared" ref="Y459" si="6610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6611">Z459-AC459-AF459</f>
        <v>21</v>
      </c>
      <c r="AJ459">
        <f t="shared" ref="AJ459" si="6612">AA459-AD459-AG459</f>
        <v>12</v>
      </c>
      <c r="AK459">
        <f t="shared" ref="AK459" si="6613">AB459-AE459-AH459</f>
        <v>232</v>
      </c>
      <c r="AT459">
        <f t="shared" ref="AT459" si="6614">BN459-BN458</f>
        <v>4833</v>
      </c>
      <c r="AU459">
        <f t="shared" ref="AU459" si="6615">BO459-BO458</f>
        <v>68</v>
      </c>
      <c r="AV459">
        <f t="shared" ref="AV459" si="6616">AU459/AT459</f>
        <v>1.4069935857645354E-2</v>
      </c>
      <c r="AW459">
        <f t="shared" ref="AW459" si="6617">BV459-BV458</f>
        <v>42</v>
      </c>
      <c r="AX459">
        <f t="shared" ref="AX459" si="6618">BW459-BW458</f>
        <v>7</v>
      </c>
      <c r="AY459">
        <f t="shared" ref="AY459" si="6619">CL459-CL458</f>
        <v>208</v>
      </c>
      <c r="AZ459">
        <f t="shared" ref="AZ459" si="6620">CM459-CM458</f>
        <v>7</v>
      </c>
      <c r="BA459">
        <f t="shared" ref="BA459" si="6621">CD459-CD458</f>
        <v>31</v>
      </c>
      <c r="BB459">
        <f t="shared" ref="BB459" si="6622">CE459-CE458</f>
        <v>0</v>
      </c>
      <c r="BC459">
        <f t="shared" ref="BC459" si="6623">AX459/AW459</f>
        <v>0.16666666666666666</v>
      </c>
      <c r="BD459">
        <f t="shared" ref="BD459" si="6624">AZ459/AY459</f>
        <v>3.3653846153846152E-2</v>
      </c>
      <c r="BE459">
        <f t="shared" si="5659"/>
        <v>0</v>
      </c>
      <c r="BF459">
        <f t="shared" ref="BF459" si="6625">SUM(AU453:AU459)/SUM(AT453:AT459)</f>
        <v>2.2766492083194576E-2</v>
      </c>
      <c r="BG459">
        <f t="shared" ref="BG459" si="6626">SUM(AU446:AU459)/SUM(AT446:AT459)</f>
        <v>2.0792004240175663E-2</v>
      </c>
      <c r="BH459">
        <f t="shared" ref="BH459" si="6627">SUM(AX453:AX459)/SUM(AW453:AW459)</f>
        <v>4.7210300429184553E-2</v>
      </c>
      <c r="BI459">
        <f t="shared" ref="BI459" si="6628">SUM(AZ453:AZ459)/SUM(AY453:AY459)</f>
        <v>6.9014084507042259E-2</v>
      </c>
      <c r="BJ459">
        <f t="shared" ref="BJ459" si="6629">SUM(BB453:BB459)/SUM(BA453:BA459)</f>
        <v>4.3478260869565218E-3</v>
      </c>
      <c r="BN459" s="20">
        <v>5141618</v>
      </c>
      <c r="BO459" s="20">
        <v>403641</v>
      </c>
      <c r="BP459" s="20">
        <v>1485669</v>
      </c>
      <c r="BQ459" s="20">
        <v>298425</v>
      </c>
      <c r="BR459" s="20">
        <v>307535</v>
      </c>
      <c r="BS459" s="20">
        <v>65429</v>
      </c>
      <c r="BT459" s="21">
        <f t="shared" si="5945"/>
        <v>1784094</v>
      </c>
      <c r="BU459" s="21">
        <f t="shared" si="2991"/>
        <v>372964</v>
      </c>
      <c r="BV459" s="20">
        <v>42222</v>
      </c>
      <c r="BW459" s="20">
        <v>3023</v>
      </c>
      <c r="BX459" s="20">
        <v>9593</v>
      </c>
      <c r="BY459" s="20">
        <v>3478</v>
      </c>
      <c r="BZ459" s="20">
        <v>2224</v>
      </c>
      <c r="CA459" s="20">
        <v>659</v>
      </c>
      <c r="CB459" s="21">
        <f t="shared" si="5946"/>
        <v>13071</v>
      </c>
      <c r="CC459" s="21">
        <f t="shared" si="2993"/>
        <v>2883</v>
      </c>
      <c r="CD459" s="20">
        <v>31158</v>
      </c>
      <c r="CE459" s="20">
        <v>1753</v>
      </c>
      <c r="CF459" s="20">
        <v>5607</v>
      </c>
      <c r="CG459" s="20">
        <v>1891</v>
      </c>
      <c r="CH459" s="20">
        <v>1197</v>
      </c>
      <c r="CI459" s="20">
        <v>465</v>
      </c>
      <c r="CJ459" s="21">
        <f t="shared" si="5947"/>
        <v>7498</v>
      </c>
      <c r="CK459" s="21">
        <f t="shared" si="2995"/>
        <v>1662</v>
      </c>
      <c r="CL459" s="20">
        <v>227815</v>
      </c>
      <c r="CM459" s="20">
        <v>17619</v>
      </c>
      <c r="CN459" s="20">
        <v>69491</v>
      </c>
      <c r="CO459" s="20">
        <v>5373</v>
      </c>
      <c r="CP459" s="20">
        <v>15261</v>
      </c>
      <c r="CQ459" s="20">
        <v>865</v>
      </c>
      <c r="CR459" s="21">
        <f t="shared" si="5948"/>
        <v>74864</v>
      </c>
      <c r="CS459" s="21">
        <f t="shared" si="5167"/>
        <v>16126</v>
      </c>
    </row>
    <row r="460" spans="1:97" x14ac:dyDescent="0.35">
      <c r="A460" s="14">
        <f t="shared" si="2761"/>
        <v>44366</v>
      </c>
      <c r="B460" s="9">
        <f t="shared" si="5913"/>
        <v>1785160</v>
      </c>
      <c r="C460">
        <f t="shared" ref="C460" si="6630">BU460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6631">-(J460-J459)+L460</f>
        <v>5</v>
      </c>
      <c r="N460" s="7">
        <f t="shared" ref="N460" si="6632">B460-C460</f>
        <v>1412117</v>
      </c>
      <c r="O460" s="4">
        <f t="shared" ref="O460" si="6633">C460/B460</f>
        <v>0.20896894396020524</v>
      </c>
      <c r="R460">
        <f t="shared" ref="R460" si="6634">C460-C459</f>
        <v>79</v>
      </c>
      <c r="S460">
        <f t="shared" ref="S460" si="6635">N460-N459</f>
        <v>987</v>
      </c>
      <c r="T460" s="8">
        <f t="shared" ref="T460" si="6636">R460/V460</f>
        <v>7.410881801125703E-2</v>
      </c>
      <c r="U460" s="8">
        <f t="shared" ref="U460" si="6637">SUM(R454:R460)/SUM(V454:V460)</f>
        <v>7.0369875817866204E-2</v>
      </c>
      <c r="V460">
        <f t="shared" ref="V460" si="6638">B460-B459</f>
        <v>1066</v>
      </c>
      <c r="W460">
        <f t="shared" ref="W460" si="6639">C460-D460-E460</f>
        <v>1993</v>
      </c>
      <c r="X460" s="3">
        <f t="shared" ref="X460" si="6640">F460/W460</f>
        <v>3.4119417962870047E-2</v>
      </c>
      <c r="Y460">
        <f t="shared" ref="Y460" si="6641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6642">Z460-AC460-AF460</f>
        <v>22</v>
      </c>
      <c r="AJ460">
        <f t="shared" ref="AJ460" si="6643">AA460-AD460-AG460</f>
        <v>9</v>
      </c>
      <c r="AK460">
        <f t="shared" ref="AK460" si="6644">AB460-AE460-AH460</f>
        <v>232</v>
      </c>
      <c r="AT460">
        <f t="shared" ref="AT460" si="6645">BN460-BN459</f>
        <v>5164</v>
      </c>
      <c r="AU460">
        <f t="shared" ref="AU460" si="6646">BO460-BO459</f>
        <v>91</v>
      </c>
      <c r="AV460">
        <f t="shared" ref="AV460" si="6647">AU460/AT460</f>
        <v>1.7621998450813324E-2</v>
      </c>
      <c r="AW460">
        <f t="shared" ref="AW460" si="6648">BV460-BV459</f>
        <v>107</v>
      </c>
      <c r="AX460">
        <f t="shared" ref="AX460" si="6649">BW460-BW459</f>
        <v>-2</v>
      </c>
      <c r="AY460">
        <f t="shared" ref="AY460" si="6650">CL460-CL459</f>
        <v>394</v>
      </c>
      <c r="AZ460">
        <f t="shared" ref="AZ460" si="6651">CM460-CM459</f>
        <v>17</v>
      </c>
      <c r="BA460">
        <f t="shared" ref="BA460" si="6652">CD460-CD459</f>
        <v>18</v>
      </c>
      <c r="BB460">
        <f t="shared" ref="BB460" si="6653">CE460-CE459</f>
        <v>2</v>
      </c>
      <c r="BC460">
        <f t="shared" ref="BC460" si="6654">AX460/AW460</f>
        <v>-1.8691588785046728E-2</v>
      </c>
      <c r="BD460">
        <f t="shared" ref="BD460" si="6655">AZ460/AY460</f>
        <v>4.3147208121827409E-2</v>
      </c>
      <c r="BE460">
        <f t="shared" ref="BE460" si="6656">BB460/BA460</f>
        <v>0.1111111111111111</v>
      </c>
      <c r="BF460">
        <f t="shared" ref="BF460" si="6657">SUM(AU454:AU460)/SUM(AT454:AT460)</f>
        <v>2.1254434788269376E-2</v>
      </c>
      <c r="BG460">
        <f t="shared" ref="BG460" si="6658">SUM(AU447:AU460)/SUM(AT447:AT460)</f>
        <v>2.0502859609366569E-2</v>
      </c>
      <c r="BH460">
        <f t="shared" ref="BH460" si="6659">SUM(AX454:AX460)/SUM(AW454:AW460)</f>
        <v>1.3071895424836602E-2</v>
      </c>
      <c r="BI460">
        <f t="shared" ref="BI460" si="6660">SUM(AZ454:AZ460)/SUM(AY454:AY460)</f>
        <v>6.6761363636363633E-2</v>
      </c>
      <c r="BJ460">
        <f t="shared" ref="BJ460" si="6661">SUM(BB454:BB460)/SUM(BA454:BA460)</f>
        <v>3.4722222222222224E-2</v>
      </c>
      <c r="BN460" s="20">
        <v>5146782</v>
      </c>
      <c r="BO460" s="20">
        <v>403732</v>
      </c>
      <c r="BP460" s="20">
        <v>1486492</v>
      </c>
      <c r="BQ460" s="20">
        <v>298668</v>
      </c>
      <c r="BR460" s="20">
        <v>307595</v>
      </c>
      <c r="BS460" s="20">
        <v>65448</v>
      </c>
      <c r="BT460" s="21">
        <f t="shared" si="5945"/>
        <v>1785160</v>
      </c>
      <c r="BU460" s="21">
        <f t="shared" si="2991"/>
        <v>373043</v>
      </c>
      <c r="BV460" s="20">
        <v>42329</v>
      </c>
      <c r="BW460" s="20">
        <v>3021</v>
      </c>
      <c r="BX460" s="20">
        <v>9597</v>
      </c>
      <c r="BY460" s="20">
        <v>3483</v>
      </c>
      <c r="BZ460" s="20">
        <v>2225</v>
      </c>
      <c r="CA460" s="20">
        <v>659</v>
      </c>
      <c r="CB460" s="21">
        <f t="shared" si="5946"/>
        <v>13080</v>
      </c>
      <c r="CC460" s="21">
        <f t="shared" si="2993"/>
        <v>2884</v>
      </c>
      <c r="CD460" s="20">
        <v>31176</v>
      </c>
      <c r="CE460" s="20">
        <v>1755</v>
      </c>
      <c r="CF460" s="20">
        <v>5611</v>
      </c>
      <c r="CG460" s="20">
        <v>1892</v>
      </c>
      <c r="CH460" s="20">
        <v>1198</v>
      </c>
      <c r="CI460" s="20">
        <v>465</v>
      </c>
      <c r="CJ460" s="21">
        <f t="shared" si="5947"/>
        <v>7503</v>
      </c>
      <c r="CK460" s="21">
        <f t="shared" si="2995"/>
        <v>1663</v>
      </c>
      <c r="CL460" s="20">
        <v>228209</v>
      </c>
      <c r="CM460" s="20">
        <v>17636</v>
      </c>
      <c r="CN460" s="20">
        <v>69514</v>
      </c>
      <c r="CO460" s="20">
        <v>5404</v>
      </c>
      <c r="CP460" s="20">
        <v>15272</v>
      </c>
      <c r="CQ460" s="20">
        <v>867</v>
      </c>
      <c r="CR460" s="21">
        <f t="shared" si="5948"/>
        <v>74918</v>
      </c>
      <c r="CS460" s="21">
        <f t="shared" si="5167"/>
        <v>16139</v>
      </c>
    </row>
    <row r="461" spans="1:97" x14ac:dyDescent="0.35">
      <c r="A461" s="14">
        <f t="shared" si="2761"/>
        <v>44367</v>
      </c>
      <c r="B461" s="9">
        <f t="shared" si="5913"/>
        <v>1785965</v>
      </c>
      <c r="C461">
        <f t="shared" ref="C461" si="6662">BU461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6663">-(J461-J460)+L461</f>
        <v>4</v>
      </c>
      <c r="N461" s="7">
        <f t="shared" ref="N461" si="6664">B461-C461</f>
        <v>1412865</v>
      </c>
      <c r="O461" s="4">
        <f t="shared" ref="O461" si="6665">C461/B461</f>
        <v>0.20890666950360171</v>
      </c>
      <c r="R461">
        <f t="shared" ref="R461" si="6666">C461-C460</f>
        <v>57</v>
      </c>
      <c r="S461">
        <f t="shared" ref="S461" si="6667">N461-N460</f>
        <v>748</v>
      </c>
      <c r="T461" s="8">
        <f t="shared" ref="T461" si="6668">R461/V461</f>
        <v>7.0807453416149066E-2</v>
      </c>
      <c r="U461" s="8">
        <f t="shared" ref="U461" si="6669">SUM(R455:R461)/SUM(V455:V461)</f>
        <v>7.0019854401058901E-2</v>
      </c>
      <c r="V461">
        <f t="shared" ref="V461" si="6670">B461-B460</f>
        <v>805</v>
      </c>
      <c r="W461">
        <f t="shared" ref="W461" si="6671">C461-D461-E461</f>
        <v>1970</v>
      </c>
      <c r="X461" s="3">
        <f t="shared" ref="X461" si="6672">F461/W461</f>
        <v>3.2994923857868022E-2</v>
      </c>
      <c r="Y461">
        <f t="shared" ref="Y461" si="6673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6674">Z461-AC461-AF461</f>
        <v>23</v>
      </c>
      <c r="AJ461">
        <f t="shared" ref="AJ461" si="6675">AA461-AD461-AG461</f>
        <v>10</v>
      </c>
      <c r="AK461">
        <f t="shared" ref="AK461" si="6676">AB461-AE461-AH461</f>
        <v>237</v>
      </c>
      <c r="AT461">
        <f t="shared" ref="AT461" si="6677">BN461-BN460</f>
        <v>2648</v>
      </c>
      <c r="AU461">
        <f t="shared" ref="AU461" si="6678">BO461-BO460</f>
        <v>62</v>
      </c>
      <c r="AV461">
        <f t="shared" ref="AV461" si="6679">AU461/AT461</f>
        <v>2.3413897280966767E-2</v>
      </c>
      <c r="AW461">
        <f t="shared" ref="AW461" si="6680">BV461-BV460</f>
        <v>11</v>
      </c>
      <c r="AX461">
        <f t="shared" ref="AX461" si="6681">BW461-BW460</f>
        <v>-3</v>
      </c>
      <c r="AY461">
        <f t="shared" ref="AY461" si="6682">CL461-CL460</f>
        <v>116</v>
      </c>
      <c r="AZ461">
        <f t="shared" ref="AZ461" si="6683">CM461-CM460</f>
        <v>18</v>
      </c>
      <c r="BA461">
        <f t="shared" ref="BA461" si="6684">CD461-CD460</f>
        <v>3</v>
      </c>
      <c r="BB461">
        <f t="shared" ref="BB461" si="6685">CE461-CE460</f>
        <v>1</v>
      </c>
      <c r="BC461">
        <f t="shared" ref="BC461" si="6686">AX461/AW461</f>
        <v>-0.27272727272727271</v>
      </c>
      <c r="BD461">
        <f t="shared" ref="BD461" si="6687">AZ461/AY461</f>
        <v>0.15517241379310345</v>
      </c>
      <c r="BE461">
        <f t="shared" ref="BE461" si="6688">BB461/BA461</f>
        <v>0.33333333333333331</v>
      </c>
      <c r="BF461">
        <f t="shared" ref="BF461" si="6689">SUM(AU455:AU461)/SUM(AT455:AT461)</f>
        <v>2.1687684377735276E-2</v>
      </c>
      <c r="BG461">
        <f t="shared" ref="BG461" si="6690">SUM(AU448:AU461)/SUM(AT448:AT461)</f>
        <v>2.0596863624495063E-2</v>
      </c>
      <c r="BH461">
        <f t="shared" ref="BH461" si="6691">SUM(AX455:AX461)/SUM(AW455:AW461)</f>
        <v>2.5477707006369428E-2</v>
      </c>
      <c r="BI461">
        <f t="shared" ref="BI461" si="6692">SUM(AZ455:AZ461)/SUM(AY455:AY461)</f>
        <v>6.5426997245179058E-2</v>
      </c>
      <c r="BJ461">
        <f t="shared" ref="BJ461" si="6693">SUM(BB455:BB461)/SUM(BA455:BA461)</f>
        <v>2.1276595744680851E-2</v>
      </c>
      <c r="BN461" s="20">
        <v>5149430</v>
      </c>
      <c r="BO461" s="20">
        <v>403794</v>
      </c>
      <c r="BP461" s="20">
        <v>1487289</v>
      </c>
      <c r="BQ461" s="20">
        <v>298676</v>
      </c>
      <c r="BR461" s="20">
        <v>307654</v>
      </c>
      <c r="BS461" s="20">
        <v>65446</v>
      </c>
      <c r="BT461" s="21">
        <f t="shared" si="5945"/>
        <v>1785965</v>
      </c>
      <c r="BU461" s="21">
        <f t="shared" si="2991"/>
        <v>373100</v>
      </c>
      <c r="BV461" s="20">
        <v>42340</v>
      </c>
      <c r="BW461" s="20">
        <v>3018</v>
      </c>
      <c r="BX461" s="20">
        <v>9601</v>
      </c>
      <c r="BY461" s="20">
        <v>3487</v>
      </c>
      <c r="BZ461" s="20">
        <v>2225</v>
      </c>
      <c r="CA461" s="20">
        <v>659</v>
      </c>
      <c r="CB461" s="21">
        <f t="shared" si="5946"/>
        <v>13088</v>
      </c>
      <c r="CC461" s="21">
        <f t="shared" si="2993"/>
        <v>2884</v>
      </c>
      <c r="CD461" s="20">
        <v>31179</v>
      </c>
      <c r="CE461" s="20">
        <v>1756</v>
      </c>
      <c r="CF461" s="20">
        <v>5612</v>
      </c>
      <c r="CG461" s="20">
        <v>1891</v>
      </c>
      <c r="CH461" s="20">
        <v>1198</v>
      </c>
      <c r="CI461" s="20">
        <v>465</v>
      </c>
      <c r="CJ461" s="21">
        <f t="shared" si="5947"/>
        <v>7503</v>
      </c>
      <c r="CK461" s="21">
        <f t="shared" si="2995"/>
        <v>1663</v>
      </c>
      <c r="CL461" s="20">
        <v>228325</v>
      </c>
      <c r="CM461" s="20">
        <v>17654</v>
      </c>
      <c r="CN461" s="20">
        <v>69565</v>
      </c>
      <c r="CO461" s="20">
        <v>5402</v>
      </c>
      <c r="CP461" s="20">
        <v>15292</v>
      </c>
      <c r="CQ461" s="20">
        <v>867</v>
      </c>
      <c r="CR461" s="21">
        <f t="shared" si="5948"/>
        <v>74967</v>
      </c>
      <c r="CS461" s="21">
        <f t="shared" si="5167"/>
        <v>16159</v>
      </c>
    </row>
    <row r="462" spans="1:97" x14ac:dyDescent="0.35">
      <c r="A462" s="14">
        <f t="shared" si="2761"/>
        <v>44368</v>
      </c>
      <c r="B462" s="9">
        <f t="shared" si="5913"/>
        <v>1786442</v>
      </c>
      <c r="C462">
        <f t="shared" ref="C462" si="6694">BU462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6695">-(J462-J461)+L462</f>
        <v>8</v>
      </c>
      <c r="N462" s="7">
        <f t="shared" ref="N462" si="6696">B462-C462</f>
        <v>1413312</v>
      </c>
      <c r="O462" s="4">
        <f t="shared" ref="O462" si="6697">C462/B462</f>
        <v>0.20886768224213267</v>
      </c>
      <c r="R462">
        <f t="shared" ref="R462" si="6698">C462-C461</f>
        <v>30</v>
      </c>
      <c r="S462">
        <f t="shared" ref="S462" si="6699">N462-N461</f>
        <v>447</v>
      </c>
      <c r="T462" s="8">
        <f t="shared" ref="T462" si="6700">R462/V462</f>
        <v>6.2893081761006289E-2</v>
      </c>
      <c r="U462" s="8">
        <f t="shared" ref="U462" si="6701">SUM(R456:R462)/SUM(V456:V462)</f>
        <v>6.9216008771929821E-2</v>
      </c>
      <c r="V462">
        <f t="shared" ref="V462" si="6702">B462-B461</f>
        <v>477</v>
      </c>
      <c r="W462">
        <f t="shared" ref="W462" si="6703">C462-D462-E462</f>
        <v>1933</v>
      </c>
      <c r="X462" s="3">
        <f t="shared" ref="X462" si="6704">F462/W462</f>
        <v>2.7935851008794619E-2</v>
      </c>
      <c r="Y462">
        <f t="shared" ref="Y462" si="6705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6706">Z462-AC462-AF462</f>
        <v>22</v>
      </c>
      <c r="AJ462">
        <f t="shared" ref="AJ462" si="6707">AA462-AD462-AG462</f>
        <v>10</v>
      </c>
      <c r="AK462">
        <f t="shared" ref="AK462" si="6708">AB462-AE462-AH462</f>
        <v>257</v>
      </c>
      <c r="AT462">
        <f t="shared" ref="AT462" si="6709">BN462-BN461</f>
        <v>1822</v>
      </c>
      <c r="AU462">
        <f t="shared" ref="AU462" si="6710">BO462-BO461</f>
        <v>45</v>
      </c>
      <c r="AV462">
        <f t="shared" ref="AV462" si="6711">AU462/AT462</f>
        <v>2.4698133918770581E-2</v>
      </c>
      <c r="AW462">
        <f t="shared" ref="AW462" si="6712">BV462-BV461</f>
        <v>4</v>
      </c>
      <c r="AX462">
        <f t="shared" ref="AX462" si="6713">BW462-BW461</f>
        <v>4</v>
      </c>
      <c r="AY462">
        <f t="shared" ref="AY462" si="6714">CL462-CL461</f>
        <v>64</v>
      </c>
      <c r="AZ462">
        <f t="shared" ref="AZ462" si="6715">CM462-CM461</f>
        <v>8</v>
      </c>
      <c r="BA462">
        <f t="shared" ref="BA462" si="6716">CD462-CD461</f>
        <v>3</v>
      </c>
      <c r="BB462">
        <f t="shared" ref="BB462" si="6717">CE462-CE461</f>
        <v>-1</v>
      </c>
      <c r="BC462">
        <f t="shared" ref="BC462" si="6718">AX462/AW462</f>
        <v>1</v>
      </c>
      <c r="BD462">
        <f t="shared" ref="BD462" si="6719">AZ462/AY462</f>
        <v>0.125</v>
      </c>
      <c r="BE462">
        <f t="shared" ref="BE462" si="6720">BB462/BA462</f>
        <v>-0.33333333333333331</v>
      </c>
      <c r="BF462">
        <f t="shared" ref="BF462" si="6721">SUM(AU456:AU462)/SUM(AT456:AT462)</f>
        <v>2.1236153896572064E-2</v>
      </c>
      <c r="BG462">
        <f t="shared" ref="BG462" si="6722">SUM(AU449:AU462)/SUM(AT449:AT462)</f>
        <v>2.0209732458668993E-2</v>
      </c>
      <c r="BH462">
        <f t="shared" ref="BH462" si="6723">SUM(AX456:AX462)/SUM(AW456:AW462)</f>
        <v>2.9801324503311258E-2</v>
      </c>
      <c r="BI462">
        <f t="shared" ref="BI462" si="6724">SUM(AZ456:AZ462)/SUM(AY456:AY462)</f>
        <v>7.2443181818181823E-2</v>
      </c>
      <c r="BJ462">
        <f t="shared" ref="BJ462" si="6725">SUM(BB456:BB462)/SUM(BA456:BA462)</f>
        <v>1.4598540145985401E-2</v>
      </c>
      <c r="BN462" s="20">
        <v>5151252</v>
      </c>
      <c r="BO462" s="20">
        <v>403839</v>
      </c>
      <c r="BP462" s="20">
        <v>1487764</v>
      </c>
      <c r="BQ462" s="20">
        <v>298678</v>
      </c>
      <c r="BR462" s="20">
        <v>307684</v>
      </c>
      <c r="BS462" s="20">
        <v>65446</v>
      </c>
      <c r="BT462" s="21">
        <f t="shared" si="5945"/>
        <v>1786442</v>
      </c>
      <c r="BU462" s="21">
        <f t="shared" si="2991"/>
        <v>373130</v>
      </c>
      <c r="BV462" s="20">
        <v>42344</v>
      </c>
      <c r="BW462" s="20">
        <v>3022</v>
      </c>
      <c r="BX462" s="20">
        <v>9602</v>
      </c>
      <c r="BY462" s="20">
        <v>3487</v>
      </c>
      <c r="BZ462" s="20">
        <v>2227</v>
      </c>
      <c r="CA462" s="20">
        <v>659</v>
      </c>
      <c r="CB462" s="21">
        <f t="shared" si="5946"/>
        <v>13089</v>
      </c>
      <c r="CC462" s="21">
        <f t="shared" si="2993"/>
        <v>2886</v>
      </c>
      <c r="CD462" s="20">
        <v>31182</v>
      </c>
      <c r="CE462" s="20">
        <v>1755</v>
      </c>
      <c r="CF462" s="20">
        <v>5613</v>
      </c>
      <c r="CG462" s="20">
        <v>1891</v>
      </c>
      <c r="CH462" s="20">
        <v>1198</v>
      </c>
      <c r="CI462" s="20">
        <v>465</v>
      </c>
      <c r="CJ462" s="21">
        <f t="shared" si="5947"/>
        <v>7504</v>
      </c>
      <c r="CK462" s="21">
        <f t="shared" si="2995"/>
        <v>1663</v>
      </c>
      <c r="CL462" s="20">
        <v>228389</v>
      </c>
      <c r="CM462" s="20">
        <v>17662</v>
      </c>
      <c r="CN462" s="20">
        <v>69584</v>
      </c>
      <c r="CO462" s="20">
        <v>5404</v>
      </c>
      <c r="CP462" s="20">
        <v>15296</v>
      </c>
      <c r="CQ462" s="20">
        <v>867</v>
      </c>
      <c r="CR462" s="21">
        <f t="shared" si="5948"/>
        <v>74988</v>
      </c>
      <c r="CS462" s="21">
        <f t="shared" si="5167"/>
        <v>16163</v>
      </c>
    </row>
    <row r="463" spans="1:97" x14ac:dyDescent="0.35">
      <c r="A463" s="14">
        <f t="shared" si="2761"/>
        <v>44369</v>
      </c>
      <c r="B463" s="9">
        <f t="shared" si="5913"/>
        <v>1787272</v>
      </c>
      <c r="C463">
        <f t="shared" ref="C463" si="6726">BU463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6727">-(J463-J462)+L463</f>
        <v>0</v>
      </c>
      <c r="N463" s="7">
        <f t="shared" ref="N463" si="6728">B463-C463</f>
        <v>1414086</v>
      </c>
      <c r="O463" s="4">
        <f t="shared" ref="O463" si="6729">C463/B463</f>
        <v>0.20880201782381194</v>
      </c>
      <c r="R463">
        <f t="shared" ref="R463" si="6730">C463-C462</f>
        <v>56</v>
      </c>
      <c r="S463">
        <f t="shared" ref="S463" si="6731">N463-N462</f>
        <v>774</v>
      </c>
      <c r="T463" s="8">
        <f t="shared" ref="T463" si="6732">R463/V463</f>
        <v>6.746987951807229E-2</v>
      </c>
      <c r="U463" s="8">
        <f t="shared" ref="U463" si="6733">SUM(R457:R463)/SUM(V457:V463)</f>
        <v>6.5828092243186587E-2</v>
      </c>
      <c r="V463">
        <f t="shared" ref="V463" si="6734">B463-B462</f>
        <v>830</v>
      </c>
      <c r="W463">
        <f t="shared" ref="W463" si="6735">C463-D463-E463</f>
        <v>1778</v>
      </c>
      <c r="X463" s="3">
        <f t="shared" ref="X463" si="6736">F463/W463</f>
        <v>3.4870641169853771E-2</v>
      </c>
      <c r="Y463">
        <f t="shared" ref="Y463" si="6737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6738">Z463-AC463-AF463</f>
        <v>23</v>
      </c>
      <c r="AJ463">
        <f t="shared" ref="AJ463" si="6739">AA463-AD463-AG463</f>
        <v>9</v>
      </c>
      <c r="AK463">
        <f t="shared" ref="AK463" si="6740">AB463-AE463-AH463</f>
        <v>240</v>
      </c>
      <c r="AT463">
        <f t="shared" ref="AT463" si="6741">BN463-BN462</f>
        <v>3484</v>
      </c>
      <c r="AU463">
        <f t="shared" ref="AU463" si="6742">BO463-BO462</f>
        <v>70</v>
      </c>
      <c r="AV463">
        <f t="shared" ref="AV463" si="6743">AU463/AT463</f>
        <v>2.0091848450057407E-2</v>
      </c>
      <c r="AW463">
        <f t="shared" ref="AW463" si="6744">BV463-BV462</f>
        <v>48</v>
      </c>
      <c r="AX463">
        <f t="shared" ref="AX463" si="6745">BW463-BW462</f>
        <v>-1</v>
      </c>
      <c r="AY463">
        <f t="shared" ref="AY463" si="6746">CL463-CL462</f>
        <v>194</v>
      </c>
      <c r="AZ463">
        <f t="shared" ref="AZ463" si="6747">CM463-CM462</f>
        <v>11</v>
      </c>
      <c r="BA463">
        <f t="shared" ref="BA463" si="6748">CD463-CD462</f>
        <v>23</v>
      </c>
      <c r="BB463">
        <f t="shared" ref="BB463" si="6749">CE463-CE462</f>
        <v>3</v>
      </c>
      <c r="BC463">
        <f t="shared" ref="BC463" si="6750">AX463/AW463</f>
        <v>-2.0833333333333332E-2</v>
      </c>
      <c r="BD463">
        <f t="shared" ref="BD463" si="6751">AZ463/AY463</f>
        <v>5.6701030927835051E-2</v>
      </c>
      <c r="BE463">
        <f t="shared" ref="BE463" si="6752">BB463/BA463</f>
        <v>0.13043478260869565</v>
      </c>
      <c r="BF463">
        <f t="shared" ref="BF463" si="6753">SUM(AU457:AU463)/SUM(AT457:AT463)</f>
        <v>1.8439953232002673E-2</v>
      </c>
      <c r="BG463">
        <f t="shared" ref="BG463" si="6754">SUM(AU450:AU463)/SUM(AT450:AT463)</f>
        <v>2.1032172429049995E-2</v>
      </c>
      <c r="BH463">
        <f t="shared" ref="BH463" si="6755">SUM(AX457:AX463)/SUM(AW457:AW463)</f>
        <v>3.3742331288343558E-2</v>
      </c>
      <c r="BI463">
        <f t="shared" ref="BI463" si="6756">SUM(AZ457:AZ463)/SUM(AY457:AY463)</f>
        <v>6.7109634551495018E-2</v>
      </c>
      <c r="BJ463">
        <f t="shared" ref="BJ463" si="6757">SUM(BB457:BB463)/SUM(BA457:BA463)</f>
        <v>2.7397260273972601E-2</v>
      </c>
      <c r="BN463" s="20">
        <v>5154736</v>
      </c>
      <c r="BO463" s="20">
        <v>403909</v>
      </c>
      <c r="BP463" s="20">
        <v>1488468</v>
      </c>
      <c r="BQ463" s="20">
        <v>298804</v>
      </c>
      <c r="BR463" s="20">
        <v>307734</v>
      </c>
      <c r="BS463" s="20">
        <v>65452</v>
      </c>
      <c r="BT463" s="21">
        <f t="shared" si="5945"/>
        <v>1787272</v>
      </c>
      <c r="BU463" s="21">
        <f t="shared" si="2991"/>
        <v>373186</v>
      </c>
      <c r="BV463" s="20">
        <v>42392</v>
      </c>
      <c r="BW463" s="20">
        <v>3021</v>
      </c>
      <c r="BX463" s="20">
        <v>9606</v>
      </c>
      <c r="BY463" s="20">
        <v>3493</v>
      </c>
      <c r="BZ463" s="20">
        <v>2227</v>
      </c>
      <c r="CA463" s="20">
        <v>660</v>
      </c>
      <c r="CB463" s="21">
        <f t="shared" si="5946"/>
        <v>13099</v>
      </c>
      <c r="CC463" s="21">
        <f t="shared" si="2993"/>
        <v>2887</v>
      </c>
      <c r="CD463" s="20">
        <v>31205</v>
      </c>
      <c r="CE463" s="20">
        <v>1758</v>
      </c>
      <c r="CF463" s="20">
        <v>5617</v>
      </c>
      <c r="CG463" s="20">
        <v>1892</v>
      </c>
      <c r="CH463" s="20">
        <v>1199</v>
      </c>
      <c r="CI463" s="20">
        <v>466</v>
      </c>
      <c r="CJ463" s="21">
        <f t="shared" si="5947"/>
        <v>7509</v>
      </c>
      <c r="CK463" s="21">
        <f t="shared" si="2995"/>
        <v>1665</v>
      </c>
      <c r="CL463" s="20">
        <v>228583</v>
      </c>
      <c r="CM463" s="20">
        <v>17673</v>
      </c>
      <c r="CN463" s="20">
        <v>69632</v>
      </c>
      <c r="CO463" s="20">
        <v>5406</v>
      </c>
      <c r="CP463" s="20">
        <v>15309</v>
      </c>
      <c r="CQ463" s="20">
        <v>868</v>
      </c>
      <c r="CR463" s="21">
        <f t="shared" si="5948"/>
        <v>75038</v>
      </c>
      <c r="CS463" s="21">
        <f t="shared" si="5167"/>
        <v>16177</v>
      </c>
    </row>
    <row r="464" spans="1:97" x14ac:dyDescent="0.35">
      <c r="A464" s="14">
        <f t="shared" si="2761"/>
        <v>44370</v>
      </c>
      <c r="B464" s="9">
        <f t="shared" si="5913"/>
        <v>1788804</v>
      </c>
      <c r="C464">
        <f t="shared" ref="C464" si="6758">BU464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6759">-(J464-J463)+L464</f>
        <v>4</v>
      </c>
      <c r="N464" s="7">
        <f t="shared" ref="N464" si="6760">B464-C464</f>
        <v>1415494</v>
      </c>
      <c r="O464" s="4">
        <f t="shared" ref="O464" si="6761">C464/B464</f>
        <v>0.20869251186826504</v>
      </c>
      <c r="R464">
        <f t="shared" ref="R464" si="6762">C464-C463</f>
        <v>124</v>
      </c>
      <c r="S464">
        <f t="shared" ref="S464" si="6763">N464-N463</f>
        <v>1408</v>
      </c>
      <c r="T464" s="8">
        <f t="shared" ref="T464" si="6764">R464/V464</f>
        <v>8.0939947780678853E-2</v>
      </c>
      <c r="U464" s="8">
        <f t="shared" ref="U464" si="6765">SUM(R458:R464)/SUM(V458:V464)</f>
        <v>6.7782987273945078E-2</v>
      </c>
      <c r="V464">
        <f t="shared" ref="V464" si="6766">B464-B463</f>
        <v>1532</v>
      </c>
      <c r="W464">
        <f t="shared" ref="W464" si="6767">C464-D464-E464</f>
        <v>1746</v>
      </c>
      <c r="X464" s="3">
        <f t="shared" ref="X464" si="6768">F464/W464</f>
        <v>3.951890034364261E-2</v>
      </c>
      <c r="Y464">
        <f t="shared" ref="Y464" si="6769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6770">Z464-AC464-AF464</f>
        <v>23</v>
      </c>
      <c r="AJ464">
        <f t="shared" ref="AJ464" si="6771">AA464-AD464-AG464</f>
        <v>10</v>
      </c>
      <c r="AK464">
        <f t="shared" ref="AK464" si="6772">AB464-AE464-AH464</f>
        <v>247</v>
      </c>
      <c r="AT464">
        <f t="shared" ref="AT464" si="6773">BN464-BN463</f>
        <v>6126</v>
      </c>
      <c r="AU464">
        <f t="shared" ref="AU464" si="6774">BO464-BO463</f>
        <v>161</v>
      </c>
      <c r="AV464">
        <f t="shared" ref="AV464" si="6775">AU464/AT464</f>
        <v>2.6281423441070845E-2</v>
      </c>
      <c r="AW464">
        <f t="shared" ref="AW464" si="6776">BV464-BV463</f>
        <v>127</v>
      </c>
      <c r="AX464">
        <f t="shared" ref="AX464" si="6777">BW464-BW463</f>
        <v>6</v>
      </c>
      <c r="AY464">
        <f t="shared" ref="AY464" si="6778">CL464-CL463</f>
        <v>328</v>
      </c>
      <c r="AZ464">
        <f t="shared" ref="AZ464" si="6779">CM464-CM463</f>
        <v>30</v>
      </c>
      <c r="BA464">
        <f t="shared" ref="BA464" si="6780">CD464-CD463</f>
        <v>44</v>
      </c>
      <c r="BB464">
        <f t="shared" ref="BB464" si="6781">CE464-CE463</f>
        <v>-1</v>
      </c>
      <c r="BC464">
        <f t="shared" ref="BC464" si="6782">AX464/AW464</f>
        <v>4.7244094488188976E-2</v>
      </c>
      <c r="BD464">
        <f t="shared" ref="BD464" si="6783">AZ464/AY464</f>
        <v>9.1463414634146339E-2</v>
      </c>
      <c r="BE464">
        <f t="shared" ref="BE464" si="6784">BB464/BA464</f>
        <v>-2.2727272727272728E-2</v>
      </c>
      <c r="BF464">
        <f t="shared" ref="BF464" si="6785">SUM(AU458:AU464)/SUM(AT458:AT464)</f>
        <v>1.9981367856339749E-2</v>
      </c>
      <c r="BG464">
        <f t="shared" ref="BG464" si="6786">SUM(AU451:AU464)/SUM(AT451:AT464)</f>
        <v>2.1446287020376403E-2</v>
      </c>
      <c r="BH464">
        <f t="shared" ref="BH464" si="6787">SUM(AX458:AX464)/SUM(AW458:AW464)</f>
        <v>2.736318407960199E-2</v>
      </c>
      <c r="BI464">
        <f t="shared" ref="BI464" si="6788">SUM(AZ458:AZ464)/SUM(AY458:AY464)</f>
        <v>6.6208619612742034E-2</v>
      </c>
      <c r="BJ464">
        <f t="shared" ref="BJ464" si="6789">SUM(BB458:BB464)/SUM(BA458:BA464)</f>
        <v>1.2500000000000001E-2</v>
      </c>
      <c r="BN464" s="20">
        <v>5160862</v>
      </c>
      <c r="BO464" s="20">
        <v>404070</v>
      </c>
      <c r="BP464" s="20">
        <v>1489792</v>
      </c>
      <c r="BQ464" s="20">
        <v>299012</v>
      </c>
      <c r="BR464" s="20">
        <v>307833</v>
      </c>
      <c r="BS464" s="20">
        <v>65477</v>
      </c>
      <c r="BT464" s="21">
        <f t="shared" si="5945"/>
        <v>1788804</v>
      </c>
      <c r="BU464" s="21">
        <f t="shared" si="2991"/>
        <v>373310</v>
      </c>
      <c r="BV464" s="20">
        <v>42519</v>
      </c>
      <c r="BW464" s="20">
        <v>3027</v>
      </c>
      <c r="BX464" s="20">
        <v>9611</v>
      </c>
      <c r="BY464" s="20">
        <v>3499</v>
      </c>
      <c r="BZ464" s="20">
        <v>2228</v>
      </c>
      <c r="CA464" s="20">
        <v>660</v>
      </c>
      <c r="CB464" s="21">
        <f t="shared" si="5946"/>
        <v>13110</v>
      </c>
      <c r="CC464" s="21">
        <f t="shared" si="2993"/>
        <v>2888</v>
      </c>
      <c r="CD464" s="20">
        <v>31249</v>
      </c>
      <c r="CE464" s="20">
        <v>1757</v>
      </c>
      <c r="CF464" s="20">
        <v>5624</v>
      </c>
      <c r="CG464" s="20">
        <v>1896</v>
      </c>
      <c r="CH464" s="20">
        <v>1199</v>
      </c>
      <c r="CI464" s="20">
        <v>466</v>
      </c>
      <c r="CJ464" s="21">
        <f t="shared" si="5947"/>
        <v>7520</v>
      </c>
      <c r="CK464" s="21">
        <f t="shared" si="2995"/>
        <v>1665</v>
      </c>
      <c r="CL464" s="20">
        <v>228911</v>
      </c>
      <c r="CM464" s="20">
        <v>17703</v>
      </c>
      <c r="CN464" s="20">
        <v>69695</v>
      </c>
      <c r="CO464" s="20">
        <v>5414</v>
      </c>
      <c r="CP464" s="20">
        <v>15330</v>
      </c>
      <c r="CQ464" s="20">
        <v>868</v>
      </c>
      <c r="CR464" s="21">
        <f t="shared" si="5948"/>
        <v>75109</v>
      </c>
      <c r="CS464" s="21">
        <f t="shared" si="5167"/>
        <v>16198</v>
      </c>
    </row>
    <row r="465" spans="1:97" x14ac:dyDescent="0.35">
      <c r="A465" s="14">
        <f t="shared" si="2761"/>
        <v>44371</v>
      </c>
      <c r="B465" s="9">
        <f t="shared" si="5913"/>
        <v>1789811</v>
      </c>
      <c r="C465">
        <f t="shared" ref="C465" si="6790">BU465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6791">-(J465-J464)+L465</f>
        <v>5</v>
      </c>
      <c r="N465" s="7">
        <f t="shared" ref="N465" si="6792">B465-C465</f>
        <v>1416439</v>
      </c>
      <c r="O465" s="4">
        <f t="shared" ref="O465" si="6793">C465/B465</f>
        <v>0.20860973588831447</v>
      </c>
      <c r="R465">
        <f t="shared" ref="R465" si="6794">C465-C464</f>
        <v>62</v>
      </c>
      <c r="S465">
        <f t="shared" ref="S465" si="6795">N465-N464</f>
        <v>945</v>
      </c>
      <c r="T465" s="8">
        <f t="shared" ref="T465" si="6796">R465/V465</f>
        <v>6.1569016881827213E-2</v>
      </c>
      <c r="U465" s="8">
        <f t="shared" ref="U465" si="6797">SUM(R459:R465)/SUM(V459:V465)</f>
        <v>6.9406127486568894E-2</v>
      </c>
      <c r="V465">
        <f t="shared" ref="V465" si="6798">B465-B464</f>
        <v>1007</v>
      </c>
      <c r="W465">
        <f t="shared" ref="W465" si="6799">C465-D465-E465</f>
        <v>1700</v>
      </c>
      <c r="X465" s="3">
        <f t="shared" ref="X465" si="6800">F465/W465</f>
        <v>3.3529411764705884E-2</v>
      </c>
      <c r="Y465">
        <f t="shared" ref="Y465" si="6801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6802">Z465-AC465-AF465</f>
        <v>23</v>
      </c>
      <c r="AJ465">
        <f t="shared" ref="AJ465" si="6803">AA465-AD465-AG465</f>
        <v>10</v>
      </c>
      <c r="AK465">
        <f t="shared" ref="AK465" si="6804">AB465-AE465-AH465</f>
        <v>258</v>
      </c>
      <c r="AT465">
        <f t="shared" ref="AT465" si="6805">BN465-BN464</f>
        <v>5003</v>
      </c>
      <c r="AU465">
        <f t="shared" ref="AU465" si="6806">BO465-BO464</f>
        <v>62</v>
      </c>
      <c r="AV465">
        <f t="shared" ref="AV465" si="6807">AU465/AT465</f>
        <v>1.2392564461323205E-2</v>
      </c>
      <c r="AW465">
        <f t="shared" ref="AW465" si="6808">BV465-BV464</f>
        <v>32</v>
      </c>
      <c r="AX465">
        <f t="shared" ref="AX465" si="6809">BW465-BW464</f>
        <v>-2</v>
      </c>
      <c r="AY465">
        <f t="shared" ref="AY465" si="6810">CL465-CL464</f>
        <v>258</v>
      </c>
      <c r="AZ465">
        <f t="shared" ref="AZ465" si="6811">CM465-CM464</f>
        <v>14</v>
      </c>
      <c r="BA465">
        <f t="shared" ref="BA465" si="6812">CD465-CD464</f>
        <v>33</v>
      </c>
      <c r="BB465">
        <f t="shared" ref="BB465" si="6813">CE465-CE464</f>
        <v>2</v>
      </c>
      <c r="BC465">
        <f t="shared" ref="BC465" si="6814">AX465/AW465</f>
        <v>-6.25E-2</v>
      </c>
      <c r="BD465">
        <f t="shared" ref="BD465" si="6815">AZ465/AY465</f>
        <v>5.4263565891472867E-2</v>
      </c>
      <c r="BE465">
        <f t="shared" ref="BE465" si="6816">BB465/BA465</f>
        <v>6.0606060606060608E-2</v>
      </c>
      <c r="BF465">
        <f t="shared" ref="BF465" si="6817">SUM(AU459:AU465)/SUM(AT459:AT465)</f>
        <v>1.9222833562585969E-2</v>
      </c>
      <c r="BG465">
        <f t="shared" ref="BG465" si="6818">SUM(AU452:AU465)/SUM(AT452:AT465)</f>
        <v>2.1123826008911113E-2</v>
      </c>
      <c r="BH465">
        <f t="shared" ref="BH465" si="6819">SUM(AX459:AX465)/SUM(AW459:AW465)</f>
        <v>2.4258760107816711E-2</v>
      </c>
      <c r="BI465">
        <f t="shared" ref="BI465" si="6820">SUM(AZ459:AZ465)/SUM(AY459:AY465)</f>
        <v>6.7221510883482716E-2</v>
      </c>
      <c r="BJ465">
        <f t="shared" ref="BJ465" si="6821">SUM(BB459:BB465)/SUM(BA459:BA465)</f>
        <v>3.870967741935484E-2</v>
      </c>
      <c r="BN465" s="20">
        <v>5165865</v>
      </c>
      <c r="BO465" s="20">
        <v>404132</v>
      </c>
      <c r="BP465" s="20">
        <v>1490646</v>
      </c>
      <c r="BQ465" s="20">
        <v>299165</v>
      </c>
      <c r="BR465" s="20">
        <v>307896</v>
      </c>
      <c r="BS465" s="20">
        <v>65476</v>
      </c>
      <c r="BT465" s="21">
        <f t="shared" si="5945"/>
        <v>1789811</v>
      </c>
      <c r="BU465" s="21">
        <f t="shared" si="2991"/>
        <v>373372</v>
      </c>
      <c r="BV465" s="20">
        <v>42551</v>
      </c>
      <c r="BW465" s="20">
        <v>3025</v>
      </c>
      <c r="BX465" s="20">
        <v>9612</v>
      </c>
      <c r="BY465" s="20">
        <v>3504</v>
      </c>
      <c r="BZ465" s="20">
        <v>2229</v>
      </c>
      <c r="CA465" s="20">
        <v>660</v>
      </c>
      <c r="CB465" s="21">
        <f t="shared" si="5946"/>
        <v>13116</v>
      </c>
      <c r="CC465" s="21">
        <f t="shared" si="2993"/>
        <v>2889</v>
      </c>
      <c r="CD465" s="20">
        <v>31282</v>
      </c>
      <c r="CE465" s="20">
        <v>1759</v>
      </c>
      <c r="CF465" s="20">
        <v>5627</v>
      </c>
      <c r="CG465" s="20">
        <v>1899</v>
      </c>
      <c r="CH465" s="20">
        <v>1199</v>
      </c>
      <c r="CI465" s="20">
        <v>466</v>
      </c>
      <c r="CJ465" s="21">
        <f t="shared" si="5947"/>
        <v>7526</v>
      </c>
      <c r="CK465" s="21">
        <f t="shared" si="2995"/>
        <v>1665</v>
      </c>
      <c r="CL465" s="20">
        <v>229169</v>
      </c>
      <c r="CM465" s="20">
        <v>17717</v>
      </c>
      <c r="CN465" s="20">
        <v>69731</v>
      </c>
      <c r="CO465" s="20">
        <v>5433</v>
      </c>
      <c r="CP465" s="20">
        <v>15344</v>
      </c>
      <c r="CQ465" s="20">
        <v>869</v>
      </c>
      <c r="CR465" s="21">
        <f t="shared" si="5948"/>
        <v>75164</v>
      </c>
      <c r="CS465" s="21">
        <f t="shared" si="5167"/>
        <v>16213</v>
      </c>
    </row>
    <row r="466" spans="1:97" x14ac:dyDescent="0.35">
      <c r="A466" s="14">
        <f t="shared" si="2761"/>
        <v>44372</v>
      </c>
      <c r="B466" s="9">
        <f t="shared" si="5913"/>
        <v>1790663</v>
      </c>
      <c r="C466">
        <f t="shared" ref="C466" si="6822">BU466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6823">-(J466-J465)+L466</f>
        <v>4</v>
      </c>
      <c r="N466" s="7">
        <f t="shared" ref="N466" si="6824">B466-C466</f>
        <v>1417235</v>
      </c>
      <c r="O466" s="4">
        <f t="shared" ref="O466" si="6825">C466/B466</f>
        <v>0.20854175241237463</v>
      </c>
      <c r="R466">
        <f t="shared" ref="R466" si="6826">C466-C465</f>
        <v>56</v>
      </c>
      <c r="S466">
        <f t="shared" ref="S466" si="6827">N466-N465</f>
        <v>796</v>
      </c>
      <c r="T466" s="8">
        <f t="shared" ref="T466" si="6828">R466/V466</f>
        <v>6.5727699530516437E-2</v>
      </c>
      <c r="U466" s="8">
        <f t="shared" ref="U466" si="6829">SUM(R460:R466)/SUM(V460:V466)</f>
        <v>7.063479981732379E-2</v>
      </c>
      <c r="V466">
        <f t="shared" ref="V466" si="6830">B466-B465</f>
        <v>852</v>
      </c>
      <c r="W466">
        <f t="shared" ref="W466" si="6831">C466-D466-E466</f>
        <v>1648</v>
      </c>
      <c r="X466" s="3">
        <f t="shared" ref="X466" si="6832">F466/W466</f>
        <v>2.7912621359223302E-2</v>
      </c>
      <c r="Y466">
        <f t="shared" ref="Y466" si="6833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6834">Z466-AC466-AF466</f>
        <v>23</v>
      </c>
      <c r="AJ466">
        <f t="shared" ref="AJ466" si="6835">AA466-AD466-AG466</f>
        <v>9</v>
      </c>
      <c r="AK466">
        <f t="shared" ref="AK466" si="6836">AB466-AE466-AH466</f>
        <v>271</v>
      </c>
      <c r="AT466">
        <f t="shared" ref="AT466" si="6837">BN466-BN465</f>
        <v>3534</v>
      </c>
      <c r="AU466">
        <f t="shared" ref="AU466" si="6838">BO466-BO465</f>
        <v>104</v>
      </c>
      <c r="AV466">
        <f t="shared" ref="AV466" si="6839">AU466/AT466</f>
        <v>2.9428409734012451E-2</v>
      </c>
      <c r="AW466">
        <f t="shared" ref="AW466" si="6840">BV466-BV465</f>
        <v>80</v>
      </c>
      <c r="AX466">
        <f t="shared" ref="AX466" si="6841">BW466-BW465</f>
        <v>4</v>
      </c>
      <c r="AY466">
        <f t="shared" ref="AY466" si="6842">CL466-CL465</f>
        <v>149</v>
      </c>
      <c r="AZ466">
        <f t="shared" ref="AZ466" si="6843">CM466-CM465</f>
        <v>22</v>
      </c>
      <c r="BA466">
        <f t="shared" ref="BA466" si="6844">CD466-CD465</f>
        <v>16</v>
      </c>
      <c r="BB466">
        <f t="shared" ref="BB466" si="6845">CE466-CE465</f>
        <v>-3</v>
      </c>
      <c r="BC466">
        <f t="shared" ref="BC466" si="6846">AX466/AW466</f>
        <v>0.05</v>
      </c>
      <c r="BD466">
        <f t="shared" ref="BD466" si="6847">AZ466/AY466</f>
        <v>0.1476510067114094</v>
      </c>
      <c r="BE466">
        <f t="shared" ref="BE466" si="6848">BB466/BA466</f>
        <v>-0.1875</v>
      </c>
      <c r="BF466">
        <f t="shared" ref="BF466" si="6849">SUM(AU460:AU466)/SUM(AT460:AT466)</f>
        <v>2.1417515568194091E-2</v>
      </c>
      <c r="BG466">
        <f t="shared" ref="BG466" si="6850">SUM(AU453:AU466)/SUM(AT453:AT466)</f>
        <v>2.2150233506544759E-2</v>
      </c>
      <c r="BH466">
        <f t="shared" ref="BH466" si="6851">SUM(AX460:AX466)/SUM(AW460:AW466)</f>
        <v>1.4669926650366748E-2</v>
      </c>
      <c r="BI466">
        <f t="shared" ref="BI466" si="6852">SUM(AZ460:AZ466)/SUM(AY460:AY466)</f>
        <v>7.9840319361277445E-2</v>
      </c>
      <c r="BJ466">
        <f t="shared" ref="BJ466" si="6853">SUM(BB460:BB466)/SUM(BA460:BA466)</f>
        <v>2.1428571428571429E-2</v>
      </c>
      <c r="BN466" s="20">
        <v>5169399</v>
      </c>
      <c r="BO466" s="20">
        <v>404236</v>
      </c>
      <c r="BP466" s="20">
        <v>1491388</v>
      </c>
      <c r="BQ466" s="20">
        <v>299275</v>
      </c>
      <c r="BR466" s="20">
        <v>307948</v>
      </c>
      <c r="BS466" s="20">
        <v>65480</v>
      </c>
      <c r="BT466" s="21">
        <f t="shared" si="5945"/>
        <v>1790663</v>
      </c>
      <c r="BU466" s="21">
        <f t="shared" si="2991"/>
        <v>373428</v>
      </c>
      <c r="BV466" s="20">
        <v>42631</v>
      </c>
      <c r="BW466" s="20">
        <v>3029</v>
      </c>
      <c r="BX466" s="20">
        <v>9616</v>
      </c>
      <c r="BY466" s="20">
        <v>3506</v>
      </c>
      <c r="BZ466" s="20">
        <v>2228</v>
      </c>
      <c r="CA466" s="20">
        <v>661</v>
      </c>
      <c r="CB466" s="21">
        <f t="shared" si="5946"/>
        <v>13122</v>
      </c>
      <c r="CC466" s="21">
        <f t="shared" si="2993"/>
        <v>2889</v>
      </c>
      <c r="CD466" s="20">
        <v>31298</v>
      </c>
      <c r="CE466" s="20">
        <v>1756</v>
      </c>
      <c r="CF466" s="20">
        <v>5631</v>
      </c>
      <c r="CG466" s="20">
        <v>1899</v>
      </c>
      <c r="CH466" s="20">
        <v>1199</v>
      </c>
      <c r="CI466" s="20">
        <v>466</v>
      </c>
      <c r="CJ466" s="21">
        <f t="shared" si="5947"/>
        <v>7530</v>
      </c>
      <c r="CK466" s="21">
        <f t="shared" si="2995"/>
        <v>1665</v>
      </c>
      <c r="CL466" s="20">
        <v>229318</v>
      </c>
      <c r="CM466" s="20">
        <v>17739</v>
      </c>
      <c r="CN466" s="20">
        <v>69786</v>
      </c>
      <c r="CO466" s="20">
        <v>5431</v>
      </c>
      <c r="CP466" s="20">
        <v>15361</v>
      </c>
      <c r="CQ466" s="20">
        <v>869</v>
      </c>
      <c r="CR466" s="21">
        <f t="shared" si="5948"/>
        <v>75217</v>
      </c>
      <c r="CS466" s="21">
        <f t="shared" si="5167"/>
        <v>16230</v>
      </c>
    </row>
    <row r="467" spans="1:97" x14ac:dyDescent="0.35">
      <c r="A467" s="14">
        <f t="shared" si="2761"/>
        <v>44373</v>
      </c>
      <c r="B467" s="9">
        <f t="shared" si="5913"/>
        <v>1791932</v>
      </c>
      <c r="C467">
        <f t="shared" ref="C467" si="6854">BU467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6855">-(J467-J466)+L467</f>
        <v>5</v>
      </c>
      <c r="N467" s="7">
        <f t="shared" ref="N467" si="6856">B467-C467</f>
        <v>1418413</v>
      </c>
      <c r="O467" s="4">
        <f t="shared" ref="O467" si="6857">C467/B467</f>
        <v>0.20844485170196189</v>
      </c>
      <c r="R467">
        <f t="shared" ref="R467" si="6858">C467-C466</f>
        <v>91</v>
      </c>
      <c r="S467">
        <f t="shared" ref="S467" si="6859">N467-N466</f>
        <v>1178</v>
      </c>
      <c r="T467" s="8">
        <f t="shared" ref="T467" si="6860">R467/V467</f>
        <v>7.1710007880220653E-2</v>
      </c>
      <c r="U467" s="8">
        <f t="shared" ref="U467" si="6861">SUM(R461:R467)/SUM(V461:V467)</f>
        <v>7.0289427052569409E-2</v>
      </c>
      <c r="V467">
        <f t="shared" ref="V467" si="6862">B467-B466</f>
        <v>1269</v>
      </c>
      <c r="W467">
        <f t="shared" ref="W467" si="6863">C467-D467-E467</f>
        <v>1650</v>
      </c>
      <c r="X467" s="3">
        <f t="shared" ref="X467" si="6864">F467/W467</f>
        <v>3.3939393939393943E-2</v>
      </c>
      <c r="Y467">
        <f t="shared" ref="Y467" si="6865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6866">Z467-AC467-AF467</f>
        <v>21</v>
      </c>
      <c r="AJ467">
        <f t="shared" ref="AJ467" si="6867">AA467-AD467-AG467</f>
        <v>9</v>
      </c>
      <c r="AK467">
        <f t="shared" ref="AK467" si="6868">AB467-AE467-AH467</f>
        <v>282</v>
      </c>
      <c r="AT467">
        <f t="shared" ref="AT467" si="6869">BN467-BN466</f>
        <v>6492</v>
      </c>
      <c r="AU467">
        <f t="shared" ref="AU467" si="6870">BO467-BO466</f>
        <v>66</v>
      </c>
      <c r="AV467">
        <f t="shared" ref="AV467" si="6871">AU467/AT467</f>
        <v>1.0166358595194085E-2</v>
      </c>
      <c r="AW467">
        <f t="shared" ref="AW467" si="6872">BV467-BV466</f>
        <v>127</v>
      </c>
      <c r="AX467">
        <f t="shared" ref="AX467" si="6873">BW467-BW466</f>
        <v>-2</v>
      </c>
      <c r="AY467">
        <f t="shared" ref="AY467" si="6874">CL467-CL466</f>
        <v>850</v>
      </c>
      <c r="AZ467">
        <f t="shared" ref="AZ467" si="6875">CM467-CM466</f>
        <v>17</v>
      </c>
      <c r="BA467">
        <f t="shared" ref="BA467" si="6876">CD467-CD466</f>
        <v>22</v>
      </c>
      <c r="BB467">
        <f t="shared" ref="BB467" si="6877">CE467-CE466</f>
        <v>3</v>
      </c>
      <c r="BC467">
        <f t="shared" ref="BC467" si="6878">AX467/AW467</f>
        <v>-1.5748031496062992E-2</v>
      </c>
      <c r="BD467">
        <f t="shared" ref="BD467" si="6879">AZ467/AY467</f>
        <v>0.02</v>
      </c>
      <c r="BE467">
        <f t="shared" ref="BE467" si="6880">BB467/BA467</f>
        <v>0.13636363636363635</v>
      </c>
      <c r="BF467">
        <f t="shared" ref="BF467" si="6881">SUM(AU461:AU467)/SUM(AT461:AT467)</f>
        <v>1.9581572709471296E-2</v>
      </c>
      <c r="BG467">
        <f t="shared" ref="BG467" si="6882">SUM(AU454:AU467)/SUM(AT454:AT467)</f>
        <v>2.0440566920711323E-2</v>
      </c>
      <c r="BH467">
        <f t="shared" ref="BH467" si="6883">SUM(AX461:AX467)/SUM(AW461:AW467)</f>
        <v>1.3986013986013986E-2</v>
      </c>
      <c r="BI467">
        <f t="shared" ref="BI467" si="6884">SUM(AZ461:AZ467)/SUM(AY461:AY467)</f>
        <v>6.1255742725880552E-2</v>
      </c>
      <c r="BJ467">
        <f t="shared" ref="BJ467" si="6885">SUM(BB461:BB467)/SUM(BA461:BA467)</f>
        <v>2.7777777777777776E-2</v>
      </c>
      <c r="BN467" s="20">
        <v>5175891</v>
      </c>
      <c r="BO467" s="20">
        <v>404302</v>
      </c>
      <c r="BP467" s="20">
        <v>1492455</v>
      </c>
      <c r="BQ467" s="20">
        <v>299477</v>
      </c>
      <c r="BR467" s="20">
        <v>308025</v>
      </c>
      <c r="BS467" s="20">
        <v>65494</v>
      </c>
      <c r="BT467" s="21">
        <f t="shared" si="5945"/>
        <v>1791932</v>
      </c>
      <c r="BU467" s="21">
        <f t="shared" si="2991"/>
        <v>373519</v>
      </c>
      <c r="BV467" s="20">
        <v>42758</v>
      </c>
      <c r="BW467" s="20">
        <v>3027</v>
      </c>
      <c r="BX467" s="20">
        <v>9614</v>
      </c>
      <c r="BY467" s="20">
        <v>3509</v>
      </c>
      <c r="BZ467" s="20">
        <v>2228</v>
      </c>
      <c r="CA467" s="20">
        <v>661</v>
      </c>
      <c r="CB467" s="21">
        <f t="shared" si="5946"/>
        <v>13123</v>
      </c>
      <c r="CC467" s="21">
        <f t="shared" si="2993"/>
        <v>2889</v>
      </c>
      <c r="CD467" s="20">
        <v>31320</v>
      </c>
      <c r="CE467" s="20">
        <v>1759</v>
      </c>
      <c r="CF467" s="20">
        <v>5637</v>
      </c>
      <c r="CG467" s="20">
        <v>1899</v>
      </c>
      <c r="CH467" s="20">
        <v>1199</v>
      </c>
      <c r="CI467" s="20">
        <v>466</v>
      </c>
      <c r="CJ467" s="21">
        <f t="shared" si="5947"/>
        <v>7536</v>
      </c>
      <c r="CK467" s="21">
        <f t="shared" si="2995"/>
        <v>1665</v>
      </c>
      <c r="CL467" s="20">
        <v>230168</v>
      </c>
      <c r="CM467" s="20">
        <v>17756</v>
      </c>
      <c r="CN467" s="20">
        <v>69786</v>
      </c>
      <c r="CO467" s="20">
        <v>5504</v>
      </c>
      <c r="CP467" s="20">
        <v>15379</v>
      </c>
      <c r="CQ467" s="20">
        <v>870</v>
      </c>
      <c r="CR467" s="21">
        <f t="shared" si="5948"/>
        <v>75290</v>
      </c>
      <c r="CS467" s="21">
        <f t="shared" si="5167"/>
        <v>16249</v>
      </c>
    </row>
    <row r="468" spans="1:97" x14ac:dyDescent="0.35">
      <c r="A468" s="14">
        <f t="shared" si="2761"/>
        <v>44374</v>
      </c>
      <c r="B468" s="9">
        <f t="shared" si="5913"/>
        <v>1792539</v>
      </c>
      <c r="C468">
        <f t="shared" ref="C468" si="6886">BU468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6887">-(J468-J467)+L468</f>
        <v>2</v>
      </c>
      <c r="N468" s="7">
        <f t="shared" ref="N468" si="6888">B468-C468</f>
        <v>1418971</v>
      </c>
      <c r="O468" s="4">
        <f t="shared" ref="O468" si="6889">C468/B468</f>
        <v>0.20840160241980787</v>
      </c>
      <c r="R468">
        <f t="shared" ref="R468" si="6890">C468-C467</f>
        <v>49</v>
      </c>
      <c r="S468">
        <f t="shared" ref="S468" si="6891">N468-N467</f>
        <v>558</v>
      </c>
      <c r="T468" s="8">
        <f t="shared" ref="T468" si="6892">R468/V468</f>
        <v>8.0724876441515644E-2</v>
      </c>
      <c r="U468" s="8">
        <f t="shared" ref="U468" si="6893">SUM(R462:R468)/SUM(V462:V468)</f>
        <v>7.1189534529966542E-2</v>
      </c>
      <c r="V468">
        <f t="shared" ref="V468" si="6894">B468-B467</f>
        <v>607</v>
      </c>
      <c r="W468">
        <f t="shared" ref="W468" si="6895">C468-D468-E468</f>
        <v>1657</v>
      </c>
      <c r="X468" s="3">
        <f t="shared" ref="X468" si="6896">F468/W468</f>
        <v>3.8020519010259504E-2</v>
      </c>
      <c r="Y468">
        <f t="shared" ref="Y468" si="6897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6898">Z468-AC468-AF468</f>
        <v>21</v>
      </c>
      <c r="AJ468">
        <f t="shared" ref="AJ468" si="6899">AA468-AD468-AG468</f>
        <v>9</v>
      </c>
      <c r="AK468">
        <f t="shared" ref="AK468" si="6900">AB468-AE468-AH468</f>
        <v>302</v>
      </c>
      <c r="AT468">
        <f t="shared" ref="AT468" si="6901">BN468-BN467</f>
        <v>1872</v>
      </c>
      <c r="AU468">
        <f t="shared" ref="AU468" si="6902">BO468-BO467</f>
        <v>111</v>
      </c>
      <c r="AV468">
        <f t="shared" ref="AV468" si="6903">AU468/AT468</f>
        <v>5.9294871794871792E-2</v>
      </c>
      <c r="AW468">
        <f t="shared" ref="AW468" si="6904">BV468-BV467</f>
        <v>10</v>
      </c>
      <c r="AX468">
        <f t="shared" ref="AX468" si="6905">BW468-BW467</f>
        <v>1</v>
      </c>
      <c r="AY468">
        <f t="shared" ref="AY468" si="6906">CL468-CL467</f>
        <v>196</v>
      </c>
      <c r="AZ468">
        <f t="shared" ref="AZ468" si="6907">CM468-CM467</f>
        <v>17</v>
      </c>
      <c r="BA468">
        <f t="shared" ref="BA468" si="6908">CD468-CD467</f>
        <v>8</v>
      </c>
      <c r="BB468">
        <f t="shared" ref="BB468" si="6909">CE468-CE467</f>
        <v>1</v>
      </c>
      <c r="BC468">
        <f t="shared" ref="BC468" si="6910">AX468/AW468</f>
        <v>0.1</v>
      </c>
      <c r="BD468">
        <f t="shared" ref="BD468" si="6911">AZ468/AY468</f>
        <v>8.673469387755102E-2</v>
      </c>
      <c r="BE468">
        <f t="shared" ref="BE468" si="6912">BB468/BA468</f>
        <v>0.125</v>
      </c>
      <c r="BF468">
        <f t="shared" ref="BF468" si="6913">SUM(AU462:AU468)/SUM(AT462:AT468)</f>
        <v>2.1847315850774714E-2</v>
      </c>
      <c r="BG468">
        <f t="shared" ref="BG468" si="6914">SUM(AU455:AU468)/SUM(AT455:AT468)</f>
        <v>2.1764109496451505E-2</v>
      </c>
      <c r="BH468">
        <f t="shared" ref="BH468" si="6915">SUM(AX462:AX468)/SUM(AW462:AW468)</f>
        <v>2.336448598130841E-2</v>
      </c>
      <c r="BI468">
        <f t="shared" ref="BI468" si="6916">SUM(AZ462:AZ468)/SUM(AY462:AY468)</f>
        <v>5.8361942128494361E-2</v>
      </c>
      <c r="BJ468">
        <f t="shared" ref="BJ468" si="6917">SUM(BB462:BB468)/SUM(BA462:BA468)</f>
        <v>2.6845637583892617E-2</v>
      </c>
      <c r="BN468" s="20">
        <v>5177763</v>
      </c>
      <c r="BO468" s="20">
        <v>404413</v>
      </c>
      <c r="BP468" s="20">
        <v>1493026</v>
      </c>
      <c r="BQ468" s="20">
        <v>299513</v>
      </c>
      <c r="BR468" s="20">
        <v>308066</v>
      </c>
      <c r="BS468" s="20">
        <v>65502</v>
      </c>
      <c r="BT468" s="21">
        <f t="shared" si="5945"/>
        <v>1792539</v>
      </c>
      <c r="BU468" s="21">
        <f t="shared" si="2991"/>
        <v>373568</v>
      </c>
      <c r="BV468" s="20">
        <v>42768</v>
      </c>
      <c r="BW468" s="20">
        <v>3028</v>
      </c>
      <c r="BX468" s="20">
        <v>9618</v>
      </c>
      <c r="BY468" s="20">
        <v>3508</v>
      </c>
      <c r="BZ468" s="20">
        <v>2229</v>
      </c>
      <c r="CA468" s="20">
        <v>661</v>
      </c>
      <c r="CB468" s="21">
        <f t="shared" si="5946"/>
        <v>13126</v>
      </c>
      <c r="CC468" s="21">
        <f t="shared" si="2993"/>
        <v>2890</v>
      </c>
      <c r="CD468" s="20">
        <v>31328</v>
      </c>
      <c r="CE468" s="20">
        <v>1760</v>
      </c>
      <c r="CF468" s="20">
        <v>5636</v>
      </c>
      <c r="CG468" s="20">
        <v>1900</v>
      </c>
      <c r="CH468" s="20">
        <v>1200</v>
      </c>
      <c r="CI468" s="20">
        <v>466</v>
      </c>
      <c r="CJ468" s="21">
        <f t="shared" si="5947"/>
        <v>7536</v>
      </c>
      <c r="CK468" s="21">
        <f t="shared" si="2995"/>
        <v>1666</v>
      </c>
      <c r="CL468" s="20">
        <v>230364</v>
      </c>
      <c r="CM468" s="20">
        <v>17773</v>
      </c>
      <c r="CN468" s="20">
        <v>69851</v>
      </c>
      <c r="CO468" s="20">
        <v>5506</v>
      </c>
      <c r="CP468" s="20">
        <v>15390</v>
      </c>
      <c r="CQ468" s="20">
        <v>870</v>
      </c>
      <c r="CR468" s="21">
        <f t="shared" si="5948"/>
        <v>75357</v>
      </c>
      <c r="CS468" s="21">
        <f t="shared" si="5167"/>
        <v>16260</v>
      </c>
    </row>
    <row r="469" spans="1:97" x14ac:dyDescent="0.35">
      <c r="A469" s="14">
        <f t="shared" si="2761"/>
        <v>44375</v>
      </c>
      <c r="B469" s="9">
        <f t="shared" ref="B469:B479" si="6918">BT469</f>
        <v>1793110</v>
      </c>
      <c r="C469">
        <f t="shared" ref="C469" si="6919">BU469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6920">-(J469-J468)+L469</f>
        <v>2</v>
      </c>
      <c r="N469" s="7">
        <f t="shared" ref="N469" si="6921">B469-C469</f>
        <v>1419497</v>
      </c>
      <c r="O469" s="4">
        <f t="shared" ref="O469" si="6922">C469/B469</f>
        <v>0.20836033483723809</v>
      </c>
      <c r="R469">
        <f t="shared" ref="R469" si="6923">C469-C468</f>
        <v>45</v>
      </c>
      <c r="S469">
        <f t="shared" ref="S469" si="6924">N469-N468</f>
        <v>526</v>
      </c>
      <c r="T469" s="8">
        <f t="shared" ref="T469" si="6925">R469/V469</f>
        <v>7.8809106830122586E-2</v>
      </c>
      <c r="U469" s="8">
        <f t="shared" ref="U469" si="6926">SUM(R463:R469)/SUM(V463:V469)</f>
        <v>7.243551289742052E-2</v>
      </c>
      <c r="V469">
        <f t="shared" ref="V469" si="6927">B469-B468</f>
        <v>571</v>
      </c>
      <c r="W469">
        <f t="shared" ref="W469" si="6928">C469-D469-E469</f>
        <v>1659</v>
      </c>
      <c r="X469" s="3">
        <f t="shared" ref="X469" si="6929">F469/W469</f>
        <v>4.0385774562989751E-2</v>
      </c>
      <c r="Y469">
        <f t="shared" ref="Y469" si="6930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6931">Z469-AC469-AF469</f>
        <v>22</v>
      </c>
      <c r="AJ469">
        <f t="shared" ref="AJ469" si="6932">AA469-AD469-AG469</f>
        <v>10</v>
      </c>
      <c r="AK469">
        <f t="shared" ref="AK469" si="6933">AB469-AE469-AH469</f>
        <v>308</v>
      </c>
      <c r="AT469">
        <f t="shared" ref="AT469" si="6934">BN469-BN468</f>
        <v>1921</v>
      </c>
      <c r="AU469">
        <f t="shared" ref="AU469" si="6935">BO469-BO468</f>
        <v>33</v>
      </c>
      <c r="AV469">
        <f t="shared" ref="AV469" si="6936">AU469/AT469</f>
        <v>1.7178552837064029E-2</v>
      </c>
      <c r="AW469">
        <f t="shared" ref="AW469" si="6937">BV469-BV468</f>
        <v>6</v>
      </c>
      <c r="AX469">
        <f t="shared" ref="AX469" si="6938">BW469-BW468</f>
        <v>2</v>
      </c>
      <c r="AY469">
        <f t="shared" ref="AY469" si="6939">CL469-CL468</f>
        <v>87</v>
      </c>
      <c r="AZ469">
        <f t="shared" ref="AZ469" si="6940">CM469-CM468</f>
        <v>7</v>
      </c>
      <c r="BA469">
        <f t="shared" ref="BA469" si="6941">CD469-CD468</f>
        <v>7</v>
      </c>
      <c r="BB469">
        <f t="shared" ref="BB469" si="6942">CE469-CE468</f>
        <v>-1</v>
      </c>
      <c r="BC469">
        <f t="shared" ref="BC469" si="6943">AX469/AW469</f>
        <v>0.33333333333333331</v>
      </c>
      <c r="BD469">
        <f t="shared" ref="BD469" si="6944">AZ469/AY469</f>
        <v>8.0459770114942528E-2</v>
      </c>
      <c r="BE469">
        <f t="shared" ref="BE469" si="6945">BB469/BA469</f>
        <v>-0.14285714285714285</v>
      </c>
      <c r="BF469">
        <f t="shared" ref="BF469" si="6946">SUM(AU463:AU469)/SUM(AT463:AT469)</f>
        <v>2.134918401800788E-2</v>
      </c>
      <c r="BG469">
        <f t="shared" ref="BG469" si="6947">SUM(AU456:AU469)/SUM(AT456:AT469)</f>
        <v>2.1290672819190445E-2</v>
      </c>
      <c r="BH469">
        <f t="shared" ref="BH469" si="6948">SUM(AX463:AX469)/SUM(AW463:AW469)</f>
        <v>1.8604651162790697E-2</v>
      </c>
      <c r="BI469">
        <f t="shared" ref="BI469" si="6949">SUM(AZ463:AZ469)/SUM(AY463:AY469)</f>
        <v>5.7225994180407372E-2</v>
      </c>
      <c r="BJ469">
        <f t="shared" ref="BJ469" si="6950">SUM(BB463:BB469)/SUM(BA463:BA469)</f>
        <v>2.6143790849673203E-2</v>
      </c>
      <c r="BN469" s="20">
        <v>5179684</v>
      </c>
      <c r="BO469" s="20">
        <v>404446</v>
      </c>
      <c r="BP469" s="20">
        <v>1493587</v>
      </c>
      <c r="BQ469" s="20">
        <v>299523</v>
      </c>
      <c r="BR469" s="20">
        <v>308108</v>
      </c>
      <c r="BS469" s="20">
        <v>65505</v>
      </c>
      <c r="BT469" s="21">
        <f t="shared" ref="BT469:BT479" si="6951">SUM(BP469:BQ469)</f>
        <v>1793110</v>
      </c>
      <c r="BU469" s="21">
        <f t="shared" si="2991"/>
        <v>373613</v>
      </c>
      <c r="BV469" s="20">
        <v>42774</v>
      </c>
      <c r="BW469" s="20">
        <v>3030</v>
      </c>
      <c r="BX469" s="20">
        <v>9620</v>
      </c>
      <c r="BY469" s="20">
        <v>3507</v>
      </c>
      <c r="BZ469" s="20">
        <v>2229</v>
      </c>
      <c r="CA469" s="20">
        <v>661</v>
      </c>
      <c r="CB469" s="21">
        <f t="shared" ref="CB469:CB479" si="6952">SUM(BX469:BY469)</f>
        <v>13127</v>
      </c>
      <c r="CC469" s="21">
        <f t="shared" si="2993"/>
        <v>2890</v>
      </c>
      <c r="CD469" s="20">
        <v>31335</v>
      </c>
      <c r="CE469" s="20">
        <v>1759</v>
      </c>
      <c r="CF469" s="20">
        <v>5637</v>
      </c>
      <c r="CG469" s="20">
        <v>1899</v>
      </c>
      <c r="CH469" s="20">
        <v>1201</v>
      </c>
      <c r="CI469" s="20">
        <v>466</v>
      </c>
      <c r="CJ469" s="21">
        <f t="shared" ref="CJ469:CJ479" si="6953">SUM(CF469:CG469)</f>
        <v>7536</v>
      </c>
      <c r="CK469" s="21">
        <f t="shared" si="2995"/>
        <v>1667</v>
      </c>
      <c r="CL469" s="20">
        <v>230451</v>
      </c>
      <c r="CM469" s="20">
        <v>17780</v>
      </c>
      <c r="CN469" s="20">
        <v>69862</v>
      </c>
      <c r="CO469" s="20">
        <v>5510</v>
      </c>
      <c r="CP469" s="20">
        <v>15394</v>
      </c>
      <c r="CQ469" s="20">
        <v>871</v>
      </c>
      <c r="CR469" s="21">
        <f t="shared" ref="CR469:CR479" si="6954">SUM(CN469:CO469)</f>
        <v>75372</v>
      </c>
      <c r="CS469" s="21">
        <f t="shared" si="5167"/>
        <v>16265</v>
      </c>
    </row>
    <row r="470" spans="1:97" x14ac:dyDescent="0.35">
      <c r="A470" s="14">
        <f t="shared" si="2761"/>
        <v>44376</v>
      </c>
      <c r="B470" s="9">
        <f t="shared" si="6918"/>
        <v>1794228</v>
      </c>
      <c r="C470">
        <f t="shared" ref="C470" si="6955">BU470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6956">-(J470-J469)+L470</f>
        <v>4</v>
      </c>
      <c r="N470" s="7">
        <f t="shared" ref="N470" si="6957">B470-C470</f>
        <v>1420522</v>
      </c>
      <c r="O470" s="4">
        <f t="shared" ref="O470" si="6958">C470/B470</f>
        <v>0.20828233647005842</v>
      </c>
      <c r="R470">
        <f t="shared" ref="R470" si="6959">C470-C469</f>
        <v>93</v>
      </c>
      <c r="S470">
        <f t="shared" ref="S470" si="6960">N470-N469</f>
        <v>1025</v>
      </c>
      <c r="T470" s="8">
        <f t="shared" ref="T470" si="6961">R470/V470</f>
        <v>8.3184257602862258E-2</v>
      </c>
      <c r="U470" s="8">
        <f t="shared" ref="U470" si="6962">SUM(R464:R470)/SUM(V464:V470)</f>
        <v>7.4755606670500283E-2</v>
      </c>
      <c r="V470">
        <f t="shared" ref="V470" si="6963">B470-B469</f>
        <v>1118</v>
      </c>
      <c r="W470">
        <f t="shared" ref="W470" si="6964">C470-D470-E470</f>
        <v>1725</v>
      </c>
      <c r="X470" s="3">
        <f t="shared" ref="X470" si="6965">F470/W470</f>
        <v>3.826086956521739E-2</v>
      </c>
      <c r="Y470">
        <f t="shared" ref="Y470" si="6966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6967">Z470-AC470-AF470</f>
        <v>21</v>
      </c>
      <c r="AJ470">
        <f t="shared" ref="AJ470" si="6968">AA470-AD470-AG470</f>
        <v>11</v>
      </c>
      <c r="AK470">
        <f t="shared" ref="AK470" si="6969">AB470-AE470-AH470</f>
        <v>310</v>
      </c>
      <c r="AT470">
        <f t="shared" ref="AT470" si="6970">BN470-BN469</f>
        <v>5282</v>
      </c>
      <c r="AU470">
        <f t="shared" ref="AU470" si="6971">BO470-BO469</f>
        <v>99</v>
      </c>
      <c r="AV470">
        <f t="shared" ref="AV470" si="6972">AU470/AT470</f>
        <v>1.8742900416508897E-2</v>
      </c>
      <c r="AW470">
        <f t="shared" ref="AW470" si="6973">BV470-BV469</f>
        <v>114</v>
      </c>
      <c r="AX470">
        <f t="shared" ref="AX470" si="6974">BW470-BW469</f>
        <v>1</v>
      </c>
      <c r="AY470">
        <f t="shared" ref="AY470" si="6975">CL470-CL469</f>
        <v>217</v>
      </c>
      <c r="AZ470">
        <f t="shared" ref="AZ470" si="6976">CM470-CM469</f>
        <v>20</v>
      </c>
      <c r="BA470">
        <f t="shared" ref="BA470" si="6977">CD470-CD469</f>
        <v>21</v>
      </c>
      <c r="BB470">
        <f t="shared" ref="BB470" si="6978">CE470-CE469</f>
        <v>1</v>
      </c>
      <c r="BC470">
        <f t="shared" ref="BC470" si="6979">AX470/AW470</f>
        <v>8.771929824561403E-3</v>
      </c>
      <c r="BD470">
        <f t="shared" ref="BD470" si="6980">AZ470/AY470</f>
        <v>9.2165898617511524E-2</v>
      </c>
      <c r="BE470">
        <f t="shared" ref="BE470" si="6981">BB470/BA470</f>
        <v>4.7619047619047616E-2</v>
      </c>
      <c r="BF470">
        <f t="shared" ref="BF470" si="6982">SUM(AU464:AU470)/SUM(AT464:AT470)</f>
        <v>2.103870327489249E-2</v>
      </c>
      <c r="BG470">
        <f t="shared" ref="BG470" si="6983">SUM(AU457:AU470)/SUM(AT457:AT470)</f>
        <v>1.9745699326851159E-2</v>
      </c>
      <c r="BH470">
        <f t="shared" ref="BH470" si="6984">SUM(AX464:AX470)/SUM(AW464:AW470)</f>
        <v>2.0161290322580645E-2</v>
      </c>
      <c r="BI470">
        <f t="shared" ref="BI470" si="6985">SUM(AZ464:AZ470)/SUM(AY464:AY470)</f>
        <v>6.0911270983213431E-2</v>
      </c>
      <c r="BJ470">
        <f t="shared" ref="BJ470" si="6986">SUM(BB464:BB470)/SUM(BA464:BA470)</f>
        <v>1.3245033112582781E-2</v>
      </c>
      <c r="BN470" s="20">
        <v>5184966</v>
      </c>
      <c r="BO470" s="20">
        <v>404545</v>
      </c>
      <c r="BP470" s="20">
        <v>1494456</v>
      </c>
      <c r="BQ470" s="20">
        <v>299772</v>
      </c>
      <c r="BR470" s="20">
        <v>308190</v>
      </c>
      <c r="BS470" s="20">
        <v>65516</v>
      </c>
      <c r="BT470" s="21">
        <f t="shared" si="6951"/>
        <v>1794228</v>
      </c>
      <c r="BU470" s="21">
        <f t="shared" si="2991"/>
        <v>373706</v>
      </c>
      <c r="BV470" s="20">
        <v>42888</v>
      </c>
      <c r="BW470" s="20">
        <v>3031</v>
      </c>
      <c r="BX470" s="20">
        <v>9628</v>
      </c>
      <c r="BY470" s="20">
        <v>3511</v>
      </c>
      <c r="BZ470" s="20">
        <v>2229</v>
      </c>
      <c r="CA470" s="20">
        <v>661</v>
      </c>
      <c r="CB470" s="21">
        <f t="shared" si="6952"/>
        <v>13139</v>
      </c>
      <c r="CC470" s="21">
        <f t="shared" si="2993"/>
        <v>2890</v>
      </c>
      <c r="CD470" s="20">
        <v>31356</v>
      </c>
      <c r="CE470" s="20">
        <v>1760</v>
      </c>
      <c r="CF470" s="20">
        <v>5641</v>
      </c>
      <c r="CG470" s="20">
        <v>1902</v>
      </c>
      <c r="CH470" s="20">
        <v>1201</v>
      </c>
      <c r="CI470" s="20">
        <v>466</v>
      </c>
      <c r="CJ470" s="21">
        <f t="shared" si="6953"/>
        <v>7543</v>
      </c>
      <c r="CK470" s="21">
        <f t="shared" si="2995"/>
        <v>1667</v>
      </c>
      <c r="CL470" s="20">
        <v>230668</v>
      </c>
      <c r="CM470" s="20">
        <v>17800</v>
      </c>
      <c r="CN470" s="20">
        <v>69899</v>
      </c>
      <c r="CO470" s="20">
        <v>5527</v>
      </c>
      <c r="CP470" s="20">
        <v>15411</v>
      </c>
      <c r="CQ470" s="20">
        <v>871</v>
      </c>
      <c r="CR470" s="21">
        <f t="shared" si="6954"/>
        <v>75426</v>
      </c>
      <c r="CS470" s="21">
        <f t="shared" si="5167"/>
        <v>16282</v>
      </c>
    </row>
    <row r="471" spans="1:97" x14ac:dyDescent="0.35">
      <c r="A471" s="14">
        <f t="shared" si="2761"/>
        <v>44377</v>
      </c>
      <c r="B471" s="9">
        <f t="shared" si="6918"/>
        <v>1795400</v>
      </c>
      <c r="C471">
        <f t="shared" ref="C471" si="6987">BU471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6988">-(J471-J470)+L471</f>
        <v>3</v>
      </c>
      <c r="N471" s="7">
        <f t="shared" ref="N471" si="6989">B471-C471</f>
        <v>1421577</v>
      </c>
      <c r="O471" s="4">
        <f t="shared" ref="O471" si="6990">C471/B471</f>
        <v>0.20821154060376518</v>
      </c>
      <c r="R471">
        <f t="shared" ref="R471" si="6991">C471-C470</f>
        <v>117</v>
      </c>
      <c r="S471">
        <f t="shared" ref="S471" si="6992">N471-N470</f>
        <v>1055</v>
      </c>
      <c r="T471" s="8">
        <f t="shared" ref="T471" si="6993">R471/V471</f>
        <v>9.9829351535836178E-2</v>
      </c>
      <c r="U471" s="8">
        <f t="shared" ref="U471" si="6994">SUM(R465:R471)/SUM(V465:V471)</f>
        <v>7.7774408732565192E-2</v>
      </c>
      <c r="V471">
        <f t="shared" ref="V471" si="6995">B471-B470</f>
        <v>1172</v>
      </c>
      <c r="W471">
        <f t="shared" ref="W471" si="6996">C471-D471-E471</f>
        <v>1700</v>
      </c>
      <c r="X471" s="3">
        <f t="shared" ref="X471" si="6997">F471/W471</f>
        <v>4.1176470588235294E-2</v>
      </c>
      <c r="Y471">
        <f t="shared" ref="Y471" si="6998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999">Z471-AC471-AF471</f>
        <v>20</v>
      </c>
      <c r="AJ471">
        <f t="shared" ref="AJ471" si="7000">AA471-AD471-AG471</f>
        <v>10</v>
      </c>
      <c r="AK471">
        <f t="shared" ref="AK471" si="7001">AB471-AE471-AH471</f>
        <v>316</v>
      </c>
      <c r="AT471">
        <f t="shared" ref="AT471" si="7002">BN471-BN470</f>
        <v>5091</v>
      </c>
      <c r="AU471">
        <f t="shared" ref="AU471" si="7003">BO471-BO470</f>
        <v>161</v>
      </c>
      <c r="AV471">
        <f t="shared" ref="AV471" si="7004">AU471/AT471</f>
        <v>3.1624435277941468E-2</v>
      </c>
      <c r="AW471">
        <f t="shared" ref="AW471" si="7005">BV471-BV470</f>
        <v>142</v>
      </c>
      <c r="AX471">
        <f t="shared" ref="AX471" si="7006">BW471-BW470</f>
        <v>-2</v>
      </c>
      <c r="AY471">
        <f t="shared" ref="AY471" si="7007">CL471-CL470</f>
        <v>378</v>
      </c>
      <c r="AZ471">
        <f t="shared" ref="AZ471" si="7008">CM471-CM470</f>
        <v>15</v>
      </c>
      <c r="BA471">
        <f t="shared" ref="BA471" si="7009">CD471-CD470</f>
        <v>46</v>
      </c>
      <c r="BB471">
        <f t="shared" ref="BB471" si="7010">CE471-CE470</f>
        <v>-2</v>
      </c>
      <c r="BC471">
        <f t="shared" ref="BC471" si="7011">AX471/AW471</f>
        <v>-1.4084507042253521E-2</v>
      </c>
      <c r="BD471">
        <f t="shared" ref="BD471" si="7012">AZ471/AY471</f>
        <v>3.968253968253968E-2</v>
      </c>
      <c r="BE471">
        <f t="shared" ref="BE471" si="7013">BB471/BA471</f>
        <v>-4.3478260869565216E-2</v>
      </c>
      <c r="BF471">
        <f t="shared" ref="BF471" si="7014">SUM(AU465:AU471)/SUM(AT465:AT471)</f>
        <v>2.1784552149340639E-2</v>
      </c>
      <c r="BG471">
        <f t="shared" ref="BG471" si="7015">SUM(AU458:AU471)/SUM(AT458:AT471)</f>
        <v>2.0854054770903786E-2</v>
      </c>
      <c r="BH471">
        <f t="shared" ref="BH471" si="7016">SUM(AX465:AX471)/SUM(AW465:AW471)</f>
        <v>3.9138943248532287E-3</v>
      </c>
      <c r="BI471">
        <f t="shared" ref="BI471" si="7017">SUM(AZ465:AZ471)/SUM(AY465:AY471)</f>
        <v>5.2459016393442623E-2</v>
      </c>
      <c r="BJ471">
        <f t="shared" ref="BJ471" si="7018">SUM(BB465:BB471)/SUM(BA465:BA471)</f>
        <v>6.5359477124183009E-3</v>
      </c>
      <c r="BN471" s="20">
        <v>5190057</v>
      </c>
      <c r="BO471" s="20">
        <v>404706</v>
      </c>
      <c r="BP471" s="20">
        <v>1495449</v>
      </c>
      <c r="BQ471" s="20">
        <v>299951</v>
      </c>
      <c r="BR471" s="20">
        <v>308279</v>
      </c>
      <c r="BS471" s="20">
        <v>65544</v>
      </c>
      <c r="BT471" s="21">
        <f t="shared" si="6951"/>
        <v>1795400</v>
      </c>
      <c r="BU471" s="21">
        <f t="shared" si="2991"/>
        <v>373823</v>
      </c>
      <c r="BV471" s="20">
        <v>43030</v>
      </c>
      <c r="BW471" s="20">
        <v>3029</v>
      </c>
      <c r="BX471" s="20">
        <v>9628</v>
      </c>
      <c r="BY471" s="20">
        <v>3519</v>
      </c>
      <c r="BZ471" s="20">
        <v>2230</v>
      </c>
      <c r="CA471" s="20">
        <v>661</v>
      </c>
      <c r="CB471" s="21">
        <f t="shared" si="6952"/>
        <v>13147</v>
      </c>
      <c r="CC471" s="21">
        <f t="shared" si="2993"/>
        <v>2891</v>
      </c>
      <c r="CD471" s="20">
        <v>31402</v>
      </c>
      <c r="CE471" s="20">
        <v>1758</v>
      </c>
      <c r="CF471" s="20">
        <v>5641</v>
      </c>
      <c r="CG471" s="20">
        <v>1905</v>
      </c>
      <c r="CH471" s="20">
        <v>1201</v>
      </c>
      <c r="CI471" s="20">
        <v>466</v>
      </c>
      <c r="CJ471" s="21">
        <f t="shared" si="6953"/>
        <v>7546</v>
      </c>
      <c r="CK471" s="21">
        <f t="shared" si="2995"/>
        <v>1667</v>
      </c>
      <c r="CL471" s="20">
        <v>231046</v>
      </c>
      <c r="CM471" s="20">
        <v>17815</v>
      </c>
      <c r="CN471" s="20">
        <v>69939</v>
      </c>
      <c r="CO471" s="20">
        <v>5547</v>
      </c>
      <c r="CP471" s="20">
        <v>15422</v>
      </c>
      <c r="CQ471" s="20">
        <v>871</v>
      </c>
      <c r="CR471" s="21">
        <f t="shared" si="6954"/>
        <v>75486</v>
      </c>
      <c r="CS471" s="21">
        <f t="shared" si="5167"/>
        <v>16293</v>
      </c>
    </row>
    <row r="472" spans="1:97" x14ac:dyDescent="0.35">
      <c r="A472" s="14">
        <f t="shared" si="2761"/>
        <v>44378</v>
      </c>
      <c r="B472" s="9">
        <f t="shared" si="6918"/>
        <v>1796536</v>
      </c>
      <c r="C472">
        <f t="shared" ref="C472" si="7019">BU472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7020">-(J472-J471)+L472</f>
        <v>5</v>
      </c>
      <c r="N472" s="7">
        <f t="shared" ref="N472" si="7021">B472-C472</f>
        <v>1422594</v>
      </c>
      <c r="O472" s="4">
        <f t="shared" ref="O472" si="7022">C472/B472</f>
        <v>0.20814612120213566</v>
      </c>
      <c r="R472">
        <f t="shared" ref="R472" si="7023">C472-C471</f>
        <v>119</v>
      </c>
      <c r="S472">
        <f t="shared" ref="S472" si="7024">N472-N471</f>
        <v>1017</v>
      </c>
      <c r="T472" s="8">
        <f t="shared" ref="T472" si="7025">R472/V472</f>
        <v>0.10475352112676056</v>
      </c>
      <c r="U472" s="8">
        <f t="shared" ref="U472" si="7026">SUM(R466:R472)/SUM(V466:V472)</f>
        <v>8.4758364312267659E-2</v>
      </c>
      <c r="V472">
        <f t="shared" ref="V472" si="7027">B472-B471</f>
        <v>1136</v>
      </c>
      <c r="W472">
        <f t="shared" ref="W472" si="7028">C472-D472-E472</f>
        <v>1707</v>
      </c>
      <c r="X472" s="3">
        <f t="shared" ref="X472" si="7029">F472/W472</f>
        <v>4.1593438781487989E-2</v>
      </c>
      <c r="Y472">
        <f t="shared" ref="Y472" si="7030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7031">Z472-AC472-AF472</f>
        <v>20</v>
      </c>
      <c r="AJ472">
        <f t="shared" ref="AJ472" si="7032">AA472-AD472-AG472</f>
        <v>10</v>
      </c>
      <c r="AK472">
        <f t="shared" ref="AK472" si="7033">AB472-AE472-AH472</f>
        <v>317</v>
      </c>
      <c r="AT472">
        <f t="shared" ref="AT472" si="7034">BN472-BN471</f>
        <v>5102</v>
      </c>
      <c r="AU472">
        <f t="shared" ref="AU472" si="7035">BO472-BO471</f>
        <v>82</v>
      </c>
      <c r="AV472">
        <f t="shared" ref="AV472" si="7036">AU472/AT472</f>
        <v>1.6072128577028617E-2</v>
      </c>
      <c r="AW472">
        <f t="shared" ref="AW472" si="7037">BV472-BV471</f>
        <v>142</v>
      </c>
      <c r="AX472">
        <f t="shared" ref="AX472" si="7038">BW472-BW471</f>
        <v>6</v>
      </c>
      <c r="AY472">
        <f t="shared" ref="AY472" si="7039">CL472-CL471</f>
        <v>331</v>
      </c>
      <c r="AZ472">
        <f t="shared" ref="AZ472" si="7040">CM472-CM471</f>
        <v>17</v>
      </c>
      <c r="BA472">
        <f t="shared" ref="BA472" si="7041">CD472-CD471</f>
        <v>36</v>
      </c>
      <c r="BB472">
        <f t="shared" ref="BB472" si="7042">CE472-CE471</f>
        <v>4</v>
      </c>
      <c r="BC472">
        <f t="shared" ref="BC472" si="7043">AX472/AW472</f>
        <v>4.2253521126760563E-2</v>
      </c>
      <c r="BD472">
        <f t="shared" ref="BD472" si="7044">AZ472/AY472</f>
        <v>5.1359516616314202E-2</v>
      </c>
      <c r="BE472">
        <f t="shared" ref="BE472" si="7045">BB472/BA472</f>
        <v>0.1111111111111111</v>
      </c>
      <c r="BF472">
        <f t="shared" ref="BF472" si="7046">SUM(AU466:AU472)/SUM(AT466:AT472)</f>
        <v>2.239366423158326E-2</v>
      </c>
      <c r="BG472">
        <f t="shared" ref="BG472" si="7047">SUM(AU459:AU472)/SUM(AT459:AT472)</f>
        <v>2.0814061054579093E-2</v>
      </c>
      <c r="BH472">
        <f t="shared" ref="BH472" si="7048">SUM(AX466:AX472)/SUM(AW466:AW472)</f>
        <v>1.610305958132045E-2</v>
      </c>
      <c r="BI472">
        <f t="shared" ref="BI472" si="7049">SUM(AZ466:AZ472)/SUM(AY466:AY472)</f>
        <v>5.2083333333333336E-2</v>
      </c>
      <c r="BJ472">
        <f t="shared" ref="BJ472" si="7050">SUM(BB466:BB472)/SUM(BA466:BA472)</f>
        <v>1.9230769230769232E-2</v>
      </c>
      <c r="BN472" s="20">
        <v>5195159</v>
      </c>
      <c r="BO472" s="20">
        <v>404788</v>
      </c>
      <c r="BP472" s="20">
        <v>1496356</v>
      </c>
      <c r="BQ472" s="20">
        <v>300180</v>
      </c>
      <c r="BR472" s="20">
        <v>308376</v>
      </c>
      <c r="BS472" s="20">
        <v>65566</v>
      </c>
      <c r="BT472" s="21">
        <f t="shared" si="6951"/>
        <v>1796536</v>
      </c>
      <c r="BU472" s="21">
        <f t="shared" si="2991"/>
        <v>373942</v>
      </c>
      <c r="BV472" s="20">
        <v>43172</v>
      </c>
      <c r="BW472" s="20">
        <v>3035</v>
      </c>
      <c r="BX472" s="20">
        <v>9634</v>
      </c>
      <c r="BY472" s="20">
        <v>3524</v>
      </c>
      <c r="BZ472" s="20">
        <v>2230</v>
      </c>
      <c r="CA472" s="20">
        <v>664</v>
      </c>
      <c r="CB472" s="21">
        <f t="shared" si="6952"/>
        <v>13158</v>
      </c>
      <c r="CC472" s="21">
        <f t="shared" si="2993"/>
        <v>2894</v>
      </c>
      <c r="CD472" s="20">
        <v>31438</v>
      </c>
      <c r="CE472" s="20">
        <v>1762</v>
      </c>
      <c r="CF472" s="20">
        <v>5642</v>
      </c>
      <c r="CG472" s="20">
        <v>1911</v>
      </c>
      <c r="CH472" s="20">
        <v>1202</v>
      </c>
      <c r="CI472" s="20">
        <v>467</v>
      </c>
      <c r="CJ472" s="21">
        <f t="shared" si="6953"/>
        <v>7553</v>
      </c>
      <c r="CK472" s="21">
        <f t="shared" si="2995"/>
        <v>1669</v>
      </c>
      <c r="CL472" s="20">
        <v>231377</v>
      </c>
      <c r="CM472" s="20">
        <v>17832</v>
      </c>
      <c r="CN472" s="20">
        <v>70005</v>
      </c>
      <c r="CO472" s="20">
        <v>5556</v>
      </c>
      <c r="CP472" s="20">
        <v>15442</v>
      </c>
      <c r="CQ472" s="20">
        <v>871</v>
      </c>
      <c r="CR472" s="21">
        <f t="shared" si="6954"/>
        <v>75561</v>
      </c>
      <c r="CS472" s="21">
        <f t="shared" si="5167"/>
        <v>16313</v>
      </c>
    </row>
    <row r="473" spans="1:97" x14ac:dyDescent="0.35">
      <c r="A473" s="14">
        <f t="shared" si="2761"/>
        <v>44379</v>
      </c>
      <c r="B473" s="9">
        <f t="shared" si="6918"/>
        <v>1797491</v>
      </c>
      <c r="C473">
        <f t="shared" ref="C473" si="7051">BU473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7052">-(J473-J472)+L473</f>
        <v>2</v>
      </c>
      <c r="N473" s="7">
        <f t="shared" ref="N473" si="7053">B473-C473</f>
        <v>1423453</v>
      </c>
      <c r="O473" s="4">
        <f t="shared" ref="O473" si="7054">C473/B473</f>
        <v>0.20808894175269863</v>
      </c>
      <c r="R473">
        <f t="shared" ref="R473" si="7055">C473-C472</f>
        <v>96</v>
      </c>
      <c r="S473">
        <f t="shared" ref="S473" si="7056">N473-N472</f>
        <v>859</v>
      </c>
      <c r="T473" s="8">
        <f t="shared" ref="T473" si="7057">R473/V473</f>
        <v>0.10052356020942409</v>
      </c>
      <c r="U473" s="8">
        <f t="shared" ref="U473" si="7058">SUM(R467:R473)/SUM(V467:V473)</f>
        <v>8.9338019917984762E-2</v>
      </c>
      <c r="V473">
        <f t="shared" ref="V473" si="7059">B473-B472</f>
        <v>955</v>
      </c>
      <c r="W473">
        <f t="shared" ref="W473" si="7060">C473-D473-E473</f>
        <v>1701</v>
      </c>
      <c r="X473" s="3">
        <f t="shared" ref="X473" si="7061">F473/W473</f>
        <v>4.2328042328042326E-2</v>
      </c>
      <c r="Y473">
        <f t="shared" ref="Y473" si="7062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7063">Z473-AC473-AF473</f>
        <v>23</v>
      </c>
      <c r="AJ473">
        <f t="shared" ref="AJ473" si="7064">AA473-AD473-AG473</f>
        <v>12</v>
      </c>
      <c r="AK473">
        <f t="shared" ref="AK473" si="7065">AB473-AE473-AH473</f>
        <v>326</v>
      </c>
      <c r="AT473">
        <f t="shared" ref="AT473" si="7066">BN473-BN472</f>
        <v>4698</v>
      </c>
      <c r="AU473">
        <f t="shared" ref="AU473" si="7067">BO473-BO472</f>
        <v>112</v>
      </c>
      <c r="AV473">
        <f t="shared" ref="AV473" si="7068">AU473/AT473</f>
        <v>2.3839931885908897E-2</v>
      </c>
      <c r="AW473">
        <f t="shared" ref="AW473" si="7069">BV473-BV472</f>
        <v>70</v>
      </c>
      <c r="AX473">
        <f t="shared" ref="AX473" si="7070">BW473-BW472</f>
        <v>-3</v>
      </c>
      <c r="AY473">
        <f t="shared" ref="AY473" si="7071">CL473-CL472</f>
        <v>420</v>
      </c>
      <c r="AZ473">
        <f t="shared" ref="AZ473" si="7072">CM473-CM472</f>
        <v>16</v>
      </c>
      <c r="BA473">
        <f t="shared" ref="BA473" si="7073">CD473-CD472</f>
        <v>24</v>
      </c>
      <c r="BB473">
        <f t="shared" ref="BB473" si="7074">CE473-CE472</f>
        <v>1</v>
      </c>
      <c r="BC473">
        <f t="shared" ref="BC473" si="7075">AX473/AW473</f>
        <v>-4.2857142857142858E-2</v>
      </c>
      <c r="BD473">
        <f t="shared" ref="BD473" si="7076">AZ473/AY473</f>
        <v>3.8095238095238099E-2</v>
      </c>
      <c r="BE473">
        <f t="shared" ref="BE473" si="7077">BB473/BA473</f>
        <v>4.1666666666666664E-2</v>
      </c>
      <c r="BF473">
        <f t="shared" ref="BF473" si="7078">SUM(AU467:AU473)/SUM(AT467:AT473)</f>
        <v>2.1800512180707859E-2</v>
      </c>
      <c r="BG473">
        <f t="shared" ref="BG473" si="7079">SUM(AU460:AU473)/SUM(AT460:AT473)</f>
        <v>2.1617816239976648E-2</v>
      </c>
      <c r="BH473">
        <f t="shared" ref="BH473" si="7080">SUM(AX467:AX473)/SUM(AW467:AW473)</f>
        <v>4.9099836333878887E-3</v>
      </c>
      <c r="BI473">
        <f t="shared" ref="BI473" si="7081">SUM(AZ467:AZ473)/SUM(AY467:AY473)</f>
        <v>4.3969342476805166E-2</v>
      </c>
      <c r="BJ473">
        <f t="shared" ref="BJ473" si="7082">SUM(BB467:BB473)/SUM(BA467:BA473)</f>
        <v>4.2682926829268296E-2</v>
      </c>
      <c r="BN473" s="20">
        <v>5199857</v>
      </c>
      <c r="BO473" s="20">
        <v>404900</v>
      </c>
      <c r="BP473" s="20">
        <v>1497051</v>
      </c>
      <c r="BQ473" s="20">
        <v>300440</v>
      </c>
      <c r="BR473" s="20">
        <v>308450</v>
      </c>
      <c r="BS473" s="20">
        <v>65588</v>
      </c>
      <c r="BT473" s="21">
        <f t="shared" si="6951"/>
        <v>1797491</v>
      </c>
      <c r="BU473" s="21">
        <f t="shared" si="2991"/>
        <v>374038</v>
      </c>
      <c r="BV473" s="20">
        <v>43242</v>
      </c>
      <c r="BW473" s="20">
        <v>3032</v>
      </c>
      <c r="BX473" s="20">
        <v>9639</v>
      </c>
      <c r="BY473" s="20">
        <v>3524</v>
      </c>
      <c r="BZ473" s="20">
        <v>2230</v>
      </c>
      <c r="CA473" s="20">
        <v>664</v>
      </c>
      <c r="CB473" s="21">
        <f t="shared" si="6952"/>
        <v>13163</v>
      </c>
      <c r="CC473" s="21">
        <f t="shared" si="2993"/>
        <v>2894</v>
      </c>
      <c r="CD473" s="20">
        <v>31462</v>
      </c>
      <c r="CE473" s="20">
        <v>1763</v>
      </c>
      <c r="CF473" s="20">
        <v>5646</v>
      </c>
      <c r="CG473" s="20">
        <v>1909</v>
      </c>
      <c r="CH473" s="20">
        <v>1202</v>
      </c>
      <c r="CI473" s="20">
        <v>467</v>
      </c>
      <c r="CJ473" s="21">
        <f t="shared" si="6953"/>
        <v>7555</v>
      </c>
      <c r="CK473" s="21">
        <f t="shared" si="2995"/>
        <v>1669</v>
      </c>
      <c r="CL473" s="20">
        <v>231797</v>
      </c>
      <c r="CM473" s="20">
        <v>17848</v>
      </c>
      <c r="CN473" s="20">
        <v>70053</v>
      </c>
      <c r="CO473" s="20">
        <v>5560</v>
      </c>
      <c r="CP473" s="20">
        <v>15455</v>
      </c>
      <c r="CQ473" s="20">
        <v>871</v>
      </c>
      <c r="CR473" s="21">
        <f t="shared" si="6954"/>
        <v>75613</v>
      </c>
      <c r="CS473" s="21">
        <f t="shared" si="5167"/>
        <v>16326</v>
      </c>
    </row>
    <row r="474" spans="1:97" x14ac:dyDescent="0.35">
      <c r="A474" s="14">
        <f t="shared" si="2761"/>
        <v>44380</v>
      </c>
      <c r="B474" s="9">
        <f t="shared" si="6918"/>
        <v>1798414</v>
      </c>
      <c r="C474">
        <f t="shared" ref="C474" si="7083">BU474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7084">-(J474-J473)+L474</f>
        <v>6</v>
      </c>
      <c r="N474" s="7">
        <f t="shared" ref="N474" si="7085">B474-C474</f>
        <v>1424300</v>
      </c>
      <c r="O474" s="4">
        <f t="shared" ref="O474" si="7086">C474/B474</f>
        <v>0.20802440372461514</v>
      </c>
      <c r="R474">
        <f t="shared" ref="R474" si="7087">C474-C473</f>
        <v>76</v>
      </c>
      <c r="S474">
        <f t="shared" ref="S474" si="7088">N474-N473</f>
        <v>847</v>
      </c>
      <c r="T474" s="8">
        <f t="shared" ref="T474" si="7089">R474/V474</f>
        <v>8.2340195016251352E-2</v>
      </c>
      <c r="U474" s="8">
        <f t="shared" ref="U474" si="7090">SUM(R468:R474)/SUM(V468:V474)</f>
        <v>9.1792656587473001E-2</v>
      </c>
      <c r="V474">
        <f t="shared" ref="V474" si="7091">B474-B473</f>
        <v>923</v>
      </c>
      <c r="W474">
        <f t="shared" ref="W474" si="7092">C474-D474-E474</f>
        <v>1687</v>
      </c>
      <c r="X474" s="3">
        <f t="shared" ref="X474" si="7093">F474/W474</f>
        <v>4.3864848844101953E-2</v>
      </c>
      <c r="Y474">
        <f t="shared" ref="Y474" si="7094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7095">Z474-AC474-AF474</f>
        <v>22</v>
      </c>
      <c r="AJ474">
        <f t="shared" ref="AJ474" si="7096">AA474-AD474-AG474</f>
        <v>12</v>
      </c>
      <c r="AK474">
        <f t="shared" ref="AK474" si="7097">AB474-AE474-AH474</f>
        <v>332</v>
      </c>
      <c r="AT474">
        <f t="shared" ref="AT474" si="7098">BN474-BN473</f>
        <v>4307</v>
      </c>
      <c r="AU474">
        <f t="shared" ref="AU474" si="7099">BO474-BO473</f>
        <v>111</v>
      </c>
      <c r="AV474">
        <f t="shared" ref="AV474" si="7100">AU474/AT474</f>
        <v>2.5771999071279313E-2</v>
      </c>
      <c r="AW474">
        <f t="shared" ref="AW474" si="7101">BV474-BV473</f>
        <v>58</v>
      </c>
      <c r="AX474">
        <f t="shared" ref="AX474" si="7102">BW474-BW473</f>
        <v>1</v>
      </c>
      <c r="AY474">
        <f t="shared" ref="AY474" si="7103">CL474-CL473</f>
        <v>296</v>
      </c>
      <c r="AZ474">
        <f t="shared" ref="AZ474" si="7104">CM474-CM473</f>
        <v>22</v>
      </c>
      <c r="BA474">
        <f t="shared" ref="BA474" si="7105">CD474-CD473</f>
        <v>19</v>
      </c>
      <c r="BB474">
        <f t="shared" ref="BB474" si="7106">CE474-CE473</f>
        <v>1</v>
      </c>
      <c r="BC474">
        <f t="shared" ref="BC474" si="7107">AX474/AW474</f>
        <v>1.7241379310344827E-2</v>
      </c>
      <c r="BD474">
        <f t="shared" ref="BD474" si="7108">AZ474/AY474</f>
        <v>7.4324324324324328E-2</v>
      </c>
      <c r="BE474">
        <f t="shared" ref="BE474" si="7109">BB474/BA474</f>
        <v>5.2631578947368418E-2</v>
      </c>
      <c r="BF474">
        <f t="shared" ref="BF474" si="7110">SUM(AU468:AU474)/SUM(AT468:AT474)</f>
        <v>2.5076928518374422E-2</v>
      </c>
      <c r="BG474">
        <f t="shared" ref="BG474" si="7111">SUM(AU461:AU474)/SUM(AT461:AT474)</f>
        <v>2.2289219615907428E-2</v>
      </c>
      <c r="BH474">
        <f t="shared" ref="BH474" si="7112">SUM(AX468:AX474)/SUM(AW468:AW474)</f>
        <v>1.107011070110701E-2</v>
      </c>
      <c r="BI474">
        <f t="shared" ref="BI474" si="7113">SUM(AZ468:AZ474)/SUM(AY468:AY474)</f>
        <v>5.9220779220779222E-2</v>
      </c>
      <c r="BJ474">
        <f t="shared" ref="BJ474" si="7114">SUM(BB468:BB474)/SUM(BA468:BA474)</f>
        <v>3.1055900621118012E-2</v>
      </c>
      <c r="BN474" s="20">
        <v>5204164</v>
      </c>
      <c r="BO474" s="20">
        <v>405011</v>
      </c>
      <c r="BP474" s="20">
        <v>1497760</v>
      </c>
      <c r="BQ474" s="20">
        <v>300654</v>
      </c>
      <c r="BR474" s="20">
        <v>308503</v>
      </c>
      <c r="BS474" s="20">
        <v>65611</v>
      </c>
      <c r="BT474" s="21">
        <f t="shared" si="6951"/>
        <v>1798414</v>
      </c>
      <c r="BU474" s="21">
        <f t="shared" si="2991"/>
        <v>374114</v>
      </c>
      <c r="BV474" s="20">
        <v>43300</v>
      </c>
      <c r="BW474" s="20">
        <v>3033</v>
      </c>
      <c r="BX474" s="20">
        <v>9644</v>
      </c>
      <c r="BY474" s="20">
        <v>3523</v>
      </c>
      <c r="BZ474" s="20">
        <v>2232</v>
      </c>
      <c r="CA474" s="20">
        <v>663</v>
      </c>
      <c r="CB474" s="21">
        <f t="shared" si="6952"/>
        <v>13167</v>
      </c>
      <c r="CC474" s="21">
        <f t="shared" si="2993"/>
        <v>2895</v>
      </c>
      <c r="CD474" s="20">
        <v>31481</v>
      </c>
      <c r="CE474" s="20">
        <v>1764</v>
      </c>
      <c r="CF474" s="20">
        <v>5646</v>
      </c>
      <c r="CG474" s="20">
        <v>1910</v>
      </c>
      <c r="CH474" s="20">
        <v>1202</v>
      </c>
      <c r="CI474" s="20">
        <v>467</v>
      </c>
      <c r="CJ474" s="21">
        <f t="shared" si="6953"/>
        <v>7556</v>
      </c>
      <c r="CK474" s="21">
        <f t="shared" si="2995"/>
        <v>1669</v>
      </c>
      <c r="CL474" s="20">
        <v>232093</v>
      </c>
      <c r="CM474" s="20">
        <v>17870</v>
      </c>
      <c r="CN474" s="20">
        <v>70096</v>
      </c>
      <c r="CO474" s="20">
        <v>5566</v>
      </c>
      <c r="CP474" s="20">
        <v>15465</v>
      </c>
      <c r="CQ474" s="20">
        <v>872</v>
      </c>
      <c r="CR474" s="21">
        <f t="shared" si="6954"/>
        <v>75662</v>
      </c>
      <c r="CS474" s="21">
        <f t="shared" si="5167"/>
        <v>16337</v>
      </c>
    </row>
    <row r="475" spans="1:97" x14ac:dyDescent="0.35">
      <c r="A475" s="14">
        <f t="shared" si="2761"/>
        <v>44381</v>
      </c>
      <c r="B475" s="9">
        <f t="shared" si="6918"/>
        <v>1799087</v>
      </c>
      <c r="C475">
        <f t="shared" ref="C475" si="7115">BU475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7116">-(J475-J474)+L475</f>
        <v>4</v>
      </c>
      <c r="N475" s="7">
        <f t="shared" ref="N475" si="7117">B475-C475</f>
        <v>1424912</v>
      </c>
      <c r="O475" s="4">
        <f t="shared" ref="O475" si="7118">C475/B475</f>
        <v>0.20798049232749721</v>
      </c>
      <c r="R475">
        <f t="shared" ref="R475" si="7119">C475-C474</f>
        <v>61</v>
      </c>
      <c r="S475">
        <f t="shared" ref="S475" si="7120">N475-N474</f>
        <v>612</v>
      </c>
      <c r="T475" s="8">
        <f t="shared" ref="T475" si="7121">R475/V475</f>
        <v>9.0638930163447248E-2</v>
      </c>
      <c r="U475" s="8">
        <f t="shared" ref="U475" si="7122">SUM(R469:R475)/SUM(V469:V475)</f>
        <v>9.2700061087354915E-2</v>
      </c>
      <c r="V475">
        <f t="shared" ref="V475" si="7123">B475-B474</f>
        <v>673</v>
      </c>
      <c r="W475">
        <f t="shared" ref="W475" si="7124">C475-D475-E475</f>
        <v>1702</v>
      </c>
      <c r="X475" s="3">
        <f t="shared" ref="X475" si="7125">F475/W475</f>
        <v>4.230317273795535E-2</v>
      </c>
      <c r="Y475">
        <f t="shared" ref="Y475" si="7126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7127">Z475-AC475-AF475</f>
        <v>23</v>
      </c>
      <c r="AJ475">
        <f t="shared" ref="AJ475" si="7128">AA475-AD475-AG475</f>
        <v>12</v>
      </c>
      <c r="AK475">
        <f t="shared" ref="AK475" si="7129">AB475-AE475-AH475</f>
        <v>340</v>
      </c>
      <c r="AT475">
        <f t="shared" ref="AT475" si="7130">BN475-BN474</f>
        <v>2227</v>
      </c>
      <c r="AU475">
        <f t="shared" ref="AU475" si="7131">BO475-BO474</f>
        <v>79</v>
      </c>
      <c r="AV475">
        <f t="shared" ref="AV475" si="7132">AU475/AT475</f>
        <v>3.5473731477323751E-2</v>
      </c>
      <c r="AW475">
        <f t="shared" ref="AW475" si="7133">BV475-BV474</f>
        <v>7</v>
      </c>
      <c r="AX475">
        <f t="shared" ref="AX475" si="7134">BW475-BW474</f>
        <v>2</v>
      </c>
      <c r="AY475">
        <f t="shared" ref="AY475" si="7135">CL475-CL474</f>
        <v>110</v>
      </c>
      <c r="AZ475">
        <f t="shared" ref="AZ475" si="7136">CM475-CM474</f>
        <v>8</v>
      </c>
      <c r="BA475">
        <f t="shared" ref="BA475" si="7137">CD475-CD474</f>
        <v>13</v>
      </c>
      <c r="BB475">
        <f t="shared" ref="BB475" si="7138">CE475-CE474</f>
        <v>-3</v>
      </c>
      <c r="BC475">
        <f t="shared" ref="BC475" si="7139">AX475/AW475</f>
        <v>0.2857142857142857</v>
      </c>
      <c r="BD475">
        <f t="shared" ref="BD475" si="7140">AZ475/AY475</f>
        <v>7.2727272727272724E-2</v>
      </c>
      <c r="BE475">
        <f t="shared" ref="BE475" si="7141">BB475/BA475</f>
        <v>-0.23076923076923078</v>
      </c>
      <c r="BF475">
        <f t="shared" ref="BF475" si="7142">SUM(AU469:AU475)/SUM(AT469:AT475)</f>
        <v>2.3648176610311582E-2</v>
      </c>
      <c r="BG475">
        <f t="shared" ref="BG475" si="7143">SUM(AU462:AU475)/SUM(AT462:AT475)</f>
        <v>2.2752409543371779E-2</v>
      </c>
      <c r="BH475">
        <f t="shared" ref="BH475" si="7144">SUM(AX469:AX475)/SUM(AW469:AW475)</f>
        <v>1.2987012987012988E-2</v>
      </c>
      <c r="BI475">
        <f t="shared" ref="BI475" si="7145">SUM(AZ469:AZ475)/SUM(AY469:AY475)</f>
        <v>5.7096247960848286E-2</v>
      </c>
      <c r="BJ475">
        <f t="shared" ref="BJ475" si="7146">SUM(BB469:BB475)/SUM(BA469:BA475)</f>
        <v>6.024096385542169E-3</v>
      </c>
      <c r="BN475" s="20">
        <v>5206391</v>
      </c>
      <c r="BO475" s="20">
        <v>405090</v>
      </c>
      <c r="BP475" s="20">
        <v>1498392</v>
      </c>
      <c r="BQ475" s="20">
        <v>300695</v>
      </c>
      <c r="BR475" s="20">
        <v>308556</v>
      </c>
      <c r="BS475" s="20">
        <v>65619</v>
      </c>
      <c r="BT475" s="21">
        <f t="shared" si="6951"/>
        <v>1799087</v>
      </c>
      <c r="BU475" s="21">
        <f t="shared" si="2991"/>
        <v>374175</v>
      </c>
      <c r="BV475" s="20">
        <v>43307</v>
      </c>
      <c r="BW475" s="20">
        <v>3035</v>
      </c>
      <c r="BX475" s="20">
        <v>9645</v>
      </c>
      <c r="BY475" s="20">
        <v>3523</v>
      </c>
      <c r="BZ475" s="20">
        <v>2232</v>
      </c>
      <c r="CA475" s="20">
        <v>663</v>
      </c>
      <c r="CB475" s="21">
        <f t="shared" si="6952"/>
        <v>13168</v>
      </c>
      <c r="CC475" s="21">
        <f t="shared" si="2993"/>
        <v>2895</v>
      </c>
      <c r="CD475" s="20">
        <v>31494</v>
      </c>
      <c r="CE475" s="20">
        <v>1761</v>
      </c>
      <c r="CF475" s="20">
        <v>5652</v>
      </c>
      <c r="CG475" s="20">
        <v>1910</v>
      </c>
      <c r="CH475" s="20">
        <v>1203</v>
      </c>
      <c r="CI475" s="20">
        <v>467</v>
      </c>
      <c r="CJ475" s="21">
        <f t="shared" si="6953"/>
        <v>7562</v>
      </c>
      <c r="CK475" s="21">
        <f t="shared" si="2995"/>
        <v>1670</v>
      </c>
      <c r="CL475" s="20">
        <v>232203</v>
      </c>
      <c r="CM475" s="20">
        <v>17878</v>
      </c>
      <c r="CN475" s="20">
        <v>70122</v>
      </c>
      <c r="CO475" s="20">
        <v>5564</v>
      </c>
      <c r="CP475" s="20">
        <v>15479</v>
      </c>
      <c r="CQ475" s="20">
        <v>872</v>
      </c>
      <c r="CR475" s="21">
        <f t="shared" si="6954"/>
        <v>75686</v>
      </c>
      <c r="CS475" s="21">
        <f t="shared" si="5167"/>
        <v>16351</v>
      </c>
    </row>
    <row r="476" spans="1:97" x14ac:dyDescent="0.35">
      <c r="A476" s="14">
        <f t="shared" si="2761"/>
        <v>44382</v>
      </c>
      <c r="B476" s="9">
        <f t="shared" si="6918"/>
        <v>1799409</v>
      </c>
      <c r="C476">
        <f t="shared" ref="C476" si="7147">BU476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7148">-(J476-J475)+L476</f>
        <v>6</v>
      </c>
      <c r="N476" s="7">
        <f t="shared" ref="N476" si="7149">B476-C476</f>
        <v>1425211</v>
      </c>
      <c r="O476" s="4">
        <f t="shared" ref="O476" si="7150">C476/B476</f>
        <v>0.20795605668305539</v>
      </c>
      <c r="R476">
        <f t="shared" ref="R476" si="7151">C476-C475</f>
        <v>23</v>
      </c>
      <c r="S476">
        <f t="shared" ref="S476" si="7152">N476-N475</f>
        <v>299</v>
      </c>
      <c r="T476" s="8">
        <f t="shared" ref="T476" si="7153">R476/V476</f>
        <v>7.1428571428571425E-2</v>
      </c>
      <c r="U476" s="8">
        <f t="shared" ref="U476" si="7154">SUM(R470:R476)/SUM(V470:V476)</f>
        <v>9.287188442609938E-2</v>
      </c>
      <c r="V476">
        <f t="shared" ref="V476" si="7155">B476-B475</f>
        <v>322</v>
      </c>
      <c r="W476">
        <f t="shared" ref="W476" si="7156">C476-D476-E476</f>
        <v>1725</v>
      </c>
      <c r="X476" s="3">
        <f t="shared" ref="X476" si="7157">F476/W476</f>
        <v>4.5217391304347827E-2</v>
      </c>
      <c r="Y476">
        <f t="shared" ref="Y476" si="7158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7159">Z476-AC476-AF476</f>
        <v>20</v>
      </c>
      <c r="AJ476">
        <f t="shared" ref="AJ476" si="7160">AA476-AD476-AG476</f>
        <v>13</v>
      </c>
      <c r="AK476">
        <f t="shared" ref="AK476" si="7161">AB476-AE476-AH476</f>
        <v>348</v>
      </c>
      <c r="AT476">
        <f t="shared" ref="AT476" si="7162">BN476-BN475</f>
        <v>1087</v>
      </c>
      <c r="AU476">
        <f t="shared" ref="AU476" si="7163">BO476-BO475</f>
        <v>7</v>
      </c>
      <c r="AV476">
        <f t="shared" ref="AV476" si="7164">AU476/AT476</f>
        <v>6.439742410303588E-3</v>
      </c>
      <c r="AW476">
        <f t="shared" ref="AW476" si="7165">BV476-BV475</f>
        <v>6</v>
      </c>
      <c r="AX476">
        <f t="shared" ref="AX476" si="7166">BW476-BW475</f>
        <v>0</v>
      </c>
      <c r="AY476">
        <f t="shared" ref="AY476" si="7167">CL476-CL475</f>
        <v>31549</v>
      </c>
      <c r="AZ476">
        <f t="shared" ref="AZ476" si="7168">CM476-CM475</f>
        <v>1</v>
      </c>
      <c r="BA476">
        <f t="shared" ref="BA476" si="7169">CD476-CD475</f>
        <v>2</v>
      </c>
      <c r="BB476">
        <f t="shared" ref="BB476" si="7170">CE476-CE475</f>
        <v>4</v>
      </c>
      <c r="BC476">
        <f t="shared" ref="BC476" si="7171">AX476/AW476</f>
        <v>0</v>
      </c>
      <c r="BD476">
        <f t="shared" ref="BD476" si="7172">AZ476/AY476</f>
        <v>3.1696725728232273E-5</v>
      </c>
      <c r="BE476">
        <f t="shared" ref="BE476" si="7173">BB476/BA476</f>
        <v>2</v>
      </c>
      <c r="BF476">
        <f t="shared" ref="BF476" si="7174">SUM(AU470:AU476)/SUM(AT470:AT476)</f>
        <v>2.3422321364323234E-2</v>
      </c>
      <c r="BG476">
        <f t="shared" ref="BG476" si="7175">SUM(AU463:AU476)/SUM(AT463:AT476)</f>
        <v>2.2373990680468112E-2</v>
      </c>
      <c r="BH476">
        <f t="shared" ref="BH476" si="7176">SUM(AX470:AX476)/SUM(AW470:AW476)</f>
        <v>9.2764378478664197E-3</v>
      </c>
      <c r="BI476">
        <f t="shared" ref="BI476" si="7177">SUM(AZ470:AZ476)/SUM(AY470:AY476)</f>
        <v>2.9728836971862705E-3</v>
      </c>
      <c r="BJ476">
        <f t="shared" ref="BJ476" si="7178">SUM(BB470:BB476)/SUM(BA470:BA476)</f>
        <v>3.7267080745341616E-2</v>
      </c>
      <c r="BN476" s="20">
        <v>5207478</v>
      </c>
      <c r="BO476" s="20">
        <v>405097</v>
      </c>
      <c r="BP476" s="20">
        <v>1498721</v>
      </c>
      <c r="BQ476" s="20">
        <v>300688</v>
      </c>
      <c r="BR476" s="20">
        <v>308580</v>
      </c>
      <c r="BS476" s="20">
        <v>65618</v>
      </c>
      <c r="BT476" s="21">
        <f t="shared" si="6951"/>
        <v>1799409</v>
      </c>
      <c r="BU476" s="21">
        <f t="shared" si="2991"/>
        <v>374198</v>
      </c>
      <c r="BV476" s="20">
        <v>43313</v>
      </c>
      <c r="BW476" s="20">
        <v>3035</v>
      </c>
      <c r="BX476" s="20">
        <v>9646</v>
      </c>
      <c r="BY476" s="20">
        <v>3523</v>
      </c>
      <c r="BZ476" s="20">
        <v>2233</v>
      </c>
      <c r="CA476" s="20">
        <v>663</v>
      </c>
      <c r="CB476" s="21">
        <f t="shared" si="6952"/>
        <v>13169</v>
      </c>
      <c r="CC476" s="21">
        <f t="shared" si="2993"/>
        <v>2896</v>
      </c>
      <c r="CD476" s="20">
        <v>31496</v>
      </c>
      <c r="CE476" s="20">
        <v>1765</v>
      </c>
      <c r="CF476" s="20">
        <v>5653</v>
      </c>
      <c r="CG476" s="20">
        <v>1910</v>
      </c>
      <c r="CH476" s="20">
        <v>1205</v>
      </c>
      <c r="CI476" s="20">
        <v>467</v>
      </c>
      <c r="CJ476" s="21">
        <f t="shared" si="6953"/>
        <v>7563</v>
      </c>
      <c r="CK476" s="21">
        <f t="shared" si="2995"/>
        <v>1672</v>
      </c>
      <c r="CL476" s="20">
        <v>263752</v>
      </c>
      <c r="CM476" s="20">
        <v>17879</v>
      </c>
      <c r="CN476" s="20">
        <v>70144</v>
      </c>
      <c r="CO476" s="20">
        <v>5563</v>
      </c>
      <c r="CP476" s="20">
        <v>15480</v>
      </c>
      <c r="CQ476" s="20">
        <v>872</v>
      </c>
      <c r="CR476" s="21">
        <f t="shared" si="6954"/>
        <v>75707</v>
      </c>
      <c r="CS476" s="21">
        <f t="shared" si="5167"/>
        <v>16352</v>
      </c>
    </row>
    <row r="477" spans="1:97" x14ac:dyDescent="0.35">
      <c r="A477" s="14">
        <f t="shared" si="2761"/>
        <v>44383</v>
      </c>
      <c r="B477" s="9">
        <f t="shared" si="6918"/>
        <v>1799958</v>
      </c>
      <c r="C477">
        <f t="shared" ref="C477" si="7179">BU477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7180">-(J477-J476)+L477</f>
        <v>3</v>
      </c>
      <c r="N477" s="7">
        <f t="shared" ref="N477" si="7181">B477-C477</f>
        <v>1425705</v>
      </c>
      <c r="O477" s="4">
        <f t="shared" ref="O477" si="7182">C477/B477</f>
        <v>0.20792318487431374</v>
      </c>
      <c r="R477">
        <f t="shared" ref="R477" si="7183">C477-C476</f>
        <v>55</v>
      </c>
      <c r="S477">
        <f t="shared" ref="S477" si="7184">N477-N476</f>
        <v>494</v>
      </c>
      <c r="T477" s="8">
        <f t="shared" ref="T477:T478" si="7185">R477/V477</f>
        <v>0.10018214936247723</v>
      </c>
      <c r="U477" s="8">
        <f t="shared" ref="U477" si="7186">SUM(R471:R477)/SUM(V471:V477)</f>
        <v>9.5462478184991276E-2</v>
      </c>
      <c r="V477">
        <f t="shared" ref="V477" si="7187">B477-B476</f>
        <v>549</v>
      </c>
      <c r="W477">
        <f t="shared" ref="W477" si="7188">C477-D477-E477</f>
        <v>1618</v>
      </c>
      <c r="X477" s="3">
        <f t="shared" ref="X477:X478" si="7189">F477/W477</f>
        <v>4.6971569839307788E-2</v>
      </c>
      <c r="Y477">
        <f t="shared" ref="Y477" si="7190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7191">Z477-AC477-AF477</f>
        <v>20</v>
      </c>
      <c r="AJ477">
        <f t="shared" ref="AJ477" si="7192">AA477-AD477-AG477</f>
        <v>15</v>
      </c>
      <c r="AK477">
        <f t="shared" ref="AK477" si="7193">AB477-AE477-AH477</f>
        <v>336</v>
      </c>
      <c r="AT477">
        <f t="shared" ref="AT477" si="7194">BN477-BN476</f>
        <v>2081</v>
      </c>
      <c r="AU477">
        <f t="shared" ref="AU477" si="7195">BO477-BO476</f>
        <v>62</v>
      </c>
      <c r="AV477">
        <f t="shared" ref="AV477" si="7196">AU477/AT477</f>
        <v>2.9793368572801536E-2</v>
      </c>
      <c r="AW477">
        <f t="shared" ref="AW477" si="7197">BV477-BV476</f>
        <v>9</v>
      </c>
      <c r="AX477">
        <f t="shared" ref="AX477" si="7198">BW477-BW476</f>
        <v>-3</v>
      </c>
      <c r="AY477">
        <f t="shared" ref="AY477" si="7199">CL477-CL476</f>
        <v>-31366</v>
      </c>
      <c r="AZ477">
        <f t="shared" ref="AZ477" si="7200">CM477-CM476</f>
        <v>8</v>
      </c>
      <c r="BA477">
        <f t="shared" ref="BA477" si="7201">CD477-CD476</f>
        <v>9</v>
      </c>
      <c r="BB477">
        <f t="shared" ref="BB477" si="7202">CE477-CE476</f>
        <v>1</v>
      </c>
      <c r="BC477">
        <f t="shared" ref="BC477" si="7203">AX477/AW477</f>
        <v>-0.33333333333333331</v>
      </c>
      <c r="BD477">
        <f t="shared" ref="BD477" si="7204">AZ477/AY477</f>
        <v>-2.5505324236434353E-4</v>
      </c>
      <c r="BE477">
        <f t="shared" ref="BE477" si="7205">BB477/BA477</f>
        <v>0.1111111111111111</v>
      </c>
      <c r="BF477">
        <f t="shared" ref="BF477" si="7206">SUM(AU471:AU477)/SUM(AT471:AT477)</f>
        <v>2.4966453868987111E-2</v>
      </c>
      <c r="BG477">
        <f t="shared" ref="BG477" si="7207">SUM(AU464:AU477)/SUM(AT464:AT477)</f>
        <v>2.2800649362493843E-2</v>
      </c>
      <c r="BH477">
        <f t="shared" ref="BH477" si="7208">SUM(AX471:AX477)/SUM(AW471:AW477)</f>
        <v>2.304147465437788E-3</v>
      </c>
      <c r="BI477">
        <f t="shared" ref="BI477" si="7209">SUM(AZ471:AZ477)/SUM(AY471:AY477)</f>
        <v>5.0640279394644938E-2</v>
      </c>
      <c r="BJ477">
        <f t="shared" ref="BJ477" si="7210">SUM(BB471:BB477)/SUM(BA471:BA477)</f>
        <v>4.0268456375838924E-2</v>
      </c>
      <c r="BN477" s="20">
        <v>5209559</v>
      </c>
      <c r="BO477" s="20">
        <v>405159</v>
      </c>
      <c r="BP477" s="20">
        <v>1499251</v>
      </c>
      <c r="BQ477" s="20">
        <v>300707</v>
      </c>
      <c r="BR477" s="20">
        <v>308621</v>
      </c>
      <c r="BS477" s="20">
        <v>65632</v>
      </c>
      <c r="BT477" s="21">
        <f t="shared" si="6951"/>
        <v>1799958</v>
      </c>
      <c r="BU477" s="21">
        <f t="shared" si="2991"/>
        <v>374253</v>
      </c>
      <c r="BV477" s="20">
        <v>43322</v>
      </c>
      <c r="BW477" s="20">
        <v>3032</v>
      </c>
      <c r="BX477" s="20">
        <v>9649</v>
      </c>
      <c r="BY477" s="20">
        <v>3523</v>
      </c>
      <c r="BZ477" s="20">
        <v>2233</v>
      </c>
      <c r="CA477" s="20">
        <v>663</v>
      </c>
      <c r="CB477" s="21">
        <f t="shared" si="6952"/>
        <v>13172</v>
      </c>
      <c r="CC477" s="21">
        <f t="shared" si="2993"/>
        <v>2896</v>
      </c>
      <c r="CD477" s="20">
        <v>31505</v>
      </c>
      <c r="CE477" s="20">
        <v>1766</v>
      </c>
      <c r="CF477" s="20">
        <v>5654</v>
      </c>
      <c r="CG477" s="20">
        <v>1910</v>
      </c>
      <c r="CH477" s="20">
        <v>1205</v>
      </c>
      <c r="CI477" s="20">
        <v>467</v>
      </c>
      <c r="CJ477" s="21">
        <f t="shared" si="6953"/>
        <v>7564</v>
      </c>
      <c r="CK477" s="21">
        <f t="shared" si="2995"/>
        <v>1672</v>
      </c>
      <c r="CL477" s="20">
        <v>232386</v>
      </c>
      <c r="CM477" s="20">
        <v>17887</v>
      </c>
      <c r="CN477" s="20">
        <v>70172</v>
      </c>
      <c r="CO477" s="20">
        <v>5565</v>
      </c>
      <c r="CP477" s="20">
        <v>15491</v>
      </c>
      <c r="CQ477" s="20">
        <v>872</v>
      </c>
      <c r="CR477" s="21">
        <f t="shared" si="6954"/>
        <v>75737</v>
      </c>
      <c r="CS477" s="21">
        <f t="shared" si="5167"/>
        <v>16363</v>
      </c>
    </row>
    <row r="478" spans="1:97" x14ac:dyDescent="0.35">
      <c r="A478" s="14">
        <f t="shared" si="2761"/>
        <v>44384</v>
      </c>
      <c r="B478" s="9">
        <f t="shared" si="6918"/>
        <v>1800984</v>
      </c>
      <c r="C478">
        <f t="shared" ref="C478" si="7211">BU478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7212">-(J478-J477)+L478</f>
        <v>3</v>
      </c>
      <c r="N478" s="7">
        <f t="shared" ref="N478" si="7213">B478-C478</f>
        <v>1426664</v>
      </c>
      <c r="O478" s="4">
        <f t="shared" ref="O478" si="7214">C478/B478</f>
        <v>0.20784193529759287</v>
      </c>
      <c r="R478">
        <f>C478-MAX(C$2:C477)</f>
        <v>67</v>
      </c>
      <c r="S478">
        <f>N478-MAX(N$2:N477)</f>
        <v>959</v>
      </c>
      <c r="T478" s="8">
        <f t="shared" si="7185"/>
        <v>6.5302144249512667E-2</v>
      </c>
      <c r="U478" s="8">
        <f t="shared" ref="U478" si="7215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7189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7216">Z478-AC478-AF478</f>
        <v>20</v>
      </c>
      <c r="AJ478">
        <f t="shared" ref="AJ478" si="7217">AA478-AD478-AG478</f>
        <v>15</v>
      </c>
      <c r="AK478">
        <f t="shared" ref="AK478" si="7218">AB478-AE478-AH478</f>
        <v>347</v>
      </c>
      <c r="AT478">
        <f t="shared" ref="AT478" si="7219">BN478-BN477</f>
        <v>4439</v>
      </c>
      <c r="AU478">
        <f t="shared" ref="AU478" si="7220">BO478-BO477</f>
        <v>102</v>
      </c>
      <c r="AV478">
        <f t="shared" ref="AV478" si="7221">AU478/AT478</f>
        <v>2.297814823158369E-2</v>
      </c>
      <c r="AW478">
        <f t="shared" ref="AW478" si="7222">BV478-BV477</f>
        <v>64</v>
      </c>
      <c r="AX478">
        <f t="shared" ref="AX478" si="7223">BW478-BW477</f>
        <v>3</v>
      </c>
      <c r="AY478">
        <f t="shared" ref="AY478" si="7224">CL478-CL477</f>
        <v>458</v>
      </c>
      <c r="AZ478">
        <f t="shared" ref="AZ478" si="7225">CM478-CM477</f>
        <v>23</v>
      </c>
      <c r="BA478">
        <f t="shared" ref="BA478" si="7226">CD478-CD477</f>
        <v>38</v>
      </c>
      <c r="BB478">
        <f t="shared" ref="BB478" si="7227">CE478-CE477</f>
        <v>1</v>
      </c>
      <c r="BC478">
        <f t="shared" ref="BC478" si="7228">AX478/AW478</f>
        <v>4.6875E-2</v>
      </c>
      <c r="BD478">
        <f t="shared" ref="BD478" si="7229">AZ478/AY478</f>
        <v>5.0218340611353711E-2</v>
      </c>
      <c r="BE478">
        <f t="shared" ref="BE478" si="7230">BB478/BA478</f>
        <v>2.6315789473684209E-2</v>
      </c>
      <c r="BF478">
        <f t="shared" ref="BF478" si="7231">SUM(AU472:AU478)/SUM(AT472:AT478)</f>
        <v>2.3181989056430392E-2</v>
      </c>
      <c r="BG478">
        <f t="shared" ref="BG478" si="7232">SUM(AU465:AU478)/SUM(AT465:AT478)</f>
        <v>2.2414182475158084E-2</v>
      </c>
      <c r="BH478">
        <f t="shared" ref="BH478" si="7233">SUM(AX472:AX478)/SUM(AW472:AW478)</f>
        <v>1.6853932584269662E-2</v>
      </c>
      <c r="BI478">
        <f t="shared" ref="BI478" si="7234">SUM(AZ472:AZ478)/SUM(AY472:AY478)</f>
        <v>5.2836484983314794E-2</v>
      </c>
      <c r="BJ478">
        <f t="shared" ref="BJ478" si="7235">SUM(BB472:BB478)/SUM(BA472:BA478)</f>
        <v>6.3829787234042548E-2</v>
      </c>
      <c r="BN478" s="20">
        <v>5213998</v>
      </c>
      <c r="BO478" s="20">
        <v>405261</v>
      </c>
      <c r="BP478" s="20">
        <v>1500083</v>
      </c>
      <c r="BQ478" s="20">
        <v>300901</v>
      </c>
      <c r="BR478" s="20">
        <v>308676</v>
      </c>
      <c r="BS478" s="20">
        <v>65644</v>
      </c>
      <c r="BT478" s="21">
        <f t="shared" si="6951"/>
        <v>1800984</v>
      </c>
      <c r="BU478" s="21">
        <f t="shared" si="2991"/>
        <v>374320</v>
      </c>
      <c r="BV478" s="20">
        <v>43386</v>
      </c>
      <c r="BW478" s="20">
        <v>3035</v>
      </c>
      <c r="BX478" s="20">
        <v>9656</v>
      </c>
      <c r="BY478" s="20">
        <v>3525</v>
      </c>
      <c r="BZ478" s="20">
        <v>2233</v>
      </c>
      <c r="CA478" s="20">
        <v>663</v>
      </c>
      <c r="CB478" s="21">
        <f t="shared" si="6952"/>
        <v>13181</v>
      </c>
      <c r="CC478" s="21">
        <f t="shared" si="2993"/>
        <v>2896</v>
      </c>
      <c r="CD478" s="20">
        <v>31543</v>
      </c>
      <c r="CE478" s="20">
        <v>1767</v>
      </c>
      <c r="CF478" s="20">
        <v>5657</v>
      </c>
      <c r="CG478" s="20">
        <v>1913</v>
      </c>
      <c r="CH478" s="20">
        <v>1206</v>
      </c>
      <c r="CI478" s="20">
        <v>467</v>
      </c>
      <c r="CJ478" s="21">
        <f t="shared" si="6953"/>
        <v>7570</v>
      </c>
      <c r="CK478" s="21">
        <f t="shared" si="2995"/>
        <v>1673</v>
      </c>
      <c r="CL478" s="20">
        <v>232844</v>
      </c>
      <c r="CM478" s="20">
        <v>17910</v>
      </c>
      <c r="CN478" s="20">
        <v>70239</v>
      </c>
      <c r="CO478" s="20">
        <v>5565</v>
      </c>
      <c r="CP478" s="20">
        <v>15509</v>
      </c>
      <c r="CQ478" s="20">
        <v>873</v>
      </c>
      <c r="CR478" s="21">
        <f t="shared" si="6954"/>
        <v>75804</v>
      </c>
      <c r="CS478" s="21">
        <f t="shared" si="5167"/>
        <v>16382</v>
      </c>
    </row>
    <row r="479" spans="1:97" x14ac:dyDescent="0.35">
      <c r="A479" s="14">
        <f t="shared" si="2761"/>
        <v>44385</v>
      </c>
      <c r="B479" s="9">
        <f t="shared" si="6918"/>
        <v>1801504</v>
      </c>
      <c r="C479">
        <f t="shared" ref="C479" si="7236">BU479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7237">-(J479-J478)+L479</f>
        <v>2</v>
      </c>
      <c r="N479" s="7">
        <f t="shared" ref="N479" si="7238">B479-C479</f>
        <v>1427123</v>
      </c>
      <c r="O479" s="4">
        <f t="shared" ref="O479" si="7239">C479/B479</f>
        <v>0.2078158027958861</v>
      </c>
      <c r="R479">
        <f>C479-MAX(C$2:C478)</f>
        <v>61</v>
      </c>
      <c r="S479">
        <f>N479-MAX(N$2:N478)</f>
        <v>459</v>
      </c>
      <c r="T479" s="8">
        <f t="shared" ref="T479" si="7240">R479/V479</f>
        <v>0.11730769230769231</v>
      </c>
      <c r="U479" s="8">
        <f t="shared" ref="U479" si="7241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7242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7243">Z479-AC479-AF479</f>
        <v>10</v>
      </c>
      <c r="AJ479">
        <f t="shared" ref="AJ479" si="7244">AA479-AD479-AG479</f>
        <v>17</v>
      </c>
      <c r="AK479">
        <f t="shared" ref="AK479" si="7245">AB479-AE479-AH479</f>
        <v>317</v>
      </c>
      <c r="AT479">
        <f t="shared" ref="AT479" si="7246">BN479-BN478</f>
        <v>2311</v>
      </c>
      <c r="AU479">
        <f t="shared" ref="AU479" si="7247">BO479-BO478</f>
        <v>42</v>
      </c>
      <c r="AV479">
        <f t="shared" ref="AV479" si="7248">AU479/AT479</f>
        <v>1.8173950670705322E-2</v>
      </c>
      <c r="AW479">
        <f t="shared" ref="AW479" si="7249">BV479-BV478</f>
        <v>18</v>
      </c>
      <c r="AX479">
        <f t="shared" ref="AX479" si="7250">BW479-BW478</f>
        <v>-1</v>
      </c>
      <c r="AY479">
        <f t="shared" ref="AY479" si="7251">CL479-CL478</f>
        <v>92</v>
      </c>
      <c r="AZ479">
        <f t="shared" ref="AZ479" si="7252">CM479-CM478</f>
        <v>3</v>
      </c>
      <c r="BA479">
        <f t="shared" ref="BA479" si="7253">CD479-CD478</f>
        <v>6</v>
      </c>
      <c r="BB479">
        <f t="shared" ref="BB479" si="7254">CE479-CE478</f>
        <v>0</v>
      </c>
      <c r="BC479">
        <f t="shared" ref="BC479" si="7255">AX479/AW479</f>
        <v>-5.5555555555555552E-2</v>
      </c>
      <c r="BD479">
        <f t="shared" ref="BD479" si="7256">AZ479/AY479</f>
        <v>3.2608695652173912E-2</v>
      </c>
      <c r="BE479">
        <f t="shared" ref="BE479" si="7257">BB479/BA479</f>
        <v>0</v>
      </c>
      <c r="BF479">
        <f t="shared" ref="BF479" si="7258">SUM(AU473:AU479)/SUM(AT473:AT479)</f>
        <v>2.4349881796690308E-2</v>
      </c>
      <c r="BG479">
        <f t="shared" ref="BG479" si="7259">SUM(AU466:AU479)/SUM(AT466:AT479)</f>
        <v>2.3213860915074141E-2</v>
      </c>
      <c r="BH479">
        <f t="shared" ref="BH479" si="7260">SUM(AX473:AX479)/SUM(AW473:AW479)</f>
        <v>-4.3103448275862068E-3</v>
      </c>
      <c r="BI479">
        <f t="shared" ref="BI479" si="7261">SUM(AZ473:AZ479)/SUM(AY473:AY479)</f>
        <v>5.1956382296343813E-2</v>
      </c>
      <c r="BJ479">
        <f t="shared" ref="BJ479" si="7262">SUM(BB473:BB479)/SUM(BA473:BA479)</f>
        <v>4.5045045045045043E-2</v>
      </c>
      <c r="BN479" s="20">
        <v>5216309</v>
      </c>
      <c r="BO479" s="20">
        <v>405303</v>
      </c>
      <c r="BP479" s="20">
        <v>1500404</v>
      </c>
      <c r="BQ479" s="20">
        <v>301100</v>
      </c>
      <c r="BR479" s="20">
        <v>308704</v>
      </c>
      <c r="BS479" s="20">
        <v>65677</v>
      </c>
      <c r="BT479" s="21">
        <f t="shared" si="6951"/>
        <v>1801504</v>
      </c>
      <c r="BU479" s="21">
        <f t="shared" si="2991"/>
        <v>374381</v>
      </c>
      <c r="BV479" s="20">
        <v>43404</v>
      </c>
      <c r="BW479" s="20">
        <v>3034</v>
      </c>
      <c r="BX479" s="20">
        <v>9665</v>
      </c>
      <c r="BY479" s="20">
        <v>3531</v>
      </c>
      <c r="BZ479" s="20">
        <v>2243</v>
      </c>
      <c r="CA479" s="20">
        <v>665</v>
      </c>
      <c r="CB479" s="21">
        <f t="shared" si="6952"/>
        <v>13196</v>
      </c>
      <c r="CC479" s="21">
        <f t="shared" si="2993"/>
        <v>2908</v>
      </c>
      <c r="CD479" s="20">
        <v>31549</v>
      </c>
      <c r="CE479" s="20">
        <v>1767</v>
      </c>
      <c r="CF479" s="20">
        <v>5654</v>
      </c>
      <c r="CG479" s="20">
        <v>1915</v>
      </c>
      <c r="CH479" s="20">
        <v>1202</v>
      </c>
      <c r="CI479" s="20">
        <v>468</v>
      </c>
      <c r="CJ479" s="21">
        <f t="shared" si="6953"/>
        <v>7569</v>
      </c>
      <c r="CK479" s="21">
        <f t="shared" si="2995"/>
        <v>1670</v>
      </c>
      <c r="CL479" s="20">
        <v>232936</v>
      </c>
      <c r="CM479" s="20">
        <v>17913</v>
      </c>
      <c r="CN479" s="20">
        <v>70290</v>
      </c>
      <c r="CO479" s="20">
        <v>5568</v>
      </c>
      <c r="CP479" s="20">
        <v>15545</v>
      </c>
      <c r="CQ479" s="20">
        <v>877</v>
      </c>
      <c r="CR479" s="21">
        <f t="shared" si="6954"/>
        <v>75858</v>
      </c>
      <c r="CS479" s="21">
        <f t="shared" si="5167"/>
        <v>16422</v>
      </c>
    </row>
    <row r="480" spans="1:97" x14ac:dyDescent="0.35">
      <c r="A480" s="14">
        <f t="shared" si="2761"/>
        <v>44386</v>
      </c>
      <c r="B480" s="9"/>
      <c r="E480" s="9"/>
      <c r="F480" s="9"/>
      <c r="N480" s="7"/>
      <c r="O480" s="4"/>
      <c r="T480" s="8"/>
      <c r="U480" s="8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BN480" s="20"/>
      <c r="BO480" s="20"/>
      <c r="BP480" s="20"/>
      <c r="BQ480" s="20"/>
      <c r="BR480" s="20"/>
      <c r="BS480" s="20"/>
      <c r="BV480" s="20"/>
      <c r="BW480" s="20"/>
      <c r="BX480" s="20"/>
      <c r="BY480" s="20"/>
      <c r="BZ480" s="20"/>
      <c r="CA480" s="20"/>
      <c r="CD480" s="20"/>
      <c r="CE480" s="20"/>
      <c r="CF480" s="20"/>
      <c r="CG480" s="20"/>
      <c r="CH480" s="20"/>
      <c r="CI480" s="20"/>
      <c r="CL480" s="20"/>
      <c r="CM480" s="20"/>
      <c r="CN480" s="20"/>
      <c r="CO480" s="20"/>
      <c r="CP480" s="20"/>
      <c r="CQ480" s="20"/>
    </row>
    <row r="481" spans="1:97" x14ac:dyDescent="0.35">
      <c r="A481" s="14">
        <f t="shared" si="2761"/>
        <v>44387</v>
      </c>
      <c r="B481" s="9">
        <f>BT481</f>
        <v>1803507</v>
      </c>
      <c r="C481">
        <f t="shared" ref="C481" si="7263">BU481</f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ref="N481:N488" si="7264">B481-C481</f>
        <v>1428880</v>
      </c>
      <c r="O481" s="4">
        <f t="shared" ref="O481" si="7265">C481/B481</f>
        <v>0.20772140058230992</v>
      </c>
      <c r="R481">
        <f>C481-MAX(C$2:C480)</f>
        <v>246</v>
      </c>
      <c r="S481">
        <f>N481-MAX(N$2:N480)</f>
        <v>1757</v>
      </c>
      <c r="T481" s="8">
        <f t="shared" ref="T481" si="7266">R481/V481</f>
        <v>0.12281577633549676</v>
      </c>
      <c r="U481" s="8">
        <f t="shared" ref="U481" si="7267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7268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7269">Z481-AC481-AF481</f>
        <v>24</v>
      </c>
      <c r="AJ481">
        <f t="shared" ref="AJ481:AJ488" si="7270">AA481-AD481-AG481</f>
        <v>14</v>
      </c>
      <c r="AK481">
        <f t="shared" ref="AK481:AK488" si="7271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7272">AU481/AT481</f>
        <v>3.3541076487252124E-2</v>
      </c>
      <c r="AW481">
        <f>BV481-MAX(BV$1:BV480)</f>
        <v>159</v>
      </c>
      <c r="AX481">
        <f>BW481-MAX(BW$1:BW480)</f>
        <v>13</v>
      </c>
      <c r="AY481">
        <f>CL481--MAX(CL$1:CL480)</f>
        <v>497512</v>
      </c>
      <c r="AZ481">
        <f>CM481--MAX(CM$1:CM480)</f>
        <v>35915</v>
      </c>
      <c r="BA481">
        <f>CD481-MAX(CD$2:CD480)</f>
        <v>58</v>
      </c>
      <c r="BB481">
        <f>CE481-MAX(CE$2:CE480)</f>
        <v>-7</v>
      </c>
      <c r="BC481">
        <f t="shared" ref="BC481" si="7273">AX481/AW481</f>
        <v>8.1761006289308172E-2</v>
      </c>
      <c r="BD481">
        <f t="shared" ref="BD481" si="7274">AZ481/AY481</f>
        <v>7.2189213526507909E-2</v>
      </c>
      <c r="BE481">
        <f t="shared" ref="BE481" si="7275">BB481/BA481</f>
        <v>-0.1206896551724138</v>
      </c>
      <c r="BF481">
        <f t="shared" ref="BF481" si="7276">SUM(AU475:AU481)/SUM(AT475:AT481)</f>
        <v>2.804005722460658E-2</v>
      </c>
      <c r="BG481">
        <f t="shared" ref="BG481" si="7277">SUM(AU468:AU481)/SUM(AT468:AT481)</f>
        <v>2.6338768962085982E-2</v>
      </c>
      <c r="BH481">
        <f t="shared" ref="BH481" si="7278">SUM(AX475:AX481)/SUM(AW475:AW481)</f>
        <v>5.3231939163498096E-2</v>
      </c>
      <c r="BI481">
        <f t="shared" ref="BI481" si="7279">SUM(AZ475:AZ481)/SUM(AY475:AY481)</f>
        <v>7.2153384635450638E-2</v>
      </c>
      <c r="BJ481">
        <f t="shared" ref="BJ481" si="7280">SUM(BB475:BB481)/SUM(BA475:BA481)</f>
        <v>-3.1746031746031744E-2</v>
      </c>
      <c r="BN481" s="20">
        <v>5225134</v>
      </c>
      <c r="BO481" s="20">
        <v>405599</v>
      </c>
      <c r="BP481" s="20">
        <v>1502024</v>
      </c>
      <c r="BQ481" s="20">
        <v>301483</v>
      </c>
      <c r="BR481" s="20">
        <v>308887</v>
      </c>
      <c r="BS481" s="20">
        <v>65740</v>
      </c>
      <c r="BT481" s="21">
        <f>SUM(BP481:BQ481)</f>
        <v>1803507</v>
      </c>
      <c r="BU481" s="21">
        <f t="shared" ref="BU481" si="7281">SUM(BR481:BS481)</f>
        <v>374627</v>
      </c>
      <c r="BV481" s="20">
        <v>43563</v>
      </c>
      <c r="BW481" s="20">
        <v>3048</v>
      </c>
      <c r="BX481" s="20">
        <v>9671</v>
      </c>
      <c r="BY481" s="20">
        <v>3531</v>
      </c>
      <c r="BZ481" s="20">
        <v>2244</v>
      </c>
      <c r="CA481" s="20">
        <v>666</v>
      </c>
      <c r="CB481" s="21">
        <f>SUM(BX481:BY481)</f>
        <v>13202</v>
      </c>
      <c r="CC481" s="21">
        <f t="shared" ref="CC481" si="7282">SUM(BZ481:CA481)</f>
        <v>2910</v>
      </c>
      <c r="CD481" s="20">
        <v>31607</v>
      </c>
      <c r="CE481" s="20">
        <v>1760</v>
      </c>
      <c r="CF481" s="20">
        <v>5654</v>
      </c>
      <c r="CG481" s="20">
        <v>1920</v>
      </c>
      <c r="CH481" s="20">
        <v>1202</v>
      </c>
      <c r="CI481" s="20">
        <v>468</v>
      </c>
      <c r="CJ481" s="21">
        <f>SUM(CF481:CG481)</f>
        <v>7574</v>
      </c>
      <c r="CK481" s="21">
        <f t="shared" ref="CK481" si="7283">SUM(CH481:CI481)</f>
        <v>1670</v>
      </c>
      <c r="CL481" s="20">
        <v>233760</v>
      </c>
      <c r="CM481" s="20">
        <v>18002</v>
      </c>
      <c r="CN481" s="20">
        <v>70367</v>
      </c>
      <c r="CO481" s="20">
        <v>5578</v>
      </c>
      <c r="CP481" s="20">
        <v>15583</v>
      </c>
      <c r="CQ481" s="20">
        <v>876</v>
      </c>
      <c r="CR481" s="21">
        <f>SUM(CN481:CO481)</f>
        <v>75945</v>
      </c>
      <c r="CS481" s="21">
        <f t="shared" ref="CS481" si="7284">SUM(CP481:CQ481)</f>
        <v>16459</v>
      </c>
    </row>
    <row r="482" spans="1:97" x14ac:dyDescent="0.35">
      <c r="A482" s="14">
        <f t="shared" si="2761"/>
        <v>44388</v>
      </c>
      <c r="B482" s="9"/>
      <c r="E482" s="9"/>
      <c r="F482" s="9">
        <v>79</v>
      </c>
      <c r="H482">
        <v>20</v>
      </c>
      <c r="I482">
        <v>19</v>
      </c>
      <c r="N482" s="7"/>
      <c r="O482" s="4"/>
      <c r="T482" s="8"/>
      <c r="U482" s="8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7269"/>
        <v>26</v>
      </c>
      <c r="AJ482">
        <f t="shared" si="7270"/>
        <v>13</v>
      </c>
      <c r="AK482">
        <f t="shared" si="7271"/>
        <v>372</v>
      </c>
      <c r="BN482" s="20"/>
      <c r="BO482" s="20"/>
      <c r="BP482" s="20"/>
      <c r="BQ482" s="20"/>
      <c r="BR482" s="20"/>
      <c r="BS482" s="20"/>
      <c r="BV482" s="20"/>
      <c r="BW482" s="20"/>
      <c r="BX482" s="20"/>
      <c r="BY482" s="20"/>
      <c r="BZ482" s="20"/>
      <c r="CA482" s="20"/>
      <c r="CD482" s="20"/>
      <c r="CE482" s="20"/>
      <c r="CF482" s="20"/>
      <c r="CG482" s="20"/>
      <c r="CH482" s="20"/>
      <c r="CI482" s="20"/>
      <c r="CL482" s="20"/>
      <c r="CM482" s="20"/>
      <c r="CN482" s="20"/>
      <c r="CO482" s="20"/>
      <c r="CP482" s="20"/>
      <c r="CQ482" s="20"/>
    </row>
    <row r="483" spans="1:97" x14ac:dyDescent="0.35">
      <c r="A483" s="14">
        <f t="shared" si="2761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7264"/>
        <v>1428880</v>
      </c>
      <c r="O483" s="4"/>
      <c r="T483" s="8"/>
      <c r="U483" s="8"/>
      <c r="X483" s="3"/>
      <c r="AF483">
        <v>62</v>
      </c>
      <c r="AG483">
        <v>35</v>
      </c>
      <c r="AH483">
        <v>316</v>
      </c>
      <c r="BN483" s="20"/>
      <c r="BO483" s="20"/>
      <c r="BP483" s="20"/>
      <c r="BQ483" s="20"/>
      <c r="BR483" s="20"/>
      <c r="BS483" s="20"/>
      <c r="BV483" s="20"/>
      <c r="BW483" s="20"/>
      <c r="BX483" s="20"/>
      <c r="BY483" s="20"/>
      <c r="BZ483" s="20"/>
      <c r="CA483" s="20"/>
      <c r="CD483" s="20"/>
      <c r="CE483" s="20"/>
      <c r="CF483" s="20"/>
      <c r="CG483" s="20"/>
      <c r="CH483" s="20"/>
      <c r="CI483" s="20"/>
      <c r="CL483" s="20"/>
      <c r="CM483" s="20"/>
      <c r="CN483" s="20"/>
      <c r="CO483" s="20"/>
      <c r="CP483" s="20"/>
      <c r="CQ483" s="20"/>
    </row>
    <row r="484" spans="1:97" x14ac:dyDescent="0.35">
      <c r="A484" s="14">
        <f t="shared" si="2761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7264"/>
        <v>1432146</v>
      </c>
      <c r="O484" s="4">
        <f t="shared" ref="O484:O488" si="7285">C484/B484</f>
        <v>0.20754284753062988</v>
      </c>
      <c r="R484">
        <f t="shared" ref="R484" si="7286">C484-C483</f>
        <v>449</v>
      </c>
      <c r="S484">
        <f t="shared" ref="S484" si="7287">N484-N483</f>
        <v>3266</v>
      </c>
      <c r="T484" s="8">
        <f t="shared" ref="T484:T489" si="7288">R484/V484</f>
        <v>0.12086137281292059</v>
      </c>
      <c r="U484" s="8">
        <f t="shared" ref="U484" si="7289">SUM(R478:R484)/SUM(V478:V484)</f>
        <v>0.11329845814977973</v>
      </c>
      <c r="V484">
        <f t="shared" ref="V484" si="7290">B484-B483</f>
        <v>3715</v>
      </c>
      <c r="W484">
        <f t="shared" ref="W484" si="7291">C484-D484-E484</f>
        <v>1875</v>
      </c>
      <c r="X484" s="3">
        <f t="shared" ref="X484:X489" si="7292">F484/W484</f>
        <v>4.1066666666666668E-2</v>
      </c>
      <c r="Y484">
        <f t="shared" ref="Y484" si="7293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7269"/>
        <v>25</v>
      </c>
      <c r="AJ484">
        <f t="shared" si="7270"/>
        <v>14</v>
      </c>
      <c r="AK484">
        <f t="shared" si="7271"/>
        <v>374</v>
      </c>
      <c r="BN484" s="20"/>
      <c r="BO484" s="20"/>
      <c r="BP484" s="20"/>
      <c r="BQ484" s="20"/>
      <c r="BR484" s="20"/>
      <c r="BS484" s="20"/>
      <c r="BV484" s="20"/>
      <c r="BW484" s="20"/>
      <c r="BX484" s="20"/>
      <c r="BY484" s="20"/>
      <c r="BZ484" s="20"/>
      <c r="CA484" s="20"/>
      <c r="CD484" s="20"/>
      <c r="CE484" s="20"/>
      <c r="CF484" s="20"/>
      <c r="CG484" s="20"/>
      <c r="CH484" s="20"/>
      <c r="CI484" s="20"/>
      <c r="CL484" s="20"/>
      <c r="CM484" s="20"/>
      <c r="CN484" s="20"/>
      <c r="CO484" s="20"/>
      <c r="CP484" s="20"/>
      <c r="CQ484" s="20"/>
    </row>
    <row r="485" spans="1:97" x14ac:dyDescent="0.35">
      <c r="A485" s="14">
        <f t="shared" si="2761"/>
        <v>44391</v>
      </c>
      <c r="N485" s="7"/>
      <c r="O485" s="4"/>
      <c r="T485" s="8"/>
      <c r="U485" s="8"/>
      <c r="X485" s="3"/>
      <c r="AF485">
        <v>62</v>
      </c>
      <c r="AG485">
        <v>35</v>
      </c>
      <c r="AH485">
        <v>316</v>
      </c>
      <c r="BN485" s="20"/>
      <c r="BO485" s="20"/>
      <c r="BP485" s="20"/>
      <c r="BQ485" s="20"/>
      <c r="BR485" s="20"/>
      <c r="BS485" s="20"/>
      <c r="BV485" s="20"/>
      <c r="BW485" s="20"/>
      <c r="BX485" s="20"/>
      <c r="BY485" s="20"/>
      <c r="BZ485" s="20"/>
      <c r="CA485" s="20"/>
      <c r="CD485" s="20"/>
      <c r="CE485" s="20"/>
      <c r="CF485" s="20"/>
      <c r="CG485" s="20"/>
      <c r="CH485" s="20"/>
      <c r="CI485" s="20"/>
      <c r="CL485" s="20"/>
      <c r="CM485" s="20"/>
      <c r="CN485" s="20"/>
      <c r="CO485" s="20"/>
      <c r="CP485" s="20"/>
      <c r="CQ485" s="20"/>
    </row>
    <row r="486" spans="1:97" x14ac:dyDescent="0.35">
      <c r="A486" s="14">
        <f t="shared" ref="A486:A493" si="7294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7264"/>
        <v>1434293</v>
      </c>
      <c r="O486" s="4">
        <f t="shared" si="7285"/>
        <v>0.20747090647580599</v>
      </c>
      <c r="R486">
        <f>C486-MAX(C$2:C485)</f>
        <v>398</v>
      </c>
      <c r="S486">
        <f>N486-MAX(N$2:N485)</f>
        <v>2147</v>
      </c>
      <c r="T486" s="8">
        <f t="shared" ref="T486" si="7295">R486/V486</f>
        <v>0.15638506876227898</v>
      </c>
      <c r="U486" s="8">
        <f t="shared" ref="U486" si="7296">SUM(R479:R486)/SUM(V479:V486)</f>
        <v>0.13139018558579074</v>
      </c>
      <c r="V486">
        <f>B486-MAX(B$2:B485)</f>
        <v>2545</v>
      </c>
      <c r="W486">
        <f t="shared" ref="W486:W492" si="7297">C486-D486-E486</f>
        <v>2135</v>
      </c>
      <c r="X486" s="3">
        <f t="shared" ref="X486" si="7298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7269"/>
        <v>28</v>
      </c>
      <c r="AJ486">
        <f t="shared" si="7270"/>
        <v>14</v>
      </c>
      <c r="AK486">
        <f t="shared" si="7271"/>
        <v>381</v>
      </c>
      <c r="BN486" s="20"/>
      <c r="BO486" s="20"/>
      <c r="BP486" s="20"/>
      <c r="BQ486" s="20"/>
      <c r="BR486" s="20"/>
      <c r="BS486" s="20"/>
      <c r="BV486" s="20"/>
      <c r="BW486" s="20"/>
      <c r="BX486" s="20"/>
      <c r="BY486" s="20"/>
      <c r="BZ486" s="20"/>
      <c r="CA486" s="20"/>
      <c r="CD486" s="20"/>
      <c r="CE486" s="20"/>
      <c r="CF486" s="20"/>
      <c r="CG486" s="20"/>
      <c r="CH486" s="20"/>
      <c r="CI486" s="20"/>
      <c r="CL486" s="20"/>
      <c r="CM486" s="20"/>
      <c r="CN486" s="20"/>
      <c r="CO486" s="20"/>
      <c r="CP486" s="20"/>
      <c r="CQ486" s="20"/>
    </row>
    <row r="487" spans="1:97" x14ac:dyDescent="0.35">
      <c r="A487" s="14">
        <f t="shared" si="7294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7264"/>
        <v>1433193</v>
      </c>
      <c r="O487" s="4">
        <f t="shared" si="7285"/>
        <v>0.20751120698092476</v>
      </c>
      <c r="R487">
        <f>C487-MAX(C$2:C486)</f>
        <v>-196</v>
      </c>
      <c r="S487">
        <f>N487-MAX(N$2:N486)</f>
        <v>-1100</v>
      </c>
      <c r="T487" s="8">
        <f t="shared" si="7288"/>
        <v>0.15123456790123457</v>
      </c>
      <c r="U487" s="8">
        <f t="shared" ref="U487" si="7299">SUM(R480:R487)/SUM(V480:V487)</f>
        <v>0.12874982058274723</v>
      </c>
      <c r="V487">
        <f>B487-MAX(B$2:B486)</f>
        <v>-1296</v>
      </c>
      <c r="W487">
        <f t="shared" si="7297"/>
        <v>1993</v>
      </c>
      <c r="X487" s="3">
        <f t="shared" si="7292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7269"/>
        <v>27</v>
      </c>
      <c r="AJ487">
        <f t="shared" si="7270"/>
        <v>14</v>
      </c>
      <c r="AK487">
        <f t="shared" si="7271"/>
        <v>401</v>
      </c>
      <c r="BN487" s="20"/>
      <c r="BO487" s="20"/>
      <c r="BP487" s="20"/>
      <c r="BQ487" s="20"/>
      <c r="BR487" s="20"/>
      <c r="BS487" s="20"/>
      <c r="BV487" s="20"/>
      <c r="BW487" s="20"/>
      <c r="BX487" s="20"/>
      <c r="BY487" s="20"/>
      <c r="BZ487" s="20"/>
      <c r="CA487" s="20"/>
      <c r="CD487" s="20"/>
      <c r="CE487" s="20"/>
      <c r="CF487" s="20"/>
      <c r="CG487" s="20"/>
      <c r="CH487" s="20"/>
      <c r="CI487" s="20"/>
      <c r="CL487" s="20"/>
      <c r="CM487" s="20"/>
      <c r="CN487" s="20"/>
      <c r="CO487" s="20"/>
      <c r="CP487" s="20"/>
      <c r="CQ487" s="20"/>
    </row>
    <row r="488" spans="1:97" x14ac:dyDescent="0.35">
      <c r="A488" s="14">
        <f t="shared" si="7294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7264"/>
        <v>1436196</v>
      </c>
      <c r="O488" s="4">
        <f t="shared" si="7285"/>
        <v>0.20742140829058719</v>
      </c>
      <c r="R488">
        <f>C488-MAX(C$2:C487)</f>
        <v>385</v>
      </c>
      <c r="S488">
        <f>N488-MAX(N$2:N487)</f>
        <v>1903</v>
      </c>
      <c r="T488" s="8">
        <f t="shared" si="7288"/>
        <v>0.16826923076923078</v>
      </c>
      <c r="U488" s="8">
        <f t="shared" ref="U488" si="7300">SUM(R481:R488)/SUM(V481:V488)</f>
        <v>0.13851971907077257</v>
      </c>
      <c r="V488">
        <f>B488-MAX(B$2:B487)</f>
        <v>2288</v>
      </c>
      <c r="W488">
        <f t="shared" si="7297"/>
        <v>2393</v>
      </c>
      <c r="X488" s="3">
        <f t="shared" si="7292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7269"/>
        <v>26</v>
      </c>
      <c r="AJ488">
        <f t="shared" si="7270"/>
        <v>15</v>
      </c>
      <c r="AK488">
        <f t="shared" si="7271"/>
        <v>410</v>
      </c>
      <c r="BN488" s="20"/>
      <c r="BO488" s="20"/>
      <c r="BP488" s="20"/>
      <c r="BQ488" s="20"/>
      <c r="BR488" s="20"/>
      <c r="BS488" s="20"/>
      <c r="BV488" s="20"/>
      <c r="BW488" s="20"/>
      <c r="BX488" s="20"/>
      <c r="BY488" s="20"/>
      <c r="BZ488" s="20"/>
      <c r="CA488" s="20"/>
      <c r="CD488" s="20"/>
      <c r="CE488" s="20"/>
      <c r="CF488" s="20"/>
      <c r="CG488" s="20"/>
      <c r="CH488" s="20"/>
      <c r="CI488" s="20"/>
      <c r="CL488" s="20"/>
      <c r="CM488" s="20"/>
      <c r="CN488" s="20"/>
      <c r="CO488" s="20"/>
      <c r="CP488" s="20"/>
      <c r="CQ488" s="20"/>
    </row>
    <row r="489" spans="1:97" x14ac:dyDescent="0.35">
      <c r="A489" s="14">
        <f t="shared" si="7294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2" si="7301">B489-C489</f>
        <v>1436691</v>
      </c>
      <c r="O489" s="4">
        <f t="shared" ref="O489:O490" si="7302">C489/B489</f>
        <v>0.20740892758727411</v>
      </c>
      <c r="R489">
        <f>C489-MAX(C$2:C488)</f>
        <v>101</v>
      </c>
      <c r="S489">
        <f>N489-MAX(N$2:N488)</f>
        <v>495</v>
      </c>
      <c r="T489" s="8">
        <f t="shared" si="7288"/>
        <v>0.16946308724832215</v>
      </c>
      <c r="U489" s="8">
        <f t="shared" ref="U489" si="7303">SUM(R482:R489)/SUM(V482:V489)</f>
        <v>0.1448776758409786</v>
      </c>
      <c r="V489">
        <f>B489-MAX(B$2:B488)</f>
        <v>596</v>
      </c>
      <c r="W489">
        <f t="shared" si="7297"/>
        <v>2462</v>
      </c>
      <c r="X489" s="3">
        <f t="shared" si="7292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7304">Z489-AC489-AF489</f>
        <v>26</v>
      </c>
      <c r="AJ489">
        <f t="shared" ref="AJ489:AJ490" si="7305">AA489-AD489-AG489</f>
        <v>15</v>
      </c>
      <c r="AK489">
        <f t="shared" ref="AK489:AK490" si="7306">AB489-AE489-AH489</f>
        <v>412</v>
      </c>
      <c r="BN489" s="20"/>
      <c r="BO489" s="20"/>
      <c r="BP489" s="20"/>
      <c r="BQ489" s="20"/>
      <c r="BR489" s="20"/>
      <c r="BS489" s="20"/>
      <c r="BV489" s="20"/>
      <c r="BW489" s="20"/>
      <c r="BX489" s="20"/>
      <c r="BY489" s="20"/>
      <c r="BZ489" s="20"/>
      <c r="CA489" s="20"/>
      <c r="CD489" s="20"/>
      <c r="CE489" s="20"/>
      <c r="CF489" s="20"/>
      <c r="CG489" s="20"/>
      <c r="CH489" s="20"/>
      <c r="CI489" s="20"/>
      <c r="CL489" s="20"/>
      <c r="CM489" s="20"/>
      <c r="CN489" s="20"/>
      <c r="CO489" s="20"/>
      <c r="CP489" s="20"/>
      <c r="CQ489" s="20"/>
    </row>
    <row r="490" spans="1:97" x14ac:dyDescent="0.35">
      <c r="A490" s="14">
        <f t="shared" si="7294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 s="7">
        <f t="shared" si="7301"/>
        <v>1437259</v>
      </c>
      <c r="O490" s="4">
        <f t="shared" si="7302"/>
        <v>0.207405589623682</v>
      </c>
      <c r="R490">
        <f>C490-MAX(C$2:C489)</f>
        <v>141</v>
      </c>
      <c r="S490">
        <f>N490-MAX(N$2:N489)</f>
        <v>568</v>
      </c>
      <c r="T490" s="8">
        <f t="shared" ref="T490:T491" si="7307">R490/V490</f>
        <v>0.19887165021156558</v>
      </c>
      <c r="U490" s="8">
        <f t="shared" ref="U490" si="7308">SUM(R483:R490)/SUM(V483:V490)</f>
        <v>0.14935140820380974</v>
      </c>
      <c r="V490">
        <f>B490-MAX(B$2:B489)</f>
        <v>709</v>
      </c>
      <c r="W490">
        <f t="shared" si="7297"/>
        <v>2567</v>
      </c>
      <c r="X490" s="3">
        <f t="shared" ref="X490:X491" si="7309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7304"/>
        <v>26</v>
      </c>
      <c r="AJ490">
        <f t="shared" si="7305"/>
        <v>16</v>
      </c>
      <c r="AK490">
        <f t="shared" si="7306"/>
        <v>417</v>
      </c>
      <c r="BN490" s="20"/>
      <c r="BO490" s="20"/>
      <c r="BP490" s="20"/>
      <c r="BQ490" s="20"/>
      <c r="BR490" s="20"/>
      <c r="BS490" s="20"/>
      <c r="BV490" s="20"/>
      <c r="BW490" s="20"/>
      <c r="BX490" s="20"/>
      <c r="BY490" s="20"/>
      <c r="BZ490" s="20"/>
      <c r="CA490" s="20"/>
      <c r="CD490" s="20"/>
      <c r="CE490" s="20"/>
      <c r="CF490" s="20"/>
      <c r="CG490" s="20"/>
      <c r="CH490" s="20"/>
      <c r="CI490" s="20"/>
      <c r="CL490" s="20"/>
      <c r="CM490" s="20"/>
      <c r="CN490" s="20"/>
      <c r="CO490" s="20"/>
      <c r="CP490" s="20"/>
      <c r="CQ490" s="20"/>
    </row>
    <row r="491" spans="1:97" x14ac:dyDescent="0.35">
      <c r="A491" s="14">
        <f t="shared" si="7294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7301"/>
        <v>1438433</v>
      </c>
      <c r="O491" s="4">
        <f t="shared" ref="O491:O492" si="7310">C491/B491</f>
        <v>0.20738016611352431</v>
      </c>
      <c r="R491">
        <f>C491-MAX(C$2:C490)</f>
        <v>249</v>
      </c>
      <c r="S491">
        <f>N491-MAX(N$2:N490)</f>
        <v>1174</v>
      </c>
      <c r="T491" s="8">
        <f t="shared" si="7307"/>
        <v>0.17498243148278286</v>
      </c>
      <c r="U491" s="8">
        <f t="shared" ref="U491" si="7311">SUM(R484:R491)/SUM(V484:V491)</f>
        <v>0.15300601202404809</v>
      </c>
      <c r="V491">
        <f>B491-MAX(B$2:B490)</f>
        <v>1423</v>
      </c>
      <c r="W491">
        <f t="shared" si="7297"/>
        <v>2710</v>
      </c>
      <c r="X491" s="3">
        <f t="shared" si="7309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7312">Z491-AC491-AF491</f>
        <v>27</v>
      </c>
      <c r="AJ491">
        <f t="shared" ref="AJ491:AJ492" si="7313">AA491-AD491-AG491</f>
        <v>17</v>
      </c>
      <c r="AK491">
        <f t="shared" ref="AK491:AK492" si="7314">AB491-AE491-AH491</f>
        <v>426</v>
      </c>
      <c r="CD491" s="20"/>
      <c r="CE491" s="20"/>
      <c r="CF491" s="20"/>
      <c r="CG491" s="20"/>
      <c r="CH491" s="20"/>
      <c r="CI491" s="20"/>
      <c r="CL491" s="20"/>
      <c r="CM491" s="20"/>
      <c r="CN491" s="20"/>
      <c r="CO491" s="20"/>
      <c r="CP491" s="20"/>
      <c r="CQ491" s="20"/>
    </row>
    <row r="492" spans="1:97" x14ac:dyDescent="0.35">
      <c r="A492" s="14">
        <f t="shared" si="7294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7301"/>
        <v>1439591</v>
      </c>
      <c r="O492" s="4">
        <f t="shared" si="7310"/>
        <v>0.2073893402119184</v>
      </c>
      <c r="R492">
        <f>C492-MAX(C$2:C491)</f>
        <v>324</v>
      </c>
      <c r="S492">
        <f>N492-MAX(N$2:N491)</f>
        <v>1158</v>
      </c>
      <c r="T492" s="8">
        <f t="shared" ref="T492" si="7315">R492/V492</f>
        <v>0.21862348178137653</v>
      </c>
      <c r="U492" s="8">
        <f t="shared" ref="U492" si="7316">SUM(R485:R492)/SUM(V485:V492)</f>
        <v>0.18097327997934684</v>
      </c>
      <c r="V492">
        <f>B492-MAX(B$2:B491)</f>
        <v>1482</v>
      </c>
      <c r="W492">
        <f t="shared" si="7297"/>
        <v>2958</v>
      </c>
      <c r="X492" s="3">
        <f t="shared" ref="X492" si="7317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7312"/>
        <v>29</v>
      </c>
      <c r="AJ492">
        <f t="shared" si="7313"/>
        <v>18</v>
      </c>
      <c r="AK492">
        <f t="shared" si="7314"/>
        <v>429</v>
      </c>
      <c r="CD492" s="20"/>
      <c r="CE492" s="20"/>
      <c r="CF492" s="20"/>
      <c r="CG492" s="20"/>
      <c r="CH492" s="20"/>
      <c r="CI492" s="20"/>
      <c r="CL492" s="20"/>
      <c r="CM492" s="20"/>
      <c r="CN492" s="20"/>
      <c r="CO492" s="20"/>
      <c r="CP492" s="20"/>
      <c r="CQ492" s="20"/>
    </row>
    <row r="493" spans="1:97" x14ac:dyDescent="0.35">
      <c r="A493" s="14">
        <f t="shared" si="7294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7318">-(J493-J492)+L493</f>
        <v>4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7319">AU493/AT493</f>
        <v>4.1584636529103672E-2</v>
      </c>
      <c r="AW493">
        <f>BV493-MAX(BV$1:BV492)</f>
        <v>478</v>
      </c>
      <c r="AX493">
        <f>BW493-MAX(BW$1:BW492)</f>
        <v>17</v>
      </c>
      <c r="AY493">
        <f>CL493--MAX(CL$1:CL492)</f>
        <v>501543</v>
      </c>
      <c r="AZ493">
        <f>CM493--MAX(CM$1:CM492)</f>
        <v>36247</v>
      </c>
      <c r="BA493">
        <f>CD493-MAX(CD$2:CD492)</f>
        <v>241</v>
      </c>
      <c r="BB493">
        <f>CE493-MAX(CE$2:CE492)</f>
        <v>5</v>
      </c>
      <c r="BC493">
        <f t="shared" ref="BC493" si="7320">AX493/AW493</f>
        <v>3.5564853556485358E-2</v>
      </c>
      <c r="BD493">
        <f t="shared" ref="BD493" si="7321">AZ493/AY493</f>
        <v>7.2270971781083576E-2</v>
      </c>
      <c r="BE493">
        <f t="shared" ref="BE493" si="7322">BB493/BA493</f>
        <v>2.0746887966804978E-2</v>
      </c>
      <c r="BN493" s="21">
        <v>5278976</v>
      </c>
      <c r="BO493" s="21">
        <v>407838</v>
      </c>
      <c r="BP493" s="21">
        <v>1512653</v>
      </c>
      <c r="BQ493" s="21">
        <v>303622</v>
      </c>
      <c r="BR493" s="21">
        <v>310505</v>
      </c>
      <c r="BS493" s="21">
        <v>66168</v>
      </c>
      <c r="BT493" s="21">
        <f>SUM(BP493:BQ493)</f>
        <v>1816275</v>
      </c>
      <c r="BU493" s="21">
        <f t="shared" ref="BU493:BU496" si="7323">SUM(BR493:BS493)</f>
        <v>376673</v>
      </c>
      <c r="BV493" s="21">
        <v>44041</v>
      </c>
      <c r="BW493" s="21">
        <v>3065</v>
      </c>
      <c r="BX493" s="21">
        <v>9733</v>
      </c>
      <c r="BY493" s="21">
        <v>3545</v>
      </c>
      <c r="BZ493" s="21">
        <v>2259</v>
      </c>
      <c r="CA493" s="21">
        <v>668</v>
      </c>
      <c r="CB493" s="21">
        <f>SUM(BX493:BY493)</f>
        <v>13278</v>
      </c>
      <c r="CC493" s="21">
        <f t="shared" ref="CC493:CC496" si="7324">SUM(BZ493:CA493)</f>
        <v>2927</v>
      </c>
      <c r="CD493" s="21">
        <v>31848</v>
      </c>
      <c r="CE493" s="21">
        <v>1772</v>
      </c>
      <c r="CF493" s="21">
        <v>5683</v>
      </c>
      <c r="CG493" s="21">
        <v>1931</v>
      </c>
      <c r="CH493" s="21">
        <v>1207</v>
      </c>
      <c r="CI493" s="21">
        <v>471</v>
      </c>
      <c r="CJ493" s="21">
        <f>SUM(CF493:CG493)</f>
        <v>7614</v>
      </c>
      <c r="CK493" s="21">
        <f t="shared" ref="CK493:CK496" si="7325">SUM(CH493:CI493)</f>
        <v>1678</v>
      </c>
      <c r="CL493" s="21">
        <v>237791</v>
      </c>
      <c r="CM493" s="21">
        <v>18245</v>
      </c>
      <c r="CN493" s="21">
        <v>71026</v>
      </c>
      <c r="CO493" s="21">
        <v>5647</v>
      </c>
      <c r="CP493" s="21">
        <v>15800</v>
      </c>
      <c r="CQ493" s="21">
        <v>880</v>
      </c>
      <c r="CR493" s="21">
        <f>SUM(CN493:CO493)</f>
        <v>76673</v>
      </c>
      <c r="CS493" s="21">
        <f t="shared" ref="CS493:CS496" si="7326">SUM(CP493:CQ493)</f>
        <v>16680</v>
      </c>
    </row>
    <row r="494" spans="1:97" x14ac:dyDescent="0.35">
      <c r="A494" s="14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7318"/>
        <v>-1</v>
      </c>
      <c r="N494" s="7">
        <f t="shared" ref="N494:N496" si="7327">B494-C494</f>
        <v>1447500</v>
      </c>
      <c r="O494" s="4">
        <f t="shared" ref="O494:O496" si="7328">C494/B494</f>
        <v>0.20742735024483513</v>
      </c>
      <c r="R494">
        <f>C494-MAX(C$2:C493)</f>
        <v>2157</v>
      </c>
      <c r="S494">
        <f>N494-MAX(N$2:N493)</f>
        <v>7909</v>
      </c>
      <c r="T494" s="8">
        <f t="shared" ref="T494" si="7329">R494/V494</f>
        <v>0.21428571428571427</v>
      </c>
      <c r="U494" s="8">
        <f t="shared" ref="U494" si="7330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7331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7332">Z494-AC494-AF494</f>
        <v>41</v>
      </c>
      <c r="AJ494">
        <f t="shared" ref="AJ494" si="7333">AA494-AD494-AG494</f>
        <v>28</v>
      </c>
      <c r="AK494">
        <f t="shared" ref="AK494" si="7334">AB494-AE494-AH494</f>
        <v>501</v>
      </c>
    </row>
    <row r="495" spans="1:97" x14ac:dyDescent="0.35">
      <c r="A495" s="14">
        <v>44410</v>
      </c>
      <c r="B495" s="9">
        <f>BT495</f>
        <v>1826330</v>
      </c>
      <c r="C495">
        <f t="shared" ref="C495" si="7335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7318"/>
        <v>3</v>
      </c>
      <c r="N495" s="7">
        <f t="shared" si="7327"/>
        <v>1447499</v>
      </c>
      <c r="O495" s="4">
        <f t="shared" si="7328"/>
        <v>0.2074274638208867</v>
      </c>
      <c r="R495">
        <f>C495-MAX(C$2:C494)</f>
        <v>0</v>
      </c>
      <c r="S495">
        <f>N495-MAX(N$2:N494)</f>
        <v>-1</v>
      </c>
      <c r="T495" s="8">
        <f t="shared" ref="T495:T496" si="7336">R495/V495</f>
        <v>0</v>
      </c>
      <c r="U495" s="8">
        <f t="shared" ref="U495" si="7337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7338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7339">Z495-AC495-AF495</f>
        <v>41</v>
      </c>
      <c r="AJ495">
        <f t="shared" ref="AJ495:AJ496" si="7340">AA495-AD495-AG495</f>
        <v>28</v>
      </c>
      <c r="AK495">
        <f t="shared" ref="AK495:AK496" si="7341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7342">AU495/AT495</f>
        <v>5.9174906586004425E-2</v>
      </c>
      <c r="AW495">
        <f>BV495-MAX(BV$1:BV494)</f>
        <v>282</v>
      </c>
      <c r="AX495">
        <f>BW495-MAX(BW$1:BW494)</f>
        <v>19</v>
      </c>
      <c r="AY495">
        <f>CL495--MAX(CL$1:CL494)</f>
        <v>504712</v>
      </c>
      <c r="AZ495">
        <f>CM495--MAX(CM$1:CM494)</f>
        <v>36675</v>
      </c>
      <c r="BA495">
        <f>CD495-MAX(CD$2:CD494)</f>
        <v>171</v>
      </c>
      <c r="BB495">
        <f>CE495-MAX(CE$2:CE494)</f>
        <v>14</v>
      </c>
      <c r="BC495">
        <f t="shared" ref="BC495" si="7343">AX495/AW495</f>
        <v>6.7375886524822695E-2</v>
      </c>
      <c r="BD495">
        <f t="shared" ref="BD495" si="7344">AZ495/AY495</f>
        <v>7.2665203125742997E-2</v>
      </c>
      <c r="BE495">
        <f t="shared" ref="BE495" si="7345">BB495/BA495</f>
        <v>8.1871345029239762E-2</v>
      </c>
      <c r="BN495" s="21">
        <v>5318317</v>
      </c>
      <c r="BO495" s="21">
        <v>410166</v>
      </c>
      <c r="BP495" s="21">
        <v>1520705</v>
      </c>
      <c r="BQ495" s="21">
        <v>305625</v>
      </c>
      <c r="BR495" s="21">
        <v>312177</v>
      </c>
      <c r="BS495" s="21">
        <v>66654</v>
      </c>
      <c r="BT495" s="21">
        <f>SUM(BP495:BQ495)</f>
        <v>1826330</v>
      </c>
      <c r="BU495" s="21">
        <f t="shared" si="7323"/>
        <v>378831</v>
      </c>
      <c r="BV495" s="21">
        <v>44323</v>
      </c>
      <c r="BW495" s="21">
        <v>3084</v>
      </c>
      <c r="BX495" s="21">
        <v>9799</v>
      </c>
      <c r="BY495" s="21">
        <v>3556</v>
      </c>
      <c r="BZ495" s="21">
        <v>2276</v>
      </c>
      <c r="CA495" s="21">
        <v>670</v>
      </c>
      <c r="CB495" s="21">
        <f>SUM(BX495:BY495)</f>
        <v>13355</v>
      </c>
      <c r="CC495" s="21">
        <f t="shared" si="7324"/>
        <v>2946</v>
      </c>
      <c r="CD495" s="20">
        <v>32019</v>
      </c>
      <c r="CE495" s="20">
        <v>1786</v>
      </c>
      <c r="CF495" s="20">
        <v>5722</v>
      </c>
      <c r="CG495" s="20">
        <v>1942</v>
      </c>
      <c r="CH495" s="20">
        <v>1219</v>
      </c>
      <c r="CI495" s="20">
        <v>472</v>
      </c>
      <c r="CJ495" s="21">
        <f>SUM(CF495:CG495)</f>
        <v>7664</v>
      </c>
      <c r="CK495" s="21">
        <f t="shared" si="7325"/>
        <v>1691</v>
      </c>
      <c r="CL495" s="20">
        <v>240960</v>
      </c>
      <c r="CM495" s="20">
        <v>18430</v>
      </c>
      <c r="CN495" s="20">
        <v>71524</v>
      </c>
      <c r="CO495" s="20">
        <v>5671</v>
      </c>
      <c r="CP495" s="20">
        <v>15959</v>
      </c>
      <c r="CQ495" s="20">
        <v>891</v>
      </c>
      <c r="CR495" s="21">
        <f>SUM(CN495:CO495)</f>
        <v>77195</v>
      </c>
      <c r="CS495" s="21">
        <f t="shared" si="7326"/>
        <v>16850</v>
      </c>
    </row>
    <row r="496" spans="1:97" x14ac:dyDescent="0.35">
      <c r="A496" s="14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7327"/>
        <v>1456284</v>
      </c>
      <c r="O496" s="4">
        <f t="shared" si="7328"/>
        <v>0.20797526493118723</v>
      </c>
      <c r="R496">
        <f>C496-MAX(C$2:C495)</f>
        <v>3570</v>
      </c>
      <c r="S496">
        <f>N496-MAX(N$2:N495)</f>
        <v>8784</v>
      </c>
      <c r="T496" s="8">
        <f t="shared" si="7336"/>
        <v>0.28897523069451192</v>
      </c>
      <c r="U496" s="8">
        <f t="shared" ref="U496" si="7346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7338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7339"/>
        <v>62</v>
      </c>
      <c r="AJ496">
        <f t="shared" si="7340"/>
        <v>52</v>
      </c>
      <c r="AK496">
        <f t="shared" si="7341"/>
        <v>684</v>
      </c>
      <c r="AT496">
        <f>BN496-MAX(BN$1:BN495)</f>
        <v>53445</v>
      </c>
      <c r="AU496">
        <f>BO496-MAX(BO$1:BO495)</f>
        <v>3822</v>
      </c>
      <c r="AV496">
        <f t="shared" ref="AV496" si="7347">AU496/AT496</f>
        <v>7.1512770137524564E-2</v>
      </c>
      <c r="AW496">
        <f>BV496-MAX(BV$1:BV495)</f>
        <v>336</v>
      </c>
      <c r="AX496">
        <f>BW496-MAX(BW$1:BW495)</f>
        <v>28</v>
      </c>
      <c r="AY496">
        <f>CL496--MAX(CL$1:CL495)</f>
        <v>508258</v>
      </c>
      <c r="AZ496">
        <f>CM496--MAX(CM$1:CM495)</f>
        <v>37157</v>
      </c>
      <c r="BA496">
        <f>CD496-MAX(CD$2:CD495)</f>
        <v>310</v>
      </c>
      <c r="BB496">
        <f>CE496-MAX(CE$2:CE495)</f>
        <v>27</v>
      </c>
      <c r="BC496">
        <f t="shared" ref="BC496" si="7348">AX496/AW496</f>
        <v>8.3333333333333329E-2</v>
      </c>
      <c r="BD496">
        <f t="shared" ref="BD496" si="7349">AZ496/AY496</f>
        <v>7.310657185917388E-2</v>
      </c>
      <c r="BE496">
        <f t="shared" ref="BE496" si="7350">BB496/BA496</f>
        <v>8.7096774193548387E-2</v>
      </c>
      <c r="BN496" s="21">
        <v>5371762</v>
      </c>
      <c r="BO496" s="21">
        <v>413988</v>
      </c>
      <c r="BP496" s="21">
        <v>1529873</v>
      </c>
      <c r="BQ496" s="21">
        <v>308811</v>
      </c>
      <c r="BR496" s="21">
        <v>314928</v>
      </c>
      <c r="BS496" s="21">
        <v>67473</v>
      </c>
      <c r="BT496" s="21">
        <f>SUM(BP496:BQ496)</f>
        <v>1838684</v>
      </c>
      <c r="BU496" s="21">
        <f t="shared" si="7323"/>
        <v>382401</v>
      </c>
      <c r="BV496" s="21">
        <v>44659</v>
      </c>
      <c r="BW496" s="21">
        <v>3112</v>
      </c>
      <c r="BX496" s="21">
        <v>9853</v>
      </c>
      <c r="BY496" s="21">
        <v>3570</v>
      </c>
      <c r="BZ496" s="21">
        <v>2293</v>
      </c>
      <c r="CA496" s="21">
        <v>673</v>
      </c>
      <c r="CB496" s="21">
        <f>SUM(BX496:BY496)</f>
        <v>13423</v>
      </c>
      <c r="CC496" s="21">
        <f t="shared" si="7324"/>
        <v>2966</v>
      </c>
      <c r="CD496" s="20">
        <v>32329</v>
      </c>
      <c r="CE496" s="20">
        <v>1813</v>
      </c>
      <c r="CF496" s="20">
        <v>5754</v>
      </c>
      <c r="CG496" s="20">
        <v>1977</v>
      </c>
      <c r="CH496" s="20">
        <v>1230</v>
      </c>
      <c r="CI496" s="20">
        <v>489</v>
      </c>
      <c r="CJ496" s="21">
        <f>SUM(CF496:CG496)</f>
        <v>7731</v>
      </c>
      <c r="CK496" s="21">
        <f t="shared" si="7325"/>
        <v>1719</v>
      </c>
      <c r="CL496" s="20">
        <v>244506</v>
      </c>
      <c r="CM496" s="20">
        <v>18727</v>
      </c>
      <c r="CN496" s="20">
        <v>72095</v>
      </c>
      <c r="CO496" s="20">
        <v>5760</v>
      </c>
      <c r="CP496" s="20">
        <v>16218</v>
      </c>
      <c r="CQ496" s="20">
        <v>896</v>
      </c>
      <c r="CR496" s="21">
        <f>SUM(CN496:CO496)</f>
        <v>77855</v>
      </c>
      <c r="CS496" s="21">
        <f t="shared" si="7326"/>
        <v>17114</v>
      </c>
    </row>
    <row r="497" spans="1:97" x14ac:dyDescent="0.35">
      <c r="A497" s="14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/>
      <c r="O497" s="4"/>
      <c r="T497" s="8"/>
      <c r="U497" s="8"/>
      <c r="X497" s="3"/>
      <c r="CD497" s="20"/>
      <c r="CE497" s="20"/>
      <c r="CF497" s="20"/>
      <c r="CG497" s="20"/>
      <c r="CH497" s="20"/>
      <c r="CI497" s="20"/>
      <c r="CL497" s="20"/>
      <c r="CM497" s="20"/>
      <c r="CN497" s="20"/>
      <c r="CO497" s="20"/>
      <c r="CP497" s="20"/>
      <c r="CQ497" s="20"/>
    </row>
    <row r="498" spans="1:97" x14ac:dyDescent="0.35">
      <c r="A498" s="14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7351">-(J498-J497)+L498</f>
        <v>1</v>
      </c>
      <c r="N498" s="7"/>
      <c r="O498" s="4"/>
      <c r="T498" s="8"/>
      <c r="U498" s="8"/>
      <c r="X498" s="3"/>
      <c r="CD498" s="20"/>
      <c r="CE498" s="20"/>
      <c r="CF498" s="20"/>
      <c r="CG498" s="20"/>
      <c r="CH498" s="20"/>
      <c r="CI498" s="20"/>
      <c r="CL498" s="20"/>
      <c r="CM498" s="20"/>
      <c r="CN498" s="20"/>
      <c r="CO498" s="20"/>
      <c r="CP498" s="20"/>
      <c r="CQ498" s="20"/>
    </row>
    <row r="499" spans="1:97" x14ac:dyDescent="0.35">
      <c r="A499" s="14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7351"/>
        <v>-6</v>
      </c>
      <c r="N499" s="7"/>
      <c r="O499" s="4"/>
      <c r="T499" s="8"/>
      <c r="U499" s="8"/>
      <c r="X499" s="3"/>
      <c r="CD499" s="20"/>
      <c r="CE499" s="20"/>
      <c r="CF499" s="20"/>
      <c r="CG499" s="20"/>
      <c r="CH499" s="20"/>
      <c r="CI499" s="20"/>
      <c r="CL499" s="20"/>
      <c r="CM499" s="20"/>
      <c r="CN499" s="20"/>
      <c r="CO499" s="20"/>
      <c r="CP499" s="20"/>
      <c r="CQ499" s="20"/>
    </row>
    <row r="500" spans="1:97" x14ac:dyDescent="0.35">
      <c r="A500" s="14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7351"/>
        <v>6</v>
      </c>
      <c r="N500" s="7">
        <f t="shared" ref="N500" si="7352">B500-C500</f>
        <v>1467336</v>
      </c>
      <c r="O500" s="4">
        <f t="shared" ref="O500" si="7353">C500/B500</f>
        <v>0.20881652143389792</v>
      </c>
      <c r="R500">
        <f>C500-MAX(C$2:C499)</f>
        <v>4872</v>
      </c>
      <c r="S500">
        <f>N500-MAX(N$2:N499)</f>
        <v>11052</v>
      </c>
      <c r="T500" s="8">
        <f t="shared" ref="T500" si="7354">R500/V500</f>
        <v>0.3059532780708365</v>
      </c>
      <c r="U500" s="8">
        <f t="shared" ref="U500" si="7355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7356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7357">Z500-AC500-AF500</f>
        <v>74</v>
      </c>
      <c r="AJ500">
        <f t="shared" ref="AJ500" si="7358">AA500-AD500-AG500</f>
        <v>87</v>
      </c>
      <c r="AK500">
        <f t="shared" ref="AK500" si="7359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7360">AU500/AT500</f>
        <v>7.5367145666748014E-2</v>
      </c>
      <c r="AW500">
        <f>BV500-MAX(BV$1:BV499)</f>
        <v>468</v>
      </c>
      <c r="AX500">
        <f>BW500-MAX(BW$1:BW499)</f>
        <v>23</v>
      </c>
      <c r="AY500">
        <f>CL500--MAX(CL$1:CL499)</f>
        <v>513095</v>
      </c>
      <c r="AZ500">
        <f>CM500--MAX(CM$1:CM499)</f>
        <v>37774</v>
      </c>
      <c r="BA500">
        <f>CD500-MAX(CD$2:CD499)</f>
        <v>516</v>
      </c>
      <c r="BB500">
        <f>CE500-MAX(CE$2:CE499)</f>
        <v>40</v>
      </c>
      <c r="BC500">
        <f t="shared" ref="BC500" si="7361">AX500/AW500</f>
        <v>4.9145299145299144E-2</v>
      </c>
      <c r="BD500">
        <f t="shared" ref="BD500" si="7362">AZ500/AY500</f>
        <v>7.3619894951227352E-2</v>
      </c>
      <c r="BE500">
        <f t="shared" ref="BE500" si="7363">BB500/BA500</f>
        <v>7.7519379844961239E-2</v>
      </c>
      <c r="BN500" s="21">
        <v>5441421</v>
      </c>
      <c r="BO500" s="21">
        <v>419238</v>
      </c>
      <c r="BP500" s="21">
        <v>1541795</v>
      </c>
      <c r="BQ500" s="21">
        <v>312813</v>
      </c>
      <c r="BR500" s="21">
        <v>318584</v>
      </c>
      <c r="BS500" s="21">
        <v>68689</v>
      </c>
      <c r="BT500" s="21">
        <f>SUM(BP500:BQ500)</f>
        <v>1854608</v>
      </c>
      <c r="BU500" s="21">
        <f t="shared" ref="BU500:BU506" si="7364">SUM(BR500:BS500)</f>
        <v>387273</v>
      </c>
      <c r="BV500" s="21">
        <v>45127</v>
      </c>
      <c r="BW500" s="21">
        <v>3135</v>
      </c>
      <c r="BX500" s="21">
        <v>9928</v>
      </c>
      <c r="BY500" s="21">
        <v>3597</v>
      </c>
      <c r="BZ500" s="21">
        <v>2308</v>
      </c>
      <c r="CA500" s="21">
        <v>684</v>
      </c>
      <c r="CB500" s="21">
        <f>SUM(BX500:BY500)</f>
        <v>13525</v>
      </c>
      <c r="CC500" s="21">
        <f t="shared" ref="CC500:CC506" si="7365">SUM(BZ500:CA500)</f>
        <v>2992</v>
      </c>
      <c r="CD500" s="20">
        <v>32845</v>
      </c>
      <c r="CE500" s="20">
        <v>1853</v>
      </c>
      <c r="CF500" s="20">
        <v>5843</v>
      </c>
      <c r="CG500" s="20">
        <v>1967</v>
      </c>
      <c r="CH500" s="20">
        <v>1257</v>
      </c>
      <c r="CI500" s="20">
        <v>499</v>
      </c>
      <c r="CJ500" s="21">
        <f>SUM(CF500:CG500)</f>
        <v>7810</v>
      </c>
      <c r="CK500" s="21">
        <f t="shared" ref="CK500:CK506" si="7366">SUM(CH500:CI500)</f>
        <v>1756</v>
      </c>
      <c r="CL500" s="20">
        <v>249343</v>
      </c>
      <c r="CM500" s="20">
        <v>19047</v>
      </c>
      <c r="CN500" s="20">
        <v>72841</v>
      </c>
      <c r="CO500" s="20">
        <v>5836</v>
      </c>
      <c r="CP500" s="20">
        <v>16503</v>
      </c>
      <c r="CQ500" s="20">
        <v>905</v>
      </c>
      <c r="CR500" s="21">
        <f>SUM(CN500:CO500)</f>
        <v>78677</v>
      </c>
      <c r="CS500" s="21">
        <f t="shared" ref="CS500:CS506" si="7367">SUM(CP500:CQ500)</f>
        <v>17408</v>
      </c>
    </row>
    <row r="501" spans="1:97" x14ac:dyDescent="0.35">
      <c r="A501" s="14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7351"/>
        <v>-22</v>
      </c>
      <c r="N501" s="7"/>
      <c r="O501" s="4"/>
      <c r="T501" s="8"/>
      <c r="U501" s="8"/>
      <c r="X501" s="3"/>
      <c r="CD501" s="20"/>
      <c r="CE501" s="20"/>
      <c r="CF501" s="20"/>
      <c r="CG501" s="20"/>
      <c r="CH501" s="20"/>
      <c r="CI501" s="20"/>
      <c r="CL501" s="20"/>
      <c r="CM501" s="20"/>
      <c r="CN501" s="20"/>
      <c r="CO501" s="20"/>
      <c r="CP501" s="20"/>
      <c r="CQ501" s="20"/>
    </row>
    <row r="502" spans="1:97" x14ac:dyDescent="0.35">
      <c r="A502" s="14">
        <v>44426</v>
      </c>
      <c r="B502" s="9">
        <f>BT502</f>
        <v>1871216</v>
      </c>
      <c r="C502">
        <f t="shared" ref="C502" si="7368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7351"/>
        <v>11</v>
      </c>
      <c r="N502" s="7">
        <f t="shared" ref="N502" si="7369">B502-C502</f>
        <v>1478246</v>
      </c>
      <c r="O502" s="4">
        <f t="shared" ref="O502" si="7370">C502/B502</f>
        <v>0.21000782378945029</v>
      </c>
      <c r="R502">
        <f>C502-MAX(C$2:C501)</f>
        <v>5697</v>
      </c>
      <c r="S502">
        <f>N502-MAX(N$2:N501)</f>
        <v>10910</v>
      </c>
      <c r="T502" s="8">
        <f t="shared" ref="T502" si="7371">R502/V502</f>
        <v>0.34304811224182574</v>
      </c>
      <c r="U502" s="8">
        <f t="shared" ref="U502" si="7372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7373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7374">Z502-AC502-AF502</f>
        <v>98</v>
      </c>
      <c r="AJ502">
        <f t="shared" ref="AJ502" si="7375">AA502-AD502-AG502</f>
        <v>116</v>
      </c>
      <c r="AK502">
        <f t="shared" ref="AK502" si="7376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7377">AU502/AT502</f>
        <v>7.7530664168807994E-2</v>
      </c>
      <c r="AW502">
        <f>BV502-MAX(BV$1:BV500)</f>
        <v>661</v>
      </c>
      <c r="AX502">
        <f>BW502-MAX(BW$1:BW500)</f>
        <v>34</v>
      </c>
      <c r="AY502">
        <f>CL502--MAX(CL$1:CL500)</f>
        <v>517544</v>
      </c>
      <c r="AZ502">
        <f>CM502--MAX(CM$1:CM500)</f>
        <v>38485</v>
      </c>
      <c r="BA502">
        <f>CD502-MAX(CD$2:CD500)</f>
        <v>459</v>
      </c>
      <c r="BB502">
        <f>CE502-MAX(CE$2:CE500)</f>
        <v>39</v>
      </c>
      <c r="BC502">
        <f t="shared" ref="BC502" si="7378">AX502/AW502</f>
        <v>5.1437216338880487E-2</v>
      </c>
      <c r="BD502">
        <f t="shared" ref="BD502" si="7379">AZ502/AY502</f>
        <v>7.4360827291979043E-2</v>
      </c>
      <c r="BE502">
        <f t="shared" ref="BE502" si="7380">BB502/BA502</f>
        <v>8.4967320261437912E-2</v>
      </c>
      <c r="BN502" s="21">
        <v>5520422</v>
      </c>
      <c r="BO502" s="21">
        <v>425363</v>
      </c>
      <c r="BP502" s="21">
        <v>1553703</v>
      </c>
      <c r="BQ502" s="21">
        <v>317513</v>
      </c>
      <c r="BR502" s="21">
        <v>322974</v>
      </c>
      <c r="BS502" s="21">
        <v>69996</v>
      </c>
      <c r="BT502" s="21">
        <f>SUM(BP502:BQ502)</f>
        <v>1871216</v>
      </c>
      <c r="BU502" s="21">
        <f t="shared" si="7364"/>
        <v>392970</v>
      </c>
      <c r="BV502" s="21">
        <v>45788</v>
      </c>
      <c r="BW502" s="21">
        <v>3169</v>
      </c>
      <c r="BX502" s="21">
        <v>9993</v>
      </c>
      <c r="BY502" s="21">
        <v>3670</v>
      </c>
      <c r="BZ502" s="21">
        <v>2328</v>
      </c>
      <c r="CA502" s="21">
        <v>695</v>
      </c>
      <c r="CB502" s="21">
        <f>SUM(BX502:BY502)</f>
        <v>13663</v>
      </c>
      <c r="CC502" s="21">
        <f t="shared" si="7365"/>
        <v>3023</v>
      </c>
      <c r="CD502" s="21">
        <v>33304</v>
      </c>
      <c r="CE502" s="21">
        <v>1892</v>
      </c>
      <c r="CF502" s="21">
        <v>5854</v>
      </c>
      <c r="CG502" s="21">
        <v>2028</v>
      </c>
      <c r="CH502" s="21">
        <v>1277</v>
      </c>
      <c r="CI502" s="21">
        <v>516</v>
      </c>
      <c r="CJ502" s="21">
        <f>SUM(CF502:CG502)</f>
        <v>7882</v>
      </c>
      <c r="CK502" s="21">
        <f t="shared" si="7366"/>
        <v>1793</v>
      </c>
      <c r="CL502" s="21">
        <v>253792</v>
      </c>
      <c r="CM502" s="21">
        <v>19438</v>
      </c>
      <c r="CN502" s="21">
        <v>73637</v>
      </c>
      <c r="CO502" s="21">
        <v>5891</v>
      </c>
      <c r="CP502" s="21">
        <v>16848</v>
      </c>
      <c r="CQ502" s="21">
        <v>914</v>
      </c>
      <c r="CR502" s="21">
        <f>SUM(CN502:CO502)</f>
        <v>79528</v>
      </c>
      <c r="CS502" s="21">
        <f t="shared" si="7367"/>
        <v>17762</v>
      </c>
    </row>
    <row r="503" spans="1:97" x14ac:dyDescent="0.35">
      <c r="A503" s="14">
        <v>44432</v>
      </c>
      <c r="B503" s="9"/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7351"/>
        <v>24</v>
      </c>
      <c r="N503" s="7"/>
      <c r="O503" s="4"/>
      <c r="T503" s="8"/>
      <c r="U503" s="8"/>
      <c r="X503" s="3"/>
    </row>
    <row r="504" spans="1:97" x14ac:dyDescent="0.35">
      <c r="A504" s="14">
        <v>44433</v>
      </c>
      <c r="B504" s="9">
        <f>BT504</f>
        <v>1890758</v>
      </c>
      <c r="C504">
        <f t="shared" ref="C504" si="7381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7351"/>
        <v>22</v>
      </c>
      <c r="N504" s="7">
        <f t="shared" ref="N504" si="7382">B504-C504</f>
        <v>1490676</v>
      </c>
      <c r="O504" s="4">
        <f t="shared" ref="O504" si="7383">C504/B504</f>
        <v>0.21159873447580282</v>
      </c>
      <c r="R504">
        <f>C504-MAX(C$2:C503)</f>
        <v>7112</v>
      </c>
      <c r="S504">
        <f>N504-MAX(N$2:N503)</f>
        <v>12430</v>
      </c>
      <c r="T504" s="8">
        <f t="shared" ref="T504" si="7384">R504/V504</f>
        <v>0.36393409067649168</v>
      </c>
      <c r="U504" s="8">
        <f t="shared" ref="U504" si="7385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7386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7387">Z504-AC504-AF504</f>
        <v>127</v>
      </c>
      <c r="AJ504">
        <f t="shared" ref="AJ504" si="7388">AA504-AD504-AG504</f>
        <v>137</v>
      </c>
      <c r="AK504">
        <f t="shared" ref="AK504" si="7389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7390">AU504/AT504</f>
        <v>7.9796097283425932E-2</v>
      </c>
      <c r="AW504">
        <f>BV504-MAX(BV$1:BV501)</f>
        <v>1543</v>
      </c>
      <c r="AX504">
        <f>BW504-MAX(BW$1:BW501)</f>
        <v>87</v>
      </c>
      <c r="AY504">
        <f>CL504--MAX(CL$1:CL501)</f>
        <v>522885</v>
      </c>
      <c r="AZ504">
        <f>CM504--MAX(CM$1:CM501)</f>
        <v>38907</v>
      </c>
      <c r="BA504">
        <f>CD504-MAX(CD$2:CD501)</f>
        <v>944</v>
      </c>
      <c r="BB504">
        <f>CE504-MAX(CE$2:CE501)</f>
        <v>75</v>
      </c>
      <c r="BC504">
        <f t="shared" ref="BC504" si="7391">AX504/AW504</f>
        <v>5.6383668178872325E-2</v>
      </c>
      <c r="BD504">
        <f t="shared" ref="BD504" si="7392">AZ504/AY504</f>
        <v>7.4408330703692016E-2</v>
      </c>
      <c r="BE504">
        <f t="shared" ref="BE504" si="7393">BB504/BA504</f>
        <v>7.9449152542372878E-2</v>
      </c>
      <c r="BN504" s="21">
        <v>5613660</v>
      </c>
      <c r="BO504" s="21">
        <v>432982</v>
      </c>
      <c r="BP504" s="21">
        <v>1567512</v>
      </c>
      <c r="BQ504" s="21">
        <v>323246</v>
      </c>
      <c r="BR504" s="21">
        <v>328341</v>
      </c>
      <c r="BS504" s="21">
        <v>71741</v>
      </c>
      <c r="BT504" s="21">
        <f>SUM(BP504:BQ504)</f>
        <v>1890758</v>
      </c>
      <c r="BU504" s="21">
        <f t="shared" si="7364"/>
        <v>400082</v>
      </c>
      <c r="BV504" s="21">
        <v>46670</v>
      </c>
      <c r="BW504" s="21">
        <v>3222</v>
      </c>
      <c r="BX504" s="21">
        <v>10107</v>
      </c>
      <c r="BY504" s="21">
        <v>3722</v>
      </c>
      <c r="BZ504" s="21">
        <v>2366</v>
      </c>
      <c r="CA504" s="21">
        <v>711</v>
      </c>
      <c r="CB504" s="21">
        <f>SUM(BX504:BY504)</f>
        <v>13829</v>
      </c>
      <c r="CC504" s="21">
        <f t="shared" si="7365"/>
        <v>3077</v>
      </c>
      <c r="CD504" s="21">
        <v>33789</v>
      </c>
      <c r="CE504" s="21">
        <v>1928</v>
      </c>
      <c r="CF504" s="21">
        <v>5905</v>
      </c>
      <c r="CG504" s="21">
        <v>2050</v>
      </c>
      <c r="CH504" s="21">
        <v>1301</v>
      </c>
      <c r="CI504" s="21">
        <v>526</v>
      </c>
      <c r="CJ504" s="21">
        <f>SUM(CF504:CG504)</f>
        <v>7955</v>
      </c>
      <c r="CK504" s="21">
        <f t="shared" si="7366"/>
        <v>1827</v>
      </c>
      <c r="CL504" s="21">
        <v>259133</v>
      </c>
      <c r="CM504" s="21">
        <v>19860</v>
      </c>
      <c r="CN504" s="21">
        <v>74499</v>
      </c>
      <c r="CO504" s="21">
        <v>6085</v>
      </c>
      <c r="CP504" s="21">
        <v>17233</v>
      </c>
      <c r="CQ504" s="21">
        <v>926</v>
      </c>
      <c r="CR504" s="21">
        <f>SUM(CN504:CO504)</f>
        <v>80584</v>
      </c>
      <c r="CS504" s="21">
        <f t="shared" si="7367"/>
        <v>18159</v>
      </c>
    </row>
    <row r="505" spans="1:97" x14ac:dyDescent="0.35">
      <c r="A505" s="14">
        <f>A506-1</f>
        <v>44439</v>
      </c>
      <c r="B505" s="9"/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N505" s="7"/>
      <c r="O505" s="4"/>
      <c r="T505" s="8"/>
      <c r="U505" s="8"/>
      <c r="X505" s="3"/>
      <c r="AL505">
        <v>2</v>
      </c>
      <c r="AM505">
        <v>2</v>
      </c>
      <c r="AN505">
        <v>3</v>
      </c>
    </row>
    <row r="506" spans="1:97" x14ac:dyDescent="0.35">
      <c r="A506" s="14">
        <v>44440</v>
      </c>
      <c r="B506" s="9">
        <f>BT506</f>
        <v>1912356</v>
      </c>
      <c r="C506">
        <f t="shared" ref="C506" si="7394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7351"/>
        <v>18</v>
      </c>
      <c r="N506" s="7">
        <f t="shared" ref="N506" si="7395">B506-C506</f>
        <v>1503966</v>
      </c>
      <c r="O506" s="4">
        <f t="shared" ref="O506" si="7396">C506/B506</f>
        <v>0.21355333421183084</v>
      </c>
      <c r="R506">
        <f>C506-MAX(C$2:C505)</f>
        <v>8308</v>
      </c>
      <c r="S506">
        <f>N506-MAX(N$2:N505)</f>
        <v>13290</v>
      </c>
      <c r="T506" s="8">
        <f t="shared" ref="T506" si="7397">R506/V506</f>
        <v>0.38466524678210945</v>
      </c>
      <c r="U506" s="8">
        <f t="shared" ref="U506" si="7398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7399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7400">Z506-AC506-AF506</f>
        <v>162</v>
      </c>
      <c r="AJ506">
        <f t="shared" ref="AJ506" si="7401">AA506-AD506-AG506</f>
        <v>128</v>
      </c>
      <c r="AK506">
        <f t="shared" ref="AK506" si="7402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7403">AU506/AT506</f>
        <v>8.441366064952445E-2</v>
      </c>
      <c r="AW506">
        <f>BV506-MAX(BV$1:BV502)</f>
        <v>1734</v>
      </c>
      <c r="AX506">
        <f>BW506-MAX(BW$1:BW502)</f>
        <v>107</v>
      </c>
      <c r="AY506">
        <f>CL506--MAX(CL$1:CL502)</f>
        <v>527424</v>
      </c>
      <c r="AZ506">
        <f>CM506--MAX(CM$1:CM502)</f>
        <v>39670</v>
      </c>
      <c r="BA506">
        <f>CD506-MAX(CD$2:CD502)</f>
        <v>1032</v>
      </c>
      <c r="BB506">
        <f>CE506-MAX(CE$2:CE502)</f>
        <v>57</v>
      </c>
      <c r="BC506">
        <f t="shared" ref="BC506" si="7404">AX506/AW506</f>
        <v>6.1707035755478659E-2</v>
      </c>
      <c r="BD506">
        <f t="shared" ref="BD506" si="7405">AZ506/AY506</f>
        <v>7.5214628079116608E-2</v>
      </c>
      <c r="BE506">
        <f t="shared" ref="BE506" si="7406">BB506/BA506</f>
        <v>5.5232558139534885E-2</v>
      </c>
      <c r="BN506" s="21">
        <v>5716196</v>
      </c>
      <c r="BO506" s="21">
        <v>441889</v>
      </c>
      <c r="BP506" s="21">
        <v>1582989</v>
      </c>
      <c r="BQ506" s="21">
        <v>329367</v>
      </c>
      <c r="BR506" s="21">
        <v>334523</v>
      </c>
      <c r="BS506" s="21">
        <v>73867</v>
      </c>
      <c r="BT506" s="21">
        <f>SUM(BP506:BQ506)</f>
        <v>1912356</v>
      </c>
      <c r="BU506" s="21">
        <f t="shared" si="7364"/>
        <v>408390</v>
      </c>
      <c r="BV506" s="21">
        <v>47522</v>
      </c>
      <c r="BW506" s="21">
        <v>3276</v>
      </c>
      <c r="BX506" s="21">
        <v>10203</v>
      </c>
      <c r="BY506" s="21">
        <v>3769</v>
      </c>
      <c r="BZ506" s="21">
        <v>2399</v>
      </c>
      <c r="CA506" s="21">
        <v>732</v>
      </c>
      <c r="CB506" s="21">
        <f>SUM(BX506:BY506)</f>
        <v>13972</v>
      </c>
      <c r="CC506" s="21">
        <f t="shared" si="7365"/>
        <v>3131</v>
      </c>
      <c r="CD506" s="21">
        <v>34336</v>
      </c>
      <c r="CE506" s="21">
        <v>1949</v>
      </c>
      <c r="CF506" s="21">
        <v>5962</v>
      </c>
      <c r="CG506" s="21">
        <v>2063</v>
      </c>
      <c r="CH506" s="21">
        <v>1313</v>
      </c>
      <c r="CI506" s="21">
        <v>534</v>
      </c>
      <c r="CJ506" s="21">
        <f>SUM(CF506:CG506)</f>
        <v>8025</v>
      </c>
      <c r="CK506" s="21">
        <f t="shared" si="7366"/>
        <v>1847</v>
      </c>
      <c r="CL506" s="21">
        <v>263672</v>
      </c>
      <c r="CM506" s="21">
        <v>20232</v>
      </c>
      <c r="CN506" s="21">
        <v>75458</v>
      </c>
      <c r="CO506" s="21">
        <v>6123</v>
      </c>
      <c r="CP506" s="21">
        <v>17570</v>
      </c>
      <c r="CQ506" s="21">
        <v>942</v>
      </c>
      <c r="CR506" s="21">
        <f>SUM(CN506:CO506)</f>
        <v>81581</v>
      </c>
      <c r="CS506" s="21">
        <f t="shared" si="7367"/>
        <v>18512</v>
      </c>
    </row>
    <row r="507" spans="1:97" x14ac:dyDescent="0.35">
      <c r="A507" s="14">
        <v>44441</v>
      </c>
      <c r="F507">
        <v>527</v>
      </c>
      <c r="H507">
        <v>142</v>
      </c>
      <c r="I507">
        <v>100</v>
      </c>
    </row>
    <row r="508" spans="1:97" x14ac:dyDescent="0.35">
      <c r="A508" s="14">
        <v>44444</v>
      </c>
      <c r="F508">
        <v>539</v>
      </c>
      <c r="H508">
        <v>137</v>
      </c>
      <c r="I508">
        <v>81</v>
      </c>
      <c r="BO508" s="21">
        <v>448636</v>
      </c>
    </row>
    <row r="509" spans="1:97" x14ac:dyDescent="0.35">
      <c r="A509" s="14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</row>
    <row r="510" spans="1:97" x14ac:dyDescent="0.35">
      <c r="A510" s="14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7407">-(J510-J509)+L510</f>
        <v>11</v>
      </c>
      <c r="N510" s="7">
        <f>B510-C510</f>
        <v>1519149</v>
      </c>
      <c r="O510" s="4">
        <f t="shared" ref="O510" si="7408">C510/B510</f>
        <v>0.21529249569847872</v>
      </c>
      <c r="R510">
        <f>C510-MAX(C$2:C508)</f>
        <v>8404</v>
      </c>
      <c r="S510">
        <f>N510-MAX(N$2:N508)</f>
        <v>15183</v>
      </c>
      <c r="T510" s="8">
        <f t="shared" ref="T510" si="7409">R510/V510</f>
        <v>0.35629796074108622</v>
      </c>
      <c r="U510" s="8">
        <f t="shared" ref="U510" si="7410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7411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7412">Z510-AC510-AF510</f>
        <v>188</v>
      </c>
      <c r="AJ510">
        <f t="shared" ref="AJ510" si="7413">AA510-AD510-AG510</f>
        <v>108</v>
      </c>
      <c r="AK510">
        <f t="shared" ref="AK510" si="7414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7415">AU510/AT510</f>
        <v>8.7249497657356095E-2</v>
      </c>
      <c r="AW510">
        <f>BV510-MAX(BV$1:BV505)</f>
        <v>1640</v>
      </c>
      <c r="AX510">
        <f>BW510-MAX(BW$1:BW505)</f>
        <v>111</v>
      </c>
      <c r="AY510">
        <f>CL510--MAX(CL$1:CL505)</f>
        <v>531643</v>
      </c>
      <c r="AZ510">
        <f>CM510--MAX(CM$1:CM505)</f>
        <v>40425</v>
      </c>
      <c r="BA510">
        <f>CD510-MAX(CD$2:CD505)</f>
        <v>1058</v>
      </c>
      <c r="BB510">
        <f>CE510-MAX(CE$2:CE505)</f>
        <v>38</v>
      </c>
      <c r="BC510">
        <f t="shared" ref="BC510" si="7416">AX510/AW510</f>
        <v>6.7682926829268297E-2</v>
      </c>
      <c r="BD510">
        <f t="shared" ref="BD510" si="7417">AZ510/AY510</f>
        <v>7.6037867516359658E-2</v>
      </c>
      <c r="BE510">
        <f t="shared" ref="BE510" si="7418">BB510/BA510</f>
        <v>3.5916824196597356E-2</v>
      </c>
      <c r="BN510" s="21">
        <v>5819197</v>
      </c>
      <c r="BO510" s="21">
        <v>450915</v>
      </c>
      <c r="BP510" s="21">
        <v>1600146</v>
      </c>
      <c r="BQ510" s="21">
        <v>335796</v>
      </c>
      <c r="BR510" s="21">
        <v>340657</v>
      </c>
      <c r="BS510" s="21">
        <v>76137</v>
      </c>
      <c r="BT510" s="21">
        <f>SUM(BP510:BQ510)</f>
        <v>1935942</v>
      </c>
      <c r="BU510" s="21">
        <f t="shared" ref="BU510:BU513" si="7419">SUM(BR510:BS510)</f>
        <v>416794</v>
      </c>
      <c r="BV510" s="21">
        <v>48310</v>
      </c>
      <c r="BW510" s="21">
        <v>3333</v>
      </c>
      <c r="BX510" s="21">
        <v>10315</v>
      </c>
      <c r="BY510" s="21">
        <v>3824</v>
      </c>
      <c r="BZ510" s="21">
        <v>2441</v>
      </c>
      <c r="CA510" s="21">
        <v>747</v>
      </c>
      <c r="CB510" s="21">
        <f>SUM(BX510:BY510)</f>
        <v>14139</v>
      </c>
      <c r="CC510" s="21">
        <f t="shared" ref="CC510" si="7420">SUM(BZ510:CA510)</f>
        <v>3188</v>
      </c>
      <c r="CD510" s="21">
        <v>34847</v>
      </c>
      <c r="CE510" s="21">
        <v>1966</v>
      </c>
      <c r="CF510" s="21">
        <v>6003</v>
      </c>
      <c r="CG510" s="21">
        <v>2105</v>
      </c>
      <c r="CH510" s="21">
        <v>1322</v>
      </c>
      <c r="CI510" s="21">
        <v>541</v>
      </c>
      <c r="CJ510" s="21">
        <f>SUM(CF510:CG510)</f>
        <v>8108</v>
      </c>
      <c r="CK510" s="21">
        <f t="shared" ref="CK510:CK513" si="7421">SUM(CH510:CI510)</f>
        <v>1863</v>
      </c>
      <c r="CL510" s="21">
        <v>267891</v>
      </c>
      <c r="CM510" s="21">
        <v>20565</v>
      </c>
      <c r="CN510" s="21">
        <v>76539</v>
      </c>
      <c r="CO510" s="21">
        <v>6164</v>
      </c>
      <c r="CP510" s="21">
        <v>17850</v>
      </c>
      <c r="CQ510" s="21">
        <v>944</v>
      </c>
      <c r="CR510" s="21">
        <f>SUM(CN510:CO510)</f>
        <v>82703</v>
      </c>
      <c r="CS510" s="21">
        <f t="shared" ref="CS510:CS513" si="7422">SUM(CP510:CQ510)</f>
        <v>18794</v>
      </c>
    </row>
    <row r="511" spans="1:97" x14ac:dyDescent="0.35">
      <c r="A511" s="14">
        <v>44448</v>
      </c>
      <c r="F511">
        <v>554</v>
      </c>
      <c r="H511">
        <v>153</v>
      </c>
      <c r="I511">
        <v>77</v>
      </c>
      <c r="BO511" s="21">
        <v>454989</v>
      </c>
    </row>
    <row r="512" spans="1:97" x14ac:dyDescent="0.35">
      <c r="A512" s="14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 s="7">
        <f>B512-C512</f>
        <v>1538869</v>
      </c>
      <c r="O512" s="4">
        <f t="shared" ref="O512" si="7423">C512/B512</f>
        <v>0.21781033310189257</v>
      </c>
      <c r="R512">
        <f>C512-MAX(C$2:C510)</f>
        <v>11723</v>
      </c>
      <c r="S512">
        <f>N512-MAX(N$2:N510)</f>
        <v>19720</v>
      </c>
      <c r="T512" s="8">
        <f t="shared" ref="T512" si="7424">R512/V512</f>
        <v>0.37283338103870495</v>
      </c>
      <c r="U512" s="8">
        <f t="shared" ref="U512" si="7425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7426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7427">Z512-AC512-AF512</f>
        <v>225</v>
      </c>
      <c r="AJ512">
        <f t="shared" ref="AJ512" si="7428">AA512-AD512-AG512</f>
        <v>95</v>
      </c>
      <c r="AK512">
        <f t="shared" ref="AK512" si="7429">AB512-AE512-AH512</f>
        <v>1346</v>
      </c>
      <c r="AL512">
        <v>2</v>
      </c>
      <c r="AM512">
        <v>2</v>
      </c>
      <c r="AN512">
        <v>5</v>
      </c>
    </row>
    <row r="513" spans="1:97" x14ac:dyDescent="0.35">
      <c r="A513" s="14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7430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7431">AU513/AT513</f>
        <v>8.8431510542063302E-2</v>
      </c>
      <c r="AW513">
        <f>BV513-MAX(BV$1:BV507)</f>
        <v>2311</v>
      </c>
      <c r="AX513">
        <f>BW513-MAX(BW$1:BW507)</f>
        <v>127</v>
      </c>
      <c r="AY513">
        <f>CL513--MAX(CL$1:CL507)</f>
        <v>536729</v>
      </c>
      <c r="AZ513">
        <f>CM513--MAX(CM$1:CM507)</f>
        <v>41169</v>
      </c>
      <c r="BA513">
        <f>CD513-MAX(CD$2:CD507)</f>
        <v>1044</v>
      </c>
      <c r="BB513">
        <f>CE513-MAX(CE$2:CE507)</f>
        <v>50</v>
      </c>
      <c r="BC513">
        <f t="shared" ref="BC513" si="7432">AX513/AW513</f>
        <v>5.4954565123323237E-2</v>
      </c>
      <c r="BD513">
        <f t="shared" ref="BD513" si="7433">AZ513/AY513</f>
        <v>7.6703513318639394E-2</v>
      </c>
      <c r="BE513">
        <f t="shared" ref="BE513" si="7434">BB513/BA513</f>
        <v>4.7892720306513412E-2</v>
      </c>
      <c r="BN513" s="21">
        <v>5959175</v>
      </c>
      <c r="BO513" s="21">
        <v>463376</v>
      </c>
      <c r="BP513" s="21">
        <v>16200748</v>
      </c>
      <c r="BQ513" s="21">
        <v>347337</v>
      </c>
      <c r="BR513" s="21">
        <v>348771</v>
      </c>
      <c r="BS513" s="21">
        <v>79746</v>
      </c>
      <c r="BT513" s="21">
        <f>SUM(BP513:BQ513)</f>
        <v>16548085</v>
      </c>
      <c r="BU513" s="21">
        <f t="shared" si="7419"/>
        <v>428517</v>
      </c>
      <c r="BV513" s="21">
        <v>49833</v>
      </c>
      <c r="BW513" s="21">
        <v>3403</v>
      </c>
      <c r="BX513" s="21">
        <v>10456</v>
      </c>
      <c r="BY513" s="21">
        <v>3935</v>
      </c>
      <c r="BZ513" s="21">
        <v>2479</v>
      </c>
      <c r="CA513" s="21">
        <v>774</v>
      </c>
      <c r="CB513" s="21">
        <f>SUM(BX513:BY513)</f>
        <v>14391</v>
      </c>
      <c r="CC513" s="21">
        <f t="shared" ref="CC513" si="7435">SUM(BZ513:CA513)</f>
        <v>3253</v>
      </c>
      <c r="CD513" s="21">
        <v>35380</v>
      </c>
      <c r="CE513" s="21">
        <v>1999</v>
      </c>
      <c r="CF513" s="21">
        <v>6056</v>
      </c>
      <c r="CG513" s="21">
        <v>2144</v>
      </c>
      <c r="CH513" s="21">
        <v>1377</v>
      </c>
      <c r="CI513" s="21">
        <v>551</v>
      </c>
      <c r="CJ513" s="21">
        <f>SUM(CF513:CG513)</f>
        <v>8200</v>
      </c>
      <c r="CK513" s="21">
        <f t="shared" si="7421"/>
        <v>1928</v>
      </c>
      <c r="CL513" s="21">
        <v>272977</v>
      </c>
      <c r="CM513" s="21">
        <v>20937</v>
      </c>
      <c r="CN513" s="21">
        <v>77711</v>
      </c>
      <c r="CO513" s="21">
        <v>6221</v>
      </c>
      <c r="CP513" s="21">
        <v>18170</v>
      </c>
      <c r="CQ513" s="21">
        <v>951</v>
      </c>
      <c r="CR513" s="21">
        <f>SUM(CN513:CO513)</f>
        <v>83932</v>
      </c>
      <c r="CS513" s="21">
        <f t="shared" si="7422"/>
        <v>19121</v>
      </c>
    </row>
    <row r="514" spans="1:97" x14ac:dyDescent="0.35">
      <c r="A514" s="14">
        <v>44455</v>
      </c>
      <c r="F514">
        <v>581</v>
      </c>
      <c r="H514">
        <v>148</v>
      </c>
      <c r="I514">
        <v>95</v>
      </c>
      <c r="BO514" s="21">
        <v>468223</v>
      </c>
    </row>
    <row r="515" spans="1:97" x14ac:dyDescent="0.35">
      <c r="A515" s="14">
        <v>44458</v>
      </c>
      <c r="F515">
        <v>579</v>
      </c>
      <c r="H515">
        <v>158</v>
      </c>
      <c r="I515">
        <v>72</v>
      </c>
      <c r="BO515" s="21">
        <v>472681</v>
      </c>
    </row>
    <row r="516" spans="1:97" x14ac:dyDescent="0.35">
      <c r="A516" s="14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 s="7">
        <f>B516-C516</f>
        <v>1557355</v>
      </c>
      <c r="O516" s="4">
        <f t="shared" ref="O516" si="7436">C516/B516</f>
        <v>0.22055669695475805</v>
      </c>
      <c r="R516">
        <f>C516-MAX(C$2:C514)</f>
        <v>12163</v>
      </c>
      <c r="S516">
        <f>N516-MAX(N$2:N514)</f>
        <v>18486</v>
      </c>
      <c r="T516" s="8">
        <f t="shared" ref="T516" si="7437">R516/V516</f>
        <v>0.3968481842800744</v>
      </c>
      <c r="U516" s="8">
        <f t="shared" ref="U516" si="7438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7439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7440">Z516-AC516-AF516</f>
        <v>231</v>
      </c>
      <c r="AJ516">
        <f t="shared" ref="AJ516" si="7441">AA516-AD516-AG516</f>
        <v>91</v>
      </c>
      <c r="AK516">
        <f t="shared" ref="AK516" si="7442">AB516-AE516-AH516</f>
        <v>1234</v>
      </c>
      <c r="AS516">
        <f t="shared" ref="AS516:AS528" si="7443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7444">AU516/AT516</f>
        <v>9.2319478331590571E-2</v>
      </c>
      <c r="AW516">
        <f>BV516-MAX(BV$1:BV510)</f>
        <v>2888</v>
      </c>
      <c r="AX516">
        <f>BW516-MAX(BW$1:BW510)</f>
        <v>139</v>
      </c>
      <c r="AY516">
        <f>CL516--MAX(CL$1:CL510)</f>
        <v>545296</v>
      </c>
      <c r="AZ516">
        <f>CM516--MAX(CM$1:CM510)</f>
        <v>41804</v>
      </c>
      <c r="BA516">
        <f>CD516-MAX(CD$2:CD510)</f>
        <v>1144</v>
      </c>
      <c r="BB516">
        <f>CE516-MAX(CE$2:CE510)</f>
        <v>59</v>
      </c>
      <c r="BC516">
        <f t="shared" ref="BC516" si="7445">AX516/AW516</f>
        <v>4.8130193905817173E-2</v>
      </c>
      <c r="BD516">
        <f t="shared" ref="BD516" si="7446">AZ516/AY516</f>
        <v>7.666295003080896E-2</v>
      </c>
      <c r="BE516">
        <f t="shared" ref="BE516" si="7447">BB516/BA516</f>
        <v>5.1573426573426576E-2</v>
      </c>
      <c r="BN516" s="21">
        <v>6094621</v>
      </c>
      <c r="BO516" s="21">
        <v>476342</v>
      </c>
      <c r="BP516" s="21">
        <v>1642260</v>
      </c>
      <c r="BQ516" s="21">
        <v>355774</v>
      </c>
      <c r="BR516" s="21">
        <v>357468</v>
      </c>
      <c r="BS516" s="21">
        <v>83212</v>
      </c>
      <c r="BT516" s="21">
        <f>SUM(BP516:BQ516)</f>
        <v>1998034</v>
      </c>
      <c r="BU516" s="21">
        <f t="shared" ref="BU516" si="7448">SUM(BR516:BS516)</f>
        <v>440680</v>
      </c>
      <c r="BV516" s="21">
        <v>51198</v>
      </c>
      <c r="BW516" s="21">
        <v>3472</v>
      </c>
      <c r="BX516" s="21">
        <v>10568</v>
      </c>
      <c r="BY516" s="21">
        <v>3987</v>
      </c>
      <c r="BZ516" s="21">
        <v>2518</v>
      </c>
      <c r="CA516" s="21">
        <v>795</v>
      </c>
      <c r="CB516" s="21">
        <f>SUM(BX516:BY516)</f>
        <v>14555</v>
      </c>
      <c r="CC516" s="21">
        <f t="shared" ref="CC516" si="7449">SUM(BZ516:CA516)</f>
        <v>3313</v>
      </c>
      <c r="CD516" s="21">
        <v>35991</v>
      </c>
      <c r="CE516" s="21">
        <v>2025</v>
      </c>
      <c r="CF516" s="21">
        <v>6167</v>
      </c>
      <c r="CG516" s="21">
        <v>2145</v>
      </c>
      <c r="CH516" s="21">
        <v>1355</v>
      </c>
      <c r="CI516" s="21">
        <v>564</v>
      </c>
      <c r="CJ516" s="21">
        <f>SUM(CF516:CG516)</f>
        <v>8312</v>
      </c>
      <c r="CK516" s="21">
        <f t="shared" ref="CK516" si="7450">SUM(CH516:CI516)</f>
        <v>1919</v>
      </c>
      <c r="CL516" s="21">
        <v>277405</v>
      </c>
      <c r="CM516" s="21">
        <v>21239</v>
      </c>
      <c r="CN516" s="21">
        <v>78938</v>
      </c>
      <c r="CO516" s="21">
        <v>6208</v>
      </c>
      <c r="CP516" s="21">
        <v>18436</v>
      </c>
      <c r="CQ516" s="21">
        <v>961</v>
      </c>
      <c r="CR516" s="21">
        <f>SUM(CN516:CO516)</f>
        <v>85146</v>
      </c>
      <c r="CS516" s="21">
        <f t="shared" ref="CS516" si="7451">SUM(CP516:CQ516)</f>
        <v>19397</v>
      </c>
    </row>
    <row r="517" spans="1:97" x14ac:dyDescent="0.35">
      <c r="A517" s="14">
        <v>44461</v>
      </c>
      <c r="B517" s="9">
        <f>BT517</f>
        <v>0</v>
      </c>
      <c r="C517">
        <f t="shared" ref="C517" si="7452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7453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7454">Z517-AC517-AF517</f>
        <v>231</v>
      </c>
      <c r="AJ517">
        <f t="shared" ref="AJ517" si="7455">AA517-AD517-AG517</f>
        <v>91</v>
      </c>
      <c r="AK517">
        <f t="shared" ref="AK517" si="7456">AB517-AE517-AH517</f>
        <v>1234</v>
      </c>
      <c r="AL517">
        <v>1</v>
      </c>
      <c r="AM517">
        <v>1</v>
      </c>
      <c r="AN517">
        <v>1</v>
      </c>
      <c r="AS517" t="str">
        <f t="shared" si="7443"/>
        <v/>
      </c>
    </row>
    <row r="518" spans="1:97" x14ac:dyDescent="0.35">
      <c r="A518" s="14">
        <v>44462</v>
      </c>
      <c r="E518">
        <v>6482</v>
      </c>
      <c r="F518">
        <v>642</v>
      </c>
      <c r="H518">
        <v>165</v>
      </c>
      <c r="I518">
        <v>108</v>
      </c>
      <c r="AS518">
        <f t="shared" si="7443"/>
        <v>2159</v>
      </c>
      <c r="BO518" s="21">
        <v>480660</v>
      </c>
    </row>
    <row r="519" spans="1:97" x14ac:dyDescent="0.35">
      <c r="A519" s="14">
        <v>44465</v>
      </c>
      <c r="F519">
        <v>641</v>
      </c>
      <c r="H519">
        <v>155</v>
      </c>
      <c r="I519">
        <v>80</v>
      </c>
      <c r="AS519">
        <f t="shared" si="7443"/>
        <v>1318.6666666666667</v>
      </c>
      <c r="BO519" s="21">
        <v>484616</v>
      </c>
    </row>
    <row r="520" spans="1:97" x14ac:dyDescent="0.35">
      <c r="A520" s="14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7443"/>
        <v/>
      </c>
    </row>
    <row r="521" spans="1:97" x14ac:dyDescent="0.35">
      <c r="A521" s="14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7457">-(J521-J520)+L521</f>
        <v>26</v>
      </c>
      <c r="N521" s="7">
        <f>B521-C521</f>
        <v>1572449</v>
      </c>
      <c r="O521" s="4">
        <f t="shared" ref="O521" si="7458">C521/B521</f>
        <v>0.22307567266041847</v>
      </c>
      <c r="R521">
        <f>C521-MAX(C$2:C518)</f>
        <v>10812</v>
      </c>
      <c r="S521">
        <f>N521-MAX(N$2:N518)</f>
        <v>15094</v>
      </c>
      <c r="T521" s="8">
        <f t="shared" ref="T521" si="7459">R521/V521</f>
        <v>0.41735505288350189</v>
      </c>
      <c r="U521" s="8">
        <f t="shared" ref="U521" si="7460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7461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7462">Z521-AC521-AF521</f>
        <v>249</v>
      </c>
      <c r="AJ521">
        <f t="shared" ref="AJ521" si="7463">AA521-AD521-AG521</f>
        <v>117</v>
      </c>
      <c r="AK521">
        <f t="shared" ref="AK521" si="7464">AB521-AE521-AH521</f>
        <v>1125</v>
      </c>
      <c r="AS521">
        <f t="shared" si="7443"/>
        <v>1708.5</v>
      </c>
      <c r="AT521">
        <f>BN521-MAX(BN$1:BN515)</f>
        <v>255181</v>
      </c>
      <c r="AU521">
        <f>BO521-MAX(BO$1:BO515)</f>
        <v>15352</v>
      </c>
      <c r="AV521">
        <f t="shared" ref="AV521" si="7465">AU521/AT521</f>
        <v>6.016121889952622E-2</v>
      </c>
      <c r="AW521">
        <f>BV521-MAX(BV$1:BV515)</f>
        <v>2929</v>
      </c>
      <c r="AX521">
        <f>BW521-MAX(BW$1:BW515)</f>
        <v>150</v>
      </c>
      <c r="AY521">
        <f>CL521--MAX(CL$1:CL515)</f>
        <v>554210</v>
      </c>
      <c r="AZ521">
        <f>CM521--MAX(CM$1:CM515)</f>
        <v>42447</v>
      </c>
      <c r="BA521">
        <f>CD521-MAX(CD$2:CD515)</f>
        <v>1164</v>
      </c>
      <c r="BB521">
        <f>CE521-MAX(CE$2:CE515)</f>
        <v>71</v>
      </c>
      <c r="BC521">
        <f t="shared" ref="BC521" si="7466">AX521/AW521</f>
        <v>5.1212017753499491E-2</v>
      </c>
      <c r="BD521">
        <f t="shared" ref="BD521" si="7467">AZ521/AY521</f>
        <v>7.6590101225167351E-2</v>
      </c>
      <c r="BE521">
        <f t="shared" ref="BE521" si="7468">BB521/BA521</f>
        <v>6.099656357388316E-2</v>
      </c>
      <c r="BN521" s="21">
        <v>6214356</v>
      </c>
      <c r="BO521" s="21">
        <v>488033</v>
      </c>
      <c r="BP521" s="21">
        <v>1661111</v>
      </c>
      <c r="BQ521" s="21">
        <v>362829</v>
      </c>
      <c r="BR521" s="21">
        <v>365253</v>
      </c>
      <c r="BS521" s="21">
        <v>86239</v>
      </c>
      <c r="BT521" s="21">
        <f>SUM(BP521:BQ521)</f>
        <v>2023940</v>
      </c>
      <c r="BU521" s="21">
        <f t="shared" ref="BU521" si="7469">SUM(BR521:BS521)</f>
        <v>451492</v>
      </c>
      <c r="BV521" s="21">
        <v>52762</v>
      </c>
      <c r="BW521" s="21">
        <v>3553</v>
      </c>
      <c r="BX521" s="21">
        <v>10683</v>
      </c>
      <c r="BY521" s="21">
        <v>4036</v>
      </c>
      <c r="BZ521" s="21">
        <v>2566</v>
      </c>
      <c r="CA521" s="21">
        <v>823</v>
      </c>
      <c r="CB521" s="21">
        <f>SUM(BX521:BY521)</f>
        <v>14719</v>
      </c>
      <c r="CC521" s="21">
        <f t="shared" ref="CC521" si="7470">SUM(BZ521:CA521)</f>
        <v>3389</v>
      </c>
      <c r="CD521" s="21">
        <v>36544</v>
      </c>
      <c r="CE521" s="21">
        <v>2070</v>
      </c>
      <c r="CF521" s="21">
        <v>6229</v>
      </c>
      <c r="CG521" s="21">
        <v>2172</v>
      </c>
      <c r="CH521" s="21">
        <v>1383</v>
      </c>
      <c r="CI521" s="21">
        <v>582</v>
      </c>
      <c r="CJ521" s="21">
        <f>SUM(CF521:CG521)</f>
        <v>8401</v>
      </c>
      <c r="CK521" s="21">
        <f t="shared" ref="CK521" si="7471">SUM(CH521:CI521)</f>
        <v>1965</v>
      </c>
      <c r="CL521" s="21">
        <v>281233</v>
      </c>
      <c r="CM521" s="21">
        <v>21510</v>
      </c>
      <c r="CN521" s="21">
        <v>79884</v>
      </c>
      <c r="CO521" s="21">
        <v>6176</v>
      </c>
      <c r="CP521" s="21">
        <v>18686</v>
      </c>
      <c r="CQ521" s="21">
        <v>968</v>
      </c>
      <c r="CR521" s="21">
        <f>SUM(CN521:CO521)</f>
        <v>86060</v>
      </c>
      <c r="CS521" s="21">
        <f t="shared" ref="CS521" si="7472">SUM(CP521:CQ521)</f>
        <v>19654</v>
      </c>
    </row>
    <row r="522" spans="1:97" x14ac:dyDescent="0.35">
      <c r="A522" s="14">
        <v>44469</v>
      </c>
      <c r="F522">
        <v>634</v>
      </c>
      <c r="H522">
        <v>149</v>
      </c>
      <c r="I522">
        <v>102</v>
      </c>
      <c r="AS522">
        <f t="shared" si="7443"/>
        <v>1841.5</v>
      </c>
      <c r="BO522" s="21">
        <v>491716</v>
      </c>
    </row>
    <row r="523" spans="1:97" x14ac:dyDescent="0.35">
      <c r="A523" s="14">
        <v>44472</v>
      </c>
      <c r="F523">
        <v>629</v>
      </c>
      <c r="H523">
        <v>140</v>
      </c>
      <c r="I523">
        <v>78</v>
      </c>
      <c r="AS523">
        <f t="shared" si="7443"/>
        <v>1364.6666666666667</v>
      </c>
      <c r="BO523" s="21">
        <v>495810</v>
      </c>
    </row>
    <row r="524" spans="1:97" x14ac:dyDescent="0.35">
      <c r="A524" s="14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7443"/>
        <v/>
      </c>
    </row>
    <row r="525" spans="1:97" x14ac:dyDescent="0.35">
      <c r="A525" s="14">
        <v>44474</v>
      </c>
      <c r="B525" s="9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7473">-(J525-J524)+L525</f>
        <v>14</v>
      </c>
      <c r="N525" s="7">
        <f>B525-C525</f>
        <v>1585705</v>
      </c>
      <c r="O525" s="4">
        <f t="shared" ref="O525" si="7474">C525/B525</f>
        <v>0.22537330421185145</v>
      </c>
      <c r="R525">
        <f>C525-MAX(C$2:C522)</f>
        <v>9860</v>
      </c>
      <c r="S525">
        <f>N525-MAX(N$2:N522)</f>
        <v>13256</v>
      </c>
      <c r="T525" s="8">
        <f t="shared" ref="T525" si="7475">R525/V525</f>
        <v>0.42654438484166812</v>
      </c>
      <c r="U525" s="8">
        <f t="shared" ref="U525" si="7476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7477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7478">Z525-AC525-AF525</f>
        <v>283</v>
      </c>
      <c r="AJ525">
        <f t="shared" ref="AJ525" si="7479">AA525-AD525-AG525</f>
        <v>137</v>
      </c>
      <c r="AK525">
        <f t="shared" ref="AK525" si="7480">AB525-AE525-AH525</f>
        <v>1029</v>
      </c>
      <c r="AS525">
        <f t="shared" si="7443"/>
        <v>1414</v>
      </c>
      <c r="AT525">
        <f>BN525-MAX(BN$1:BN524)</f>
        <v>111178</v>
      </c>
      <c r="AU525">
        <f>BO525-MAX(BO$1:BO524)</f>
        <v>2828</v>
      </c>
      <c r="AV525">
        <f t="shared" ref="AV525" si="7481">AU525/AT525</f>
        <v>2.5436687114357159E-2</v>
      </c>
      <c r="AW525">
        <f>BV525-MAX(BV$1:BV524)</f>
        <v>1362</v>
      </c>
      <c r="AX525">
        <f>BW525-MAX(BW$1:BW524)</f>
        <v>80</v>
      </c>
      <c r="AY525">
        <f>CL525--MAX(CL$1:CL524)</f>
        <v>566263</v>
      </c>
      <c r="AZ525">
        <f>CM525--MAX(CM$1:CM524)</f>
        <v>43253</v>
      </c>
      <c r="BA525">
        <f>CD525-MAX(CD$2:CD524)</f>
        <v>514</v>
      </c>
      <c r="BB525">
        <f>CE525-MAX(CE$2:CE524)</f>
        <v>40</v>
      </c>
      <c r="BC525">
        <f t="shared" ref="BC525" si="7482">AX525/AW525</f>
        <v>5.8737151248164463E-2</v>
      </c>
      <c r="BD525">
        <f t="shared" ref="BD525" si="7483">AZ525/AY525</f>
        <v>7.6383235351771175E-2</v>
      </c>
      <c r="BE525">
        <f t="shared" ref="BE525" si="7484">BB525/BA525</f>
        <v>7.7821011673151752E-2</v>
      </c>
      <c r="BN525" s="21">
        <v>6325534</v>
      </c>
      <c r="BO525" s="21">
        <v>498638</v>
      </c>
      <c r="BP525" s="21">
        <v>1676381</v>
      </c>
      <c r="BQ525" s="21">
        <v>370676</v>
      </c>
      <c r="BR525" s="21">
        <v>371936</v>
      </c>
      <c r="BS525" s="21">
        <v>89416</v>
      </c>
      <c r="BT525" s="21">
        <f>SUM(BP525:BQ525)</f>
        <v>2047057</v>
      </c>
      <c r="BU525" s="21">
        <f t="shared" ref="BU525" si="7485">SUM(BR525:BS525)</f>
        <v>461352</v>
      </c>
      <c r="BV525" s="21">
        <v>54124</v>
      </c>
      <c r="BW525" s="21">
        <v>3633</v>
      </c>
      <c r="BX525" s="21">
        <v>10757</v>
      </c>
      <c r="BY525" s="21">
        <v>4100</v>
      </c>
      <c r="BZ525" s="21">
        <v>2611</v>
      </c>
      <c r="CA525" s="21">
        <v>858</v>
      </c>
      <c r="CB525" s="21">
        <f>SUM(BX525:BY525)</f>
        <v>14857</v>
      </c>
      <c r="CC525" s="21">
        <f t="shared" ref="CC525" si="7486">SUM(BZ525:CA525)</f>
        <v>3469</v>
      </c>
      <c r="CD525" s="21">
        <v>37058</v>
      </c>
      <c r="CE525" s="21">
        <v>2110</v>
      </c>
      <c r="CF525" s="21">
        <v>6249</v>
      </c>
      <c r="CG525" s="21">
        <v>2242</v>
      </c>
      <c r="CH525" s="21">
        <v>1395</v>
      </c>
      <c r="CI525" s="21">
        <v>605</v>
      </c>
      <c r="CJ525" s="21">
        <f>SUM(CF525:CG525)</f>
        <v>8491</v>
      </c>
      <c r="CK525" s="21">
        <f t="shared" ref="CK525" si="7487">SUM(CH525:CI525)</f>
        <v>2000</v>
      </c>
      <c r="CL525" s="21">
        <v>285030</v>
      </c>
      <c r="CM525" s="21">
        <v>21743</v>
      </c>
      <c r="CN525" s="21">
        <v>80154</v>
      </c>
      <c r="CO525" s="21">
        <v>6226</v>
      </c>
      <c r="CP525" s="21">
        <v>18898</v>
      </c>
      <c r="CQ525" s="21">
        <v>975</v>
      </c>
      <c r="CR525" s="21">
        <f>SUM(CN525:CO525)</f>
        <v>86380</v>
      </c>
      <c r="CS525" s="21">
        <f t="shared" ref="CS525" si="7488">SUM(CP525:CQ525)</f>
        <v>19873</v>
      </c>
    </row>
    <row r="526" spans="1:97" x14ac:dyDescent="0.35">
      <c r="A526" s="14">
        <v>44475</v>
      </c>
      <c r="B526" s="9"/>
      <c r="F526">
        <v>600</v>
      </c>
      <c r="N526" s="7"/>
      <c r="O526" s="4"/>
      <c r="T526" s="8"/>
      <c r="U526" s="8"/>
      <c r="X526" s="3"/>
      <c r="AS526" t="str">
        <f t="shared" si="7443"/>
        <v/>
      </c>
    </row>
    <row r="527" spans="1:97" x14ac:dyDescent="0.35">
      <c r="A527" s="14">
        <v>44476</v>
      </c>
      <c r="E527">
        <v>6654</v>
      </c>
      <c r="F527">
        <v>573</v>
      </c>
      <c r="H527">
        <v>145</v>
      </c>
      <c r="I527">
        <v>87</v>
      </c>
      <c r="AS527">
        <f t="shared" si="7443"/>
        <v>1647</v>
      </c>
      <c r="BO527" s="21">
        <v>501932</v>
      </c>
    </row>
    <row r="528" spans="1:97" x14ac:dyDescent="0.35">
      <c r="A528" s="14">
        <v>44479</v>
      </c>
      <c r="F528">
        <v>566</v>
      </c>
      <c r="H528">
        <v>152</v>
      </c>
      <c r="I528">
        <v>59</v>
      </c>
      <c r="AS528">
        <f t="shared" si="7443"/>
        <v>1080.3333333333333</v>
      </c>
      <c r="BO528" s="21">
        <v>505173</v>
      </c>
    </row>
    <row r="529" spans="1:97" x14ac:dyDescent="0.35">
      <c r="A529" s="14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</row>
    <row r="530" spans="1:97" x14ac:dyDescent="0.35">
      <c r="A530" s="14">
        <v>44481</v>
      </c>
      <c r="B530" s="9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 s="7">
        <f>B530-C530</f>
        <v>1597985</v>
      </c>
      <c r="O530" s="4">
        <f t="shared" ref="O530" si="7489">C530/B530</f>
        <v>0.22709460296086489</v>
      </c>
      <c r="R530">
        <f>C530-MAX(C$2:C527)</f>
        <v>8167</v>
      </c>
      <c r="S530">
        <f>N530-MAX(N$2:N527)</f>
        <v>12280</v>
      </c>
      <c r="T530" s="8">
        <f t="shared" ref="T530" si="7490">R530/V530</f>
        <v>0.39942289822467841</v>
      </c>
      <c r="U530" s="8">
        <f t="shared" ref="U530" si="7491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7492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7493">Z530-AC530-AF530</f>
        <v>266</v>
      </c>
      <c r="AJ530">
        <f t="shared" ref="AJ530" si="7494">AA530-AD530-AG530</f>
        <v>140</v>
      </c>
      <c r="AK530">
        <f t="shared" ref="AK530" si="7495">AB530-AE530-AH530</f>
        <v>942</v>
      </c>
      <c r="AS530">
        <f>IF(BO530&gt;0,(BO530-MAX(BO487:BO528))/(A530-INDEX(A:A,MATCH(MAX(BO487:BO528),BO:BO,0))),"")</f>
        <v>1176</v>
      </c>
      <c r="AT530">
        <f>BN530-MAX(BN$1:BN528)</f>
        <v>105325</v>
      </c>
      <c r="AU530">
        <f>BO530-MAX(BO$1:BO528)</f>
        <v>2352</v>
      </c>
      <c r="AV530">
        <f t="shared" ref="AV530" si="7496">AU530/AT530</f>
        <v>2.233088060764301E-2</v>
      </c>
      <c r="AW530">
        <f>BV530-MAX(BV$1:BV528)</f>
        <v>1235</v>
      </c>
      <c r="AX530">
        <f>BW530-MAX(BW$1:BW528)</f>
        <v>75</v>
      </c>
      <c r="AY530">
        <f>CL530--MAX(CL$1:CL528)</f>
        <v>574262</v>
      </c>
      <c r="AZ530">
        <f>CM530--MAX(CM$1:CM528)</f>
        <v>43771</v>
      </c>
      <c r="BA530">
        <f>CD530-MAX(CD$2:CD528)</f>
        <v>685</v>
      </c>
      <c r="BB530">
        <f>CE530-MAX(CE$2:CE528)</f>
        <v>32</v>
      </c>
      <c r="BC530">
        <f t="shared" ref="BC530" si="7497">AX530/AW530</f>
        <v>6.0728744939271252E-2</v>
      </c>
      <c r="BD530">
        <f t="shared" ref="BD530" si="7498">AZ530/AY530</f>
        <v>7.6221306650971155E-2</v>
      </c>
      <c r="BE530">
        <f t="shared" ref="BE530" si="7499">BB530/BA530</f>
        <v>4.6715328467153282E-2</v>
      </c>
      <c r="BN530" s="21">
        <v>6430859</v>
      </c>
      <c r="BO530" s="21">
        <v>507525</v>
      </c>
      <c r="BP530" s="21">
        <v>1690447</v>
      </c>
      <c r="BQ530" s="21">
        <v>377057</v>
      </c>
      <c r="BR530" s="21">
        <v>377767</v>
      </c>
      <c r="BS530" s="21">
        <v>91752</v>
      </c>
      <c r="BT530" s="21">
        <f>SUM(BP530:BQ530)</f>
        <v>2067504</v>
      </c>
      <c r="BU530" s="21">
        <f t="shared" ref="BU530" si="7500">SUM(BR530:BS530)</f>
        <v>469519</v>
      </c>
      <c r="BV530" s="21">
        <v>55359</v>
      </c>
      <c r="BW530" s="21">
        <v>3708</v>
      </c>
      <c r="BX530" s="21">
        <v>10844</v>
      </c>
      <c r="BY530" s="21">
        <v>4157</v>
      </c>
      <c r="BZ530" s="21">
        <v>2660</v>
      </c>
      <c r="CA530" s="21">
        <v>878</v>
      </c>
      <c r="CB530" s="21">
        <f>SUM(BX530:BY530)</f>
        <v>15001</v>
      </c>
      <c r="CC530" s="21">
        <f t="shared" ref="CC530" si="7501">SUM(BZ530:CA530)</f>
        <v>3538</v>
      </c>
      <c r="CD530" s="21">
        <v>37743</v>
      </c>
      <c r="CE530" s="21">
        <v>2142</v>
      </c>
      <c r="CF530" s="21">
        <v>6284</v>
      </c>
      <c r="CG530" s="21">
        <v>2290</v>
      </c>
      <c r="CH530" s="21">
        <v>1415</v>
      </c>
      <c r="CI530" s="21">
        <v>617</v>
      </c>
      <c r="CJ530" s="21">
        <f>SUM(CF530:CG530)</f>
        <v>8574</v>
      </c>
      <c r="CK530" s="21">
        <f t="shared" ref="CK530" si="7502">SUM(CH530:CI530)</f>
        <v>2032</v>
      </c>
      <c r="CL530" s="21">
        <v>289232</v>
      </c>
      <c r="CM530" s="21">
        <v>22028</v>
      </c>
      <c r="CN530" s="21">
        <v>81275</v>
      </c>
      <c r="CO530" s="21">
        <v>6288</v>
      </c>
      <c r="CP530" s="21">
        <v>19131</v>
      </c>
      <c r="CQ530" s="21">
        <v>999</v>
      </c>
      <c r="CR530" s="21">
        <f>SUM(CN530:CO530)</f>
        <v>87563</v>
      </c>
      <c r="CS530" s="21">
        <f t="shared" ref="CS530" si="7503">SUM(CP530:CQ530)</f>
        <v>20130</v>
      </c>
    </row>
    <row r="531" spans="1:97" x14ac:dyDescent="0.35">
      <c r="A531" s="14">
        <v>44486</v>
      </c>
      <c r="F531">
        <v>562</v>
      </c>
      <c r="H531">
        <v>135</v>
      </c>
      <c r="I531">
        <v>54</v>
      </c>
      <c r="AS531">
        <f t="shared" ref="AS531:AS535" si="7504">IF(BO531&gt;0,(BO531-MAX(BO488:BO529))/(A531-INDEX(A:A,MATCH(MAX(BO488:BO529),BO:BO,0))),"")</f>
        <v>1044.5714285714287</v>
      </c>
      <c r="BO531" s="21">
        <v>512485</v>
      </c>
    </row>
    <row r="532" spans="1:97" x14ac:dyDescent="0.35">
      <c r="A532" s="14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7504"/>
        <v/>
      </c>
    </row>
    <row r="533" spans="1:97" x14ac:dyDescent="0.35">
      <c r="A533" s="14">
        <v>44488</v>
      </c>
      <c r="B533" s="9">
        <f>BT533</f>
        <v>2085115</v>
      </c>
      <c r="C533">
        <f>BU533</f>
        <v>476426</v>
      </c>
      <c r="D533">
        <f>BV533</f>
        <v>56213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 s="7">
        <f>B533-C533</f>
        <v>1608689</v>
      </c>
      <c r="O533" s="4">
        <f t="shared" ref="O533" si="7505">C533/B533</f>
        <v>0.2284890761420833</v>
      </c>
      <c r="R533">
        <f>C533-MAX(C$2:C530)</f>
        <v>6907</v>
      </c>
      <c r="S533">
        <f>N533-MAX(N$2:N530)</f>
        <v>10704</v>
      </c>
      <c r="T533" s="8">
        <f t="shared" ref="T533" si="7506">R533/V533</f>
        <v>0.39219805803191188</v>
      </c>
      <c r="U533" s="8">
        <f t="shared" ref="U533" si="7507">SUM(R524:R533)/SUM(V524:V533)</f>
        <v>0.40759146042436328</v>
      </c>
      <c r="V533">
        <f>B533-MAX(B$2:B530)</f>
        <v>17611</v>
      </c>
      <c r="W533">
        <f>C533-D533-E533</f>
        <v>413365</v>
      </c>
      <c r="X533" s="3">
        <f t="shared" ref="X533" si="7508">F533/W533</f>
        <v>1.3474774110048019E-3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7509">Z533-AC533-AF533</f>
        <v>245</v>
      </c>
      <c r="AJ533">
        <f t="shared" ref="AJ533" si="7510">AA533-AD533-AG533</f>
        <v>139</v>
      </c>
      <c r="AK533">
        <f t="shared" ref="AK533" si="7511">AB533-AE533-AH533</f>
        <v>881</v>
      </c>
      <c r="AS533">
        <f t="shared" si="7504"/>
        <v>1192.5</v>
      </c>
      <c r="AT533">
        <f>BN533-MAX(BN$1:BN531)</f>
        <v>96169</v>
      </c>
      <c r="AU533">
        <f>BO533-MAX(BO$1:BO531)</f>
        <v>2385</v>
      </c>
      <c r="AV533">
        <f t="shared" ref="AV533" si="7512">AU533/AT533</f>
        <v>2.4800091505578721E-2</v>
      </c>
      <c r="AW533">
        <f>BV533-MAX(BV$1:BV531)</f>
        <v>854</v>
      </c>
      <c r="AX533">
        <f>BW533-MAX(BW$1:BW531)</f>
        <v>26</v>
      </c>
      <c r="AY533">
        <f>CL533--MAX(CL$1:CL531)</f>
        <v>582501</v>
      </c>
      <c r="AZ533">
        <f>CM533--MAX(CM$1:CM531)</f>
        <v>44282</v>
      </c>
      <c r="BA533">
        <f>CD533-MAX(CD$2:CD531)</f>
        <v>647</v>
      </c>
      <c r="BB533">
        <f>CE533-MAX(CE$2:CE531)</f>
        <v>27</v>
      </c>
      <c r="BC533">
        <f t="shared" ref="BC533" si="7513">AX533/AW533</f>
        <v>3.0444964871194378E-2</v>
      </c>
      <c r="BD533">
        <f t="shared" ref="BD533" si="7514">AZ533/AY533</f>
        <v>7.6020470351123859E-2</v>
      </c>
      <c r="BE533">
        <f t="shared" ref="BE533" si="7515">BB533/BA533</f>
        <v>4.1731066460587329E-2</v>
      </c>
      <c r="BN533" s="21">
        <v>6527028</v>
      </c>
      <c r="BO533" s="21">
        <v>514870</v>
      </c>
      <c r="BP533" s="21">
        <v>1702191</v>
      </c>
      <c r="BQ533" s="21">
        <v>382924</v>
      </c>
      <c r="BR533" s="21">
        <v>382589</v>
      </c>
      <c r="BS533" s="21">
        <v>93837</v>
      </c>
      <c r="BT533" s="21">
        <f>SUM(BP533:BQ533)</f>
        <v>2085115</v>
      </c>
      <c r="BU533" s="21">
        <f t="shared" ref="BU533" si="7516">SUM(BR533:BS533)</f>
        <v>476426</v>
      </c>
      <c r="BV533" s="21">
        <v>56213</v>
      </c>
      <c r="BW533" s="21">
        <v>3734</v>
      </c>
      <c r="BX533" s="21">
        <v>10926</v>
      </c>
      <c r="BY533" s="21">
        <v>4188</v>
      </c>
      <c r="BZ533" s="21">
        <v>2683</v>
      </c>
      <c r="CA533" s="21">
        <v>888</v>
      </c>
      <c r="CB533" s="21">
        <f>SUM(BX533:BY533)</f>
        <v>15114</v>
      </c>
      <c r="CC533" s="21">
        <f t="shared" ref="CC533" si="7517">SUM(BZ533:CA533)</f>
        <v>3571</v>
      </c>
      <c r="CD533" s="21">
        <v>38390</v>
      </c>
      <c r="CE533" s="21">
        <v>2169</v>
      </c>
      <c r="CF533" s="21">
        <v>6289</v>
      </c>
      <c r="CG533" s="21">
        <v>2365</v>
      </c>
      <c r="CH533" s="21">
        <v>1426</v>
      </c>
      <c r="CI533" s="21">
        <v>640</v>
      </c>
      <c r="CJ533" s="21">
        <f>SUM(CF533:CG533)</f>
        <v>8654</v>
      </c>
      <c r="CK533" s="21">
        <f t="shared" ref="CK533" si="7518">SUM(CH533:CI533)</f>
        <v>2066</v>
      </c>
      <c r="CL533" s="21">
        <v>293269</v>
      </c>
      <c r="CM533" s="21">
        <v>22254</v>
      </c>
      <c r="CN533" s="21">
        <v>81869</v>
      </c>
      <c r="CO533" s="21">
        <v>6440</v>
      </c>
      <c r="CP533" s="21">
        <v>19314</v>
      </c>
      <c r="CQ533" s="21">
        <v>1021</v>
      </c>
      <c r="CR533" s="21">
        <f>SUM(CN533:CO533)</f>
        <v>88309</v>
      </c>
      <c r="CS533" s="21">
        <f t="shared" ref="CS533" si="7519">SUM(CP533:CQ533)</f>
        <v>20335</v>
      </c>
    </row>
    <row r="534" spans="1:97" x14ac:dyDescent="0.35">
      <c r="A534" s="14">
        <v>44490</v>
      </c>
      <c r="F534">
        <v>526</v>
      </c>
      <c r="H534">
        <v>138</v>
      </c>
      <c r="I534">
        <v>82</v>
      </c>
      <c r="AS534">
        <f t="shared" si="7504"/>
        <v>1264.75</v>
      </c>
      <c r="BO534" s="21">
        <v>517544</v>
      </c>
    </row>
    <row r="535" spans="1:97" x14ac:dyDescent="0.35">
      <c r="A535" s="14">
        <v>44493</v>
      </c>
      <c r="F535">
        <v>521</v>
      </c>
      <c r="H535">
        <v>128</v>
      </c>
      <c r="I535">
        <v>55</v>
      </c>
      <c r="AS535">
        <f t="shared" si="7504"/>
        <v>1010.4</v>
      </c>
      <c r="BO535" s="21">
        <v>519922</v>
      </c>
    </row>
  </sheetData>
  <conditionalFormatting sqref="AH228">
    <cfRule type="cellIs" dxfId="144" priority="13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4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4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4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H490:H1048576 J529:L530 J533:L533 I507:I535</xm:sqref>
        </x14:conditionalFormatting>
        <x14:conditionalFormatting xmlns:xm="http://schemas.microsoft.com/office/excel/2006/main">
          <x14:cfRule type="cellIs" priority="14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4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4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AF517:AF1048576</xm:sqref>
        </x14:conditionalFormatting>
        <x14:conditionalFormatting xmlns:xm="http://schemas.microsoft.com/office/excel/2006/main">
          <x14:cfRule type="cellIs" priority="14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AG517:AG1048576</xm:sqref>
        </x14:conditionalFormatting>
        <x14:conditionalFormatting xmlns:xm="http://schemas.microsoft.com/office/excel/2006/main">
          <x14:cfRule type="cellIs" priority="13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AH517:AH1048576</xm:sqref>
        </x14:conditionalFormatting>
        <x14:conditionalFormatting xmlns:xm="http://schemas.microsoft.com/office/excel/2006/main">
          <x14:cfRule type="cellIs" priority="13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AI534:AI1048576</xm:sqref>
        </x14:conditionalFormatting>
        <x14:conditionalFormatting xmlns:xm="http://schemas.microsoft.com/office/excel/2006/main">
          <x14:cfRule type="cellIs" priority="13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AJ534:AJ1048576</xm:sqref>
        </x14:conditionalFormatting>
        <x14:conditionalFormatting xmlns:xm="http://schemas.microsoft.com/office/excel/2006/main">
          <x14:cfRule type="cellIs" priority="13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3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3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3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3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3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AK534:AK1048576</xm:sqref>
        </x14:conditionalFormatting>
        <x14:conditionalFormatting xmlns:xm="http://schemas.microsoft.com/office/excel/2006/main">
          <x14:cfRule type="cellIs" priority="12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2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2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2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2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2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2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2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2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19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18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17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16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15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14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13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12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11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10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09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08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07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06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05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04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03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02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01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00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99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98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97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96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95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94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93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92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91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90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89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88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87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86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85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84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83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82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81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80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79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78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77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76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75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74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73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72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71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70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69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68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67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66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65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64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63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62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61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60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59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58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57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56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55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54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53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52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51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50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49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48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47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46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45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44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43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42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41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40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39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38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37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36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35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34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33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32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31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30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29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28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27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26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24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23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22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21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20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19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18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17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16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15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14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13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12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11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10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9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8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7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6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5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4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3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2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1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D12" sqref="D12"/>
    </sheetView>
  </sheetViews>
  <sheetFormatPr defaultRowHeight="14.5" x14ac:dyDescent="0.35"/>
  <sheetData>
    <row r="1" spans="1:12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 x14ac:dyDescent="0.35">
      <c r="A2" t="s">
        <v>450</v>
      </c>
      <c r="B2">
        <v>31</v>
      </c>
      <c r="C2">
        <v>33</v>
      </c>
      <c r="D2">
        <v>197</v>
      </c>
    </row>
    <row r="3" spans="1:12" x14ac:dyDescent="0.35">
      <c r="A3" t="s">
        <v>451</v>
      </c>
      <c r="B3">
        <f>covid19!Z530-covid19!Z525</f>
        <v>69</v>
      </c>
      <c r="C3">
        <f>covid19!AA530-covid19!AA525</f>
        <v>32</v>
      </c>
      <c r="D3">
        <f>covid19!AB530-covid19!AB525</f>
        <v>257</v>
      </c>
    </row>
    <row r="4" spans="1:12" x14ac:dyDescent="0.35">
      <c r="A4" t="s">
        <v>452</v>
      </c>
      <c r="B4">
        <v>0.06</v>
      </c>
      <c r="C4">
        <v>0.48</v>
      </c>
      <c r="D4">
        <v>0.2</v>
      </c>
      <c r="F4">
        <f t="shared" ref="F4" si="0">ROUND(B$2*B4,0)</f>
        <v>2</v>
      </c>
      <c r="G4">
        <f t="shared" ref="G4" si="1">ROUND(C$2*C4,0)</f>
        <v>16</v>
      </c>
      <c r="H4">
        <f t="shared" ref="H4" si="2">ROUND(D$2*D4,0)</f>
        <v>39</v>
      </c>
      <c r="J4">
        <f t="shared" ref="J4" si="3">ROUND(B$3*B4,0)</f>
        <v>4</v>
      </c>
      <c r="K4">
        <f t="shared" ref="K4" si="4">ROUND(C$3*C4,0)</f>
        <v>15</v>
      </c>
      <c r="L4">
        <f t="shared" ref="L4" si="5">ROUND(D$3*D4,0)</f>
        <v>51</v>
      </c>
    </row>
    <row r="5" spans="1:12" x14ac:dyDescent="0.35">
      <c r="A5" t="s">
        <v>453</v>
      </c>
      <c r="B5">
        <v>0.23</v>
      </c>
      <c r="C5">
        <v>0.03</v>
      </c>
      <c r="D5">
        <v>0.21</v>
      </c>
      <c r="F5">
        <f t="shared" ref="F5:H11" si="6">ROUND(B$2*B5,0)</f>
        <v>7</v>
      </c>
      <c r="G5">
        <f t="shared" si="6"/>
        <v>1</v>
      </c>
      <c r="H5">
        <f t="shared" si="6"/>
        <v>41</v>
      </c>
      <c r="J5">
        <f t="shared" ref="J5:J11" si="7">ROUND(B$3*B5,0)</f>
        <v>16</v>
      </c>
      <c r="K5">
        <f t="shared" ref="K5:L11" si="8">ROUND(C$3*C5,0)</f>
        <v>1</v>
      </c>
      <c r="L5">
        <f t="shared" si="8"/>
        <v>54</v>
      </c>
    </row>
    <row r="6" spans="1:12" x14ac:dyDescent="0.35">
      <c r="A6" t="s">
        <v>454</v>
      </c>
      <c r="B6">
        <v>0.23</v>
      </c>
      <c r="C6">
        <v>0.15</v>
      </c>
      <c r="D6">
        <v>0.18</v>
      </c>
      <c r="F6">
        <f t="shared" si="6"/>
        <v>7</v>
      </c>
      <c r="G6">
        <f t="shared" si="6"/>
        <v>5</v>
      </c>
      <c r="H6">
        <f t="shared" si="6"/>
        <v>35</v>
      </c>
      <c r="J6">
        <f t="shared" si="7"/>
        <v>16</v>
      </c>
      <c r="K6">
        <f t="shared" si="8"/>
        <v>5</v>
      </c>
      <c r="L6">
        <f t="shared" si="8"/>
        <v>46</v>
      </c>
    </row>
    <row r="7" spans="1:12" x14ac:dyDescent="0.35">
      <c r="A7" t="s">
        <v>455</v>
      </c>
      <c r="B7">
        <v>0.16</v>
      </c>
      <c r="C7">
        <v>0.03</v>
      </c>
      <c r="D7">
        <v>0.14000000000000001</v>
      </c>
      <c r="F7">
        <f t="shared" si="6"/>
        <v>5</v>
      </c>
      <c r="G7">
        <f t="shared" si="6"/>
        <v>1</v>
      </c>
      <c r="H7">
        <f t="shared" si="6"/>
        <v>28</v>
      </c>
      <c r="J7">
        <f t="shared" si="7"/>
        <v>11</v>
      </c>
      <c r="K7">
        <f t="shared" si="8"/>
        <v>1</v>
      </c>
      <c r="L7">
        <f t="shared" si="8"/>
        <v>36</v>
      </c>
    </row>
    <row r="8" spans="1:12" x14ac:dyDescent="0.35">
      <c r="A8" t="s">
        <v>459</v>
      </c>
      <c r="B8">
        <v>0.03</v>
      </c>
      <c r="C8">
        <v>0.09</v>
      </c>
      <c r="D8">
        <v>0.08</v>
      </c>
      <c r="F8">
        <f t="shared" si="6"/>
        <v>1</v>
      </c>
      <c r="G8">
        <f t="shared" si="6"/>
        <v>3</v>
      </c>
      <c r="H8">
        <f t="shared" si="6"/>
        <v>16</v>
      </c>
      <c r="J8">
        <f t="shared" si="7"/>
        <v>2</v>
      </c>
      <c r="K8">
        <f t="shared" si="8"/>
        <v>3</v>
      </c>
      <c r="L8">
        <f t="shared" si="8"/>
        <v>21</v>
      </c>
    </row>
    <row r="9" spans="1:12" x14ac:dyDescent="0.35">
      <c r="A9" t="s">
        <v>456</v>
      </c>
      <c r="B9">
        <v>0.16</v>
      </c>
      <c r="C9">
        <v>0.03</v>
      </c>
      <c r="D9">
        <v>0.06</v>
      </c>
      <c r="F9">
        <f t="shared" si="6"/>
        <v>5</v>
      </c>
      <c r="G9">
        <f t="shared" si="6"/>
        <v>1</v>
      </c>
      <c r="H9">
        <f t="shared" si="6"/>
        <v>12</v>
      </c>
      <c r="J9">
        <f t="shared" si="7"/>
        <v>11</v>
      </c>
      <c r="K9">
        <f t="shared" si="8"/>
        <v>1</v>
      </c>
      <c r="L9">
        <f t="shared" si="8"/>
        <v>15</v>
      </c>
    </row>
    <row r="10" spans="1:12" x14ac:dyDescent="0.35">
      <c r="A10" t="s">
        <v>457</v>
      </c>
      <c r="B10">
        <v>0.1</v>
      </c>
      <c r="C10">
        <v>0</v>
      </c>
      <c r="D10">
        <v>0.1</v>
      </c>
      <c r="F10">
        <f t="shared" si="6"/>
        <v>3</v>
      </c>
      <c r="G10">
        <f t="shared" si="6"/>
        <v>0</v>
      </c>
      <c r="H10">
        <f t="shared" si="6"/>
        <v>20</v>
      </c>
      <c r="J10">
        <f t="shared" si="7"/>
        <v>7</v>
      </c>
      <c r="K10">
        <f t="shared" si="8"/>
        <v>0</v>
      </c>
      <c r="L10">
        <f t="shared" si="8"/>
        <v>26</v>
      </c>
    </row>
    <row r="11" spans="1:12" x14ac:dyDescent="0.35">
      <c r="A11" t="s">
        <v>458</v>
      </c>
      <c r="B11">
        <v>0.03</v>
      </c>
      <c r="C11">
        <v>0.18</v>
      </c>
      <c r="D11">
        <v>0.04</v>
      </c>
      <c r="F11">
        <f t="shared" si="6"/>
        <v>1</v>
      </c>
      <c r="G11">
        <f t="shared" si="6"/>
        <v>6</v>
      </c>
      <c r="H11">
        <f t="shared" si="6"/>
        <v>8</v>
      </c>
      <c r="J11">
        <f t="shared" si="7"/>
        <v>2</v>
      </c>
      <c r="K11">
        <f t="shared" si="8"/>
        <v>6</v>
      </c>
      <c r="L11">
        <f t="shared" si="8"/>
        <v>10</v>
      </c>
    </row>
    <row r="13" spans="1:12" x14ac:dyDescent="0.35">
      <c r="F13">
        <f>SUM(F4:F11)</f>
        <v>31</v>
      </c>
      <c r="G13">
        <f>SUM(G4:G11)</f>
        <v>33</v>
      </c>
      <c r="H13">
        <f>SUM(H4:H11)</f>
        <v>199</v>
      </c>
      <c r="J13">
        <f>SUM(J4:J11)</f>
        <v>69</v>
      </c>
      <c r="K13">
        <f>SUM(K4:K11)</f>
        <v>32</v>
      </c>
      <c r="L13">
        <f>SUM(L4:L11)</f>
        <v>259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E53"/>
  <sheetViews>
    <sheetView workbookViewId="0">
      <selection activeCell="E1" sqref="E1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</cols>
  <sheetData>
    <row r="1" spans="1:5" s="1" customFormat="1" x14ac:dyDescent="0.35">
      <c r="B1" s="1">
        <f>MAX(covid19!A:A)</f>
        <v>44493</v>
      </c>
      <c r="C1" s="1">
        <v>44467</v>
      </c>
      <c r="D1" s="1">
        <v>44475</v>
      </c>
      <c r="E1" s="1">
        <v>44482</v>
      </c>
    </row>
    <row r="2" spans="1:5" x14ac:dyDescent="0.35">
      <c r="A2" s="23" t="str">
        <f>"Bremer "&amp;'Age Range Break Down'!A4&amp;" min"</f>
        <v>Bremer 0-17 min</v>
      </c>
      <c r="B2">
        <f>'Age Range Break Down'!F4</f>
        <v>2</v>
      </c>
      <c r="C2">
        <v>14</v>
      </c>
      <c r="D2">
        <v>22</v>
      </c>
      <c r="E2">
        <v>11</v>
      </c>
    </row>
    <row r="3" spans="1:5" x14ac:dyDescent="0.35">
      <c r="A3" s="23" t="str">
        <f>"Bremer "&amp;'Age Range Break Down'!A5&amp;" min"</f>
        <v>Bremer 18-29 min</v>
      </c>
      <c r="B3">
        <f>'Age Range Break Down'!F5</f>
        <v>7</v>
      </c>
      <c r="C3">
        <v>7</v>
      </c>
      <c r="D3">
        <v>12</v>
      </c>
      <c r="E3">
        <v>8</v>
      </c>
    </row>
    <row r="4" spans="1:5" x14ac:dyDescent="0.35">
      <c r="A4" s="23" t="str">
        <f>"Bremer "&amp;'Age Range Break Down'!A6&amp;" min"</f>
        <v>Bremer 30-39 min</v>
      </c>
      <c r="B4">
        <f>'Age Range Break Down'!F6</f>
        <v>7</v>
      </c>
      <c r="C4">
        <v>8</v>
      </c>
      <c r="D4">
        <v>8</v>
      </c>
      <c r="E4">
        <v>10</v>
      </c>
    </row>
    <row r="5" spans="1:5" x14ac:dyDescent="0.35">
      <c r="A5" s="23" t="str">
        <f>"Bremer "&amp;'Age Range Break Down'!A7&amp;" min"</f>
        <v>Bremer 40-49 min</v>
      </c>
      <c r="B5">
        <f>'Age Range Break Down'!F7</f>
        <v>5</v>
      </c>
      <c r="C5">
        <v>10</v>
      </c>
      <c r="D5">
        <v>12</v>
      </c>
      <c r="E5">
        <v>11</v>
      </c>
    </row>
    <row r="6" spans="1:5" x14ac:dyDescent="0.35">
      <c r="A6" s="23" t="str">
        <f>"Bremer "&amp;'Age Range Break Down'!A8&amp;" min"</f>
        <v>Bremer 50-59 min</v>
      </c>
      <c r="B6">
        <f>'Age Range Break Down'!F8</f>
        <v>1</v>
      </c>
      <c r="C6">
        <v>7</v>
      </c>
      <c r="D6">
        <v>8</v>
      </c>
      <c r="E6">
        <v>8</v>
      </c>
    </row>
    <row r="7" spans="1:5" x14ac:dyDescent="0.35">
      <c r="A7" s="23" t="str">
        <f>"Bremer "&amp;'Age Range Break Down'!A9&amp;" min"</f>
        <v>Bremer 60-69 min</v>
      </c>
      <c r="B7">
        <f>'Age Range Break Down'!F9</f>
        <v>5</v>
      </c>
      <c r="C7">
        <v>8</v>
      </c>
      <c r="D7">
        <v>10</v>
      </c>
      <c r="E7">
        <v>7</v>
      </c>
    </row>
    <row r="8" spans="1:5" x14ac:dyDescent="0.35">
      <c r="A8" s="23" t="str">
        <f>"Bremer "&amp;'Age Range Break Down'!A10&amp;" min"</f>
        <v>Bremer 70-79 min</v>
      </c>
      <c r="B8">
        <f>'Age Range Break Down'!F10</f>
        <v>3</v>
      </c>
      <c r="C8">
        <v>9</v>
      </c>
      <c r="D8">
        <v>5</v>
      </c>
      <c r="E8">
        <v>3</v>
      </c>
    </row>
    <row r="9" spans="1:5" x14ac:dyDescent="0.35">
      <c r="A9" s="23" t="str">
        <f>"Bremer "&amp;'Age Range Break Down'!A11&amp;" min"</f>
        <v>Bremer 80+ min</v>
      </c>
      <c r="B9">
        <f>'Age Range Break Down'!F11</f>
        <v>1</v>
      </c>
      <c r="C9">
        <v>5</v>
      </c>
      <c r="D9">
        <v>1</v>
      </c>
      <c r="E9">
        <v>1</v>
      </c>
    </row>
    <row r="10" spans="1:5" x14ac:dyDescent="0.35">
      <c r="A10" s="23" t="str">
        <f>"Bremer "&amp;'Age Range Break Down'!A4&amp;" max"</f>
        <v>Bremer 0-17 max</v>
      </c>
      <c r="B10">
        <f>'Age Range Break Down'!J4</f>
        <v>4</v>
      </c>
      <c r="C10">
        <v>16</v>
      </c>
      <c r="D10">
        <v>22</v>
      </c>
      <c r="E10">
        <v>13</v>
      </c>
    </row>
    <row r="11" spans="1:5" x14ac:dyDescent="0.35">
      <c r="A11" s="23" t="str">
        <f>"Bremer "&amp;'Age Range Break Down'!A5&amp;" max"</f>
        <v>Bremer 18-29 max</v>
      </c>
      <c r="B11">
        <f>'Age Range Break Down'!J5</f>
        <v>16</v>
      </c>
      <c r="C11">
        <v>8</v>
      </c>
      <c r="D11">
        <v>12</v>
      </c>
      <c r="E11">
        <v>10</v>
      </c>
    </row>
    <row r="12" spans="1:5" x14ac:dyDescent="0.35">
      <c r="A12" s="23" t="str">
        <f>"Bremer "&amp;'Age Range Break Down'!A6&amp;" max"</f>
        <v>Bremer 30-39 max</v>
      </c>
      <c r="B12">
        <f>'Age Range Break Down'!J6</f>
        <v>16</v>
      </c>
      <c r="C12">
        <v>9</v>
      </c>
      <c r="D12">
        <v>8</v>
      </c>
      <c r="E12">
        <v>12</v>
      </c>
    </row>
    <row r="13" spans="1:5" x14ac:dyDescent="0.35">
      <c r="A13" s="23" t="str">
        <f>"Bremer "&amp;'Age Range Break Down'!A7&amp;" max"</f>
        <v>Bremer 40-49 max</v>
      </c>
      <c r="B13">
        <f>'Age Range Break Down'!J7</f>
        <v>11</v>
      </c>
      <c r="C13">
        <v>11</v>
      </c>
      <c r="D13">
        <v>12</v>
      </c>
      <c r="E13">
        <v>13</v>
      </c>
    </row>
    <row r="14" spans="1:5" x14ac:dyDescent="0.35">
      <c r="A14" s="23" t="str">
        <f>"Bremer "&amp;'Age Range Break Down'!A8&amp;" max"</f>
        <v>Bremer 50-59 max</v>
      </c>
      <c r="B14">
        <f>'Age Range Break Down'!J8</f>
        <v>2</v>
      </c>
      <c r="C14">
        <v>8</v>
      </c>
      <c r="D14">
        <v>8</v>
      </c>
      <c r="E14">
        <v>10</v>
      </c>
    </row>
    <row r="15" spans="1:5" x14ac:dyDescent="0.35">
      <c r="A15" s="23" t="str">
        <f>"Bremer "&amp;'Age Range Break Down'!A9&amp;" max"</f>
        <v>Bremer 60-69 max</v>
      </c>
      <c r="B15">
        <f>'Age Range Break Down'!J9</f>
        <v>11</v>
      </c>
      <c r="C15">
        <v>9</v>
      </c>
      <c r="D15">
        <v>10</v>
      </c>
      <c r="E15">
        <v>8</v>
      </c>
    </row>
    <row r="16" spans="1:5" x14ac:dyDescent="0.35">
      <c r="A16" s="23" t="str">
        <f>"Bremer "&amp;'Age Range Break Down'!A10&amp;" max"</f>
        <v>Bremer 70-79 max</v>
      </c>
      <c r="B16">
        <f>'Age Range Break Down'!J10</f>
        <v>7</v>
      </c>
      <c r="C16">
        <v>10</v>
      </c>
      <c r="D16">
        <v>5</v>
      </c>
      <c r="E16">
        <v>3</v>
      </c>
    </row>
    <row r="17" spans="1:5" x14ac:dyDescent="0.35">
      <c r="A17" s="23" t="str">
        <f>"Bremer "&amp;'Age Range Break Down'!A11&amp;" max"</f>
        <v>Bremer 80+ max</v>
      </c>
      <c r="B17">
        <f>'Age Range Break Down'!J11</f>
        <v>2</v>
      </c>
      <c r="C17">
        <v>5</v>
      </c>
      <c r="D17">
        <v>1</v>
      </c>
      <c r="E17">
        <v>1</v>
      </c>
    </row>
    <row r="18" spans="1:5" x14ac:dyDescent="0.35">
      <c r="A18" s="23" t="str">
        <f>'Age Range Break Down'!G$1&amp;" "&amp;'Age Range Break Down'!A4&amp;" min"</f>
        <v>Butler 0-17 min</v>
      </c>
      <c r="B18">
        <f>'Age Range Break Down'!G4</f>
        <v>16</v>
      </c>
      <c r="C18">
        <v>6</v>
      </c>
      <c r="D18">
        <v>9</v>
      </c>
      <c r="E18">
        <v>4</v>
      </c>
    </row>
    <row r="19" spans="1:5" x14ac:dyDescent="0.35">
      <c r="A19" s="23" t="str">
        <f>'Age Range Break Down'!G$1&amp;" "&amp;'Age Range Break Down'!A5&amp;" min"</f>
        <v>Butler 18-29 min</v>
      </c>
      <c r="B19">
        <f>'Age Range Break Down'!G5</f>
        <v>1</v>
      </c>
      <c r="C19">
        <v>8</v>
      </c>
      <c r="D19">
        <v>3</v>
      </c>
      <c r="E19">
        <v>4</v>
      </c>
    </row>
    <row r="20" spans="1:5" x14ac:dyDescent="0.35">
      <c r="A20" s="23" t="str">
        <f>'Age Range Break Down'!G$1&amp;" "&amp;'Age Range Break Down'!A6&amp;" min"</f>
        <v>Butler 30-39 min</v>
      </c>
      <c r="B20">
        <f>'Age Range Break Down'!G6</f>
        <v>5</v>
      </c>
      <c r="C20">
        <v>7</v>
      </c>
      <c r="D20">
        <v>4</v>
      </c>
      <c r="E20">
        <v>3</v>
      </c>
    </row>
    <row r="21" spans="1:5" x14ac:dyDescent="0.35">
      <c r="A21" s="23" t="str">
        <f>'Age Range Break Down'!G$1&amp;" "&amp;'Age Range Break Down'!A7&amp;" min"</f>
        <v>Butler 40-49 min</v>
      </c>
      <c r="B21">
        <f>'Age Range Break Down'!G7</f>
        <v>1</v>
      </c>
      <c r="C21">
        <v>7</v>
      </c>
      <c r="D21">
        <v>3</v>
      </c>
      <c r="E21">
        <v>5</v>
      </c>
    </row>
    <row r="22" spans="1:5" x14ac:dyDescent="0.35">
      <c r="A22" s="23" t="str">
        <f>'Age Range Break Down'!G$1&amp;" "&amp;'Age Range Break Down'!A8&amp;" min"</f>
        <v>Butler 50-59 min</v>
      </c>
      <c r="B22">
        <f>'Age Range Break Down'!G8</f>
        <v>3</v>
      </c>
      <c r="C22">
        <v>1</v>
      </c>
      <c r="D22">
        <v>6</v>
      </c>
      <c r="E22">
        <v>4</v>
      </c>
    </row>
    <row r="23" spans="1:5" x14ac:dyDescent="0.35">
      <c r="A23" s="23" t="str">
        <f>'Age Range Break Down'!G$1&amp;" "&amp;'Age Range Break Down'!A9&amp;" min"</f>
        <v>Butler 60-69 min</v>
      </c>
      <c r="B23">
        <f>'Age Range Break Down'!G9</f>
        <v>1</v>
      </c>
      <c r="C23">
        <v>2</v>
      </c>
      <c r="D23">
        <v>7</v>
      </c>
      <c r="E23">
        <v>6</v>
      </c>
    </row>
    <row r="24" spans="1:5" x14ac:dyDescent="0.35">
      <c r="A24" s="23" t="str">
        <f>'Age Range Break Down'!G$1&amp;" "&amp;'Age Range Break Down'!A10&amp;" min"</f>
        <v>Butler 70-79 min</v>
      </c>
      <c r="B24">
        <f>'Age Range Break Down'!G10</f>
        <v>0</v>
      </c>
      <c r="C24">
        <v>5</v>
      </c>
      <c r="D24">
        <v>3</v>
      </c>
      <c r="E24">
        <v>3</v>
      </c>
    </row>
    <row r="25" spans="1:5" x14ac:dyDescent="0.35">
      <c r="A25" s="23" t="str">
        <f>'Age Range Break Down'!G$1&amp;" "&amp;'Age Range Break Down'!A11&amp;" min"</f>
        <v>Butler 80+ min</v>
      </c>
      <c r="B25">
        <f>'Age Range Break Down'!G11</f>
        <v>6</v>
      </c>
      <c r="C25">
        <v>0</v>
      </c>
      <c r="D25">
        <v>0</v>
      </c>
      <c r="E25">
        <v>1</v>
      </c>
    </row>
    <row r="26" spans="1:5" x14ac:dyDescent="0.35">
      <c r="A26" s="23" t="str">
        <f>'Age Range Break Down'!G$1&amp;" "&amp;'Age Range Break Down'!A4&amp;" max"</f>
        <v>Butler 0-17 max</v>
      </c>
      <c r="B26">
        <f>'Age Range Break Down'!K4</f>
        <v>15</v>
      </c>
      <c r="C26">
        <v>8</v>
      </c>
      <c r="D26">
        <v>9</v>
      </c>
      <c r="E26">
        <v>4</v>
      </c>
    </row>
    <row r="27" spans="1:5" x14ac:dyDescent="0.35">
      <c r="A27" s="23" t="str">
        <f>'Age Range Break Down'!G$1&amp;" "&amp;'Age Range Break Down'!A5&amp;" max"</f>
        <v>Butler 18-29 max</v>
      </c>
      <c r="B27">
        <f>'Age Range Break Down'!K5</f>
        <v>1</v>
      </c>
      <c r="C27">
        <v>10</v>
      </c>
      <c r="D27">
        <v>3</v>
      </c>
      <c r="E27">
        <v>4</v>
      </c>
    </row>
    <row r="28" spans="1:5" x14ac:dyDescent="0.35">
      <c r="A28" s="23" t="str">
        <f>'Age Range Break Down'!G$1&amp;" "&amp;'Age Range Break Down'!A6&amp;" max"</f>
        <v>Butler 30-39 max</v>
      </c>
      <c r="B28">
        <f>'Age Range Break Down'!K6</f>
        <v>5</v>
      </c>
      <c r="C28">
        <v>9</v>
      </c>
      <c r="D28">
        <v>4</v>
      </c>
      <c r="E28">
        <v>3</v>
      </c>
    </row>
    <row r="29" spans="1:5" x14ac:dyDescent="0.35">
      <c r="A29" s="23" t="str">
        <f>'Age Range Break Down'!G$1&amp;" "&amp;'Age Range Break Down'!A7&amp;" max"</f>
        <v>Butler 40-49 max</v>
      </c>
      <c r="B29">
        <f>'Age Range Break Down'!K7</f>
        <v>1</v>
      </c>
      <c r="C29">
        <v>9</v>
      </c>
      <c r="D29">
        <v>3</v>
      </c>
      <c r="E29">
        <v>5</v>
      </c>
    </row>
    <row r="30" spans="1:5" x14ac:dyDescent="0.35">
      <c r="A30" s="23" t="str">
        <f>'Age Range Break Down'!G$1&amp;" "&amp;'Age Range Break Down'!A8&amp;" max"</f>
        <v>Butler 50-59 max</v>
      </c>
      <c r="B30">
        <f>'Age Range Break Down'!K8</f>
        <v>3</v>
      </c>
      <c r="C30">
        <v>1</v>
      </c>
      <c r="D30">
        <v>6</v>
      </c>
      <c r="E30">
        <v>4</v>
      </c>
    </row>
    <row r="31" spans="1:5" x14ac:dyDescent="0.35">
      <c r="A31" s="23" t="str">
        <f>'Age Range Break Down'!G$1&amp;" "&amp;'Age Range Break Down'!A9&amp;" max"</f>
        <v>Butler 60-69 max</v>
      </c>
      <c r="B31">
        <f>'Age Range Break Down'!K9</f>
        <v>1</v>
      </c>
      <c r="C31">
        <v>3</v>
      </c>
      <c r="D31">
        <v>7</v>
      </c>
      <c r="E31">
        <v>6</v>
      </c>
    </row>
    <row r="32" spans="1:5" x14ac:dyDescent="0.35">
      <c r="A32" s="23" t="str">
        <f>'Age Range Break Down'!G$1&amp;" "&amp;'Age Range Break Down'!A10&amp;" max"</f>
        <v>Butler 70-79 max</v>
      </c>
      <c r="B32">
        <f>'Age Range Break Down'!K10</f>
        <v>0</v>
      </c>
      <c r="C32">
        <v>6</v>
      </c>
      <c r="D32">
        <v>3</v>
      </c>
      <c r="E32">
        <v>3</v>
      </c>
    </row>
    <row r="33" spans="1:5" x14ac:dyDescent="0.35">
      <c r="A33" s="23" t="str">
        <f>'Age Range Break Down'!G$1&amp;" "&amp;'Age Range Break Down'!A11&amp;" max"</f>
        <v>Butler 80+ max</v>
      </c>
      <c r="B33">
        <f>'Age Range Break Down'!K11</f>
        <v>6</v>
      </c>
      <c r="C33">
        <v>0</v>
      </c>
      <c r="D33">
        <v>0</v>
      </c>
      <c r="E33">
        <v>1</v>
      </c>
    </row>
    <row r="34" spans="1:5" x14ac:dyDescent="0.35">
      <c r="A34" s="23" t="str">
        <f>'Age Range Break Down'!H$1&amp;" "&amp;'Age Range Break Down'!A4&amp;" min"</f>
        <v>Black Hawk 0-17 min</v>
      </c>
      <c r="B34">
        <f>'Age Range Break Down'!H4</f>
        <v>39</v>
      </c>
      <c r="C34">
        <v>34</v>
      </c>
      <c r="D34">
        <v>36</v>
      </c>
      <c r="E34">
        <v>31</v>
      </c>
    </row>
    <row r="35" spans="1:5" x14ac:dyDescent="0.35">
      <c r="A35" s="23" t="str">
        <f>'Age Range Break Down'!H$1&amp;" "&amp;'Age Range Break Down'!A5&amp;" min"</f>
        <v>Black Hawk 18-29 min</v>
      </c>
      <c r="B35">
        <f>'Age Range Break Down'!H5</f>
        <v>41</v>
      </c>
      <c r="C35">
        <v>60</v>
      </c>
      <c r="D35">
        <v>40</v>
      </c>
      <c r="E35">
        <v>46</v>
      </c>
    </row>
    <row r="36" spans="1:5" x14ac:dyDescent="0.35">
      <c r="A36" s="23" t="str">
        <f>'Age Range Break Down'!H$1&amp;" "&amp;'Age Range Break Down'!A6&amp;" min"</f>
        <v>Black Hawk 30-39 min</v>
      </c>
      <c r="B36">
        <f>'Age Range Break Down'!H6</f>
        <v>35</v>
      </c>
      <c r="C36">
        <v>38</v>
      </c>
      <c r="D36">
        <v>34</v>
      </c>
      <c r="E36">
        <v>49</v>
      </c>
    </row>
    <row r="37" spans="1:5" x14ac:dyDescent="0.35">
      <c r="A37" s="23" t="str">
        <f>'Age Range Break Down'!H$1&amp;" "&amp;'Age Range Break Down'!A7&amp;" min"</f>
        <v>Black Hawk 40-49 min</v>
      </c>
      <c r="B37">
        <f>'Age Range Break Down'!H7</f>
        <v>28</v>
      </c>
      <c r="C37">
        <v>27</v>
      </c>
      <c r="D37">
        <v>34</v>
      </c>
      <c r="E37">
        <v>24</v>
      </c>
    </row>
    <row r="38" spans="1:5" x14ac:dyDescent="0.35">
      <c r="A38" s="23" t="str">
        <f>'Age Range Break Down'!H$1&amp;" "&amp;'Age Range Break Down'!A8&amp;" min"</f>
        <v>Black Hawk 50-59 min</v>
      </c>
      <c r="B38">
        <f>'Age Range Break Down'!H8</f>
        <v>16</v>
      </c>
      <c r="C38">
        <v>27</v>
      </c>
      <c r="D38">
        <v>30</v>
      </c>
      <c r="E38">
        <v>24</v>
      </c>
    </row>
    <row r="39" spans="1:5" x14ac:dyDescent="0.35">
      <c r="A39" s="23" t="str">
        <f>'Age Range Break Down'!H$1&amp;" "&amp;'Age Range Break Down'!A9&amp;" min"</f>
        <v>Black Hawk 60-69 min</v>
      </c>
      <c r="B39">
        <f>'Age Range Break Down'!H9</f>
        <v>12</v>
      </c>
      <c r="C39">
        <v>18</v>
      </c>
      <c r="D39">
        <v>17</v>
      </c>
      <c r="E39">
        <v>22</v>
      </c>
    </row>
    <row r="40" spans="1:5" x14ac:dyDescent="0.35">
      <c r="A40" s="23" t="str">
        <f>'Age Range Break Down'!H$1&amp;" "&amp;'Age Range Break Down'!A10&amp;" min"</f>
        <v>Black Hawk 70-79 min</v>
      </c>
      <c r="B40">
        <f>'Age Range Break Down'!H10</f>
        <v>20</v>
      </c>
      <c r="C40">
        <v>16</v>
      </c>
      <c r="D40">
        <v>17</v>
      </c>
      <c r="E40">
        <v>11</v>
      </c>
    </row>
    <row r="41" spans="1:5" x14ac:dyDescent="0.35">
      <c r="A41" s="23" t="str">
        <f>'Age Range Break Down'!H$1&amp;" "&amp;'Age Range Break Down'!A11&amp;" min"</f>
        <v>Black Hawk 80+ min</v>
      </c>
      <c r="B41">
        <f>'Age Range Break Down'!H11</f>
        <v>8</v>
      </c>
      <c r="C41">
        <v>45</v>
      </c>
      <c r="D41">
        <v>4</v>
      </c>
      <c r="E41">
        <v>11</v>
      </c>
    </row>
    <row r="42" spans="1:5" x14ac:dyDescent="0.35">
      <c r="A42" s="23" t="str">
        <f>'Age Range Break Down'!H$1&amp;" "&amp;'Age Range Break Down'!A4&amp;" max"</f>
        <v>Black Hawk 0-17 max</v>
      </c>
      <c r="B42">
        <f>'Age Range Break Down'!L4</f>
        <v>51</v>
      </c>
      <c r="C42">
        <v>39</v>
      </c>
      <c r="D42">
        <v>37</v>
      </c>
      <c r="E42">
        <v>36</v>
      </c>
    </row>
    <row r="43" spans="1:5" x14ac:dyDescent="0.35">
      <c r="A43" s="23" t="str">
        <f>'Age Range Break Down'!H$1&amp;" "&amp;'Age Range Break Down'!A5&amp;" max"</f>
        <v>Black Hawk 18-29 max</v>
      </c>
      <c r="B43">
        <f>'Age Range Break Down'!L5</f>
        <v>54</v>
      </c>
      <c r="C43">
        <v>69</v>
      </c>
      <c r="D43">
        <v>42</v>
      </c>
      <c r="E43">
        <v>54</v>
      </c>
    </row>
    <row r="44" spans="1:5" x14ac:dyDescent="0.35">
      <c r="A44" s="23" t="str">
        <f>'Age Range Break Down'!H$1&amp;" "&amp;'Age Range Break Down'!A6&amp;" max"</f>
        <v>Black Hawk 30-39 max</v>
      </c>
      <c r="B44">
        <f>'Age Range Break Down'!L6</f>
        <v>46</v>
      </c>
      <c r="C44">
        <v>44</v>
      </c>
      <c r="D44">
        <v>35</v>
      </c>
      <c r="E44">
        <v>57</v>
      </c>
    </row>
    <row r="45" spans="1:5" x14ac:dyDescent="0.35">
      <c r="A45" s="23" t="str">
        <f>'Age Range Break Down'!H$1&amp;" "&amp;'Age Range Break Down'!A7&amp;" max"</f>
        <v>Black Hawk 40-49 max</v>
      </c>
      <c r="B45">
        <f>'Age Range Break Down'!L7</f>
        <v>36</v>
      </c>
      <c r="C45">
        <v>31</v>
      </c>
      <c r="D45">
        <v>35</v>
      </c>
      <c r="E45">
        <v>28</v>
      </c>
    </row>
    <row r="46" spans="1:5" x14ac:dyDescent="0.35">
      <c r="A46" s="23" t="str">
        <f>'Age Range Break Down'!H$1&amp;" "&amp;'Age Range Break Down'!A8&amp;" max"</f>
        <v>Black Hawk 50-59 max</v>
      </c>
      <c r="B46">
        <f>'Age Range Break Down'!L8</f>
        <v>21</v>
      </c>
      <c r="C46">
        <v>31</v>
      </c>
      <c r="D46">
        <v>31</v>
      </c>
      <c r="E46">
        <v>28</v>
      </c>
    </row>
    <row r="47" spans="1:5" x14ac:dyDescent="0.35">
      <c r="A47" s="23" t="str">
        <f>'Age Range Break Down'!H$1&amp;" "&amp;'Age Range Break Down'!A9&amp;" max"</f>
        <v>Black Hawk 60-69 max</v>
      </c>
      <c r="B47">
        <f>'Age Range Break Down'!L9</f>
        <v>15</v>
      </c>
      <c r="C47">
        <v>21</v>
      </c>
      <c r="D47">
        <v>18</v>
      </c>
      <c r="E47">
        <v>26</v>
      </c>
    </row>
    <row r="48" spans="1:5" x14ac:dyDescent="0.35">
      <c r="A48" s="23" t="str">
        <f>'Age Range Break Down'!H$1&amp;" "&amp;'Age Range Break Down'!A10&amp;" max"</f>
        <v>Black Hawk 70-79 max</v>
      </c>
      <c r="B48">
        <f>'Age Range Break Down'!L10</f>
        <v>26</v>
      </c>
      <c r="C48">
        <v>18</v>
      </c>
      <c r="D48">
        <v>18</v>
      </c>
      <c r="E48">
        <v>13</v>
      </c>
    </row>
    <row r="49" spans="1:5" x14ac:dyDescent="0.35">
      <c r="A49" s="23" t="str">
        <f>'Age Range Break Down'!H$1&amp;" "&amp;'Age Range Break Down'!A11&amp;" max"</f>
        <v>Black Hawk 80+ max</v>
      </c>
      <c r="B49">
        <f>'Age Range Break Down'!L11</f>
        <v>10</v>
      </c>
      <c r="C49">
        <v>51</v>
      </c>
      <c r="D49">
        <v>4</v>
      </c>
      <c r="E49">
        <v>13</v>
      </c>
    </row>
    <row r="50" spans="1:5" x14ac:dyDescent="0.35">
      <c r="A50" s="23"/>
    </row>
    <row r="51" spans="1:5" x14ac:dyDescent="0.35">
      <c r="A51" s="23"/>
    </row>
    <row r="52" spans="1:5" x14ac:dyDescent="0.35">
      <c r="A52" s="23"/>
    </row>
    <row r="53" spans="1:5" x14ac:dyDescent="0.35">
      <c r="A53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57</v>
      </c>
      <c r="B1" s="11" t="s">
        <v>58</v>
      </c>
      <c r="C1" s="11" t="s">
        <v>59</v>
      </c>
      <c r="D1" s="11" t="s">
        <v>60</v>
      </c>
      <c r="E1" t="s">
        <v>397</v>
      </c>
      <c r="F1" t="s">
        <v>398</v>
      </c>
      <c r="G1" s="11" t="s">
        <v>163</v>
      </c>
      <c r="H1" s="11" t="s">
        <v>3</v>
      </c>
    </row>
    <row r="2" spans="1:8" x14ac:dyDescent="0.35">
      <c r="A2" s="11"/>
      <c r="B2" s="11" t="s">
        <v>61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62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63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64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65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66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67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68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69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70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71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72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73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74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75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76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77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78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79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80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81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82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83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84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85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86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87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88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89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90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91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92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93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94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95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96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97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98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99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100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101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102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103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104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105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106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107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108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109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110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111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112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113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114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115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116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117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118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119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120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121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122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123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124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125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126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127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128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129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130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131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132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133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134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135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136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137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138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139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140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141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142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143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144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145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146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147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148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149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150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151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152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153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154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155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156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157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158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159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160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161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162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164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165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166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167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168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169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170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171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172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173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174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175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176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177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178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179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180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181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182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183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184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185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186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187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188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189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190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191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192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193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194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195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196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197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198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199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200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201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202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203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204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205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12163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413365</v>
      </c>
      <c r="P2">
        <f>MAX(covid19!X:X)</f>
        <v>0.16</v>
      </c>
      <c r="Q2">
        <f>LARGE(covid19!Y:Y,2)</f>
        <v>181</v>
      </c>
      <c r="R2">
        <f>MAX(covid19!AF:AF)</f>
        <v>68</v>
      </c>
      <c r="S2">
        <f>MAX(covid19!AG:AG)</f>
        <v>38</v>
      </c>
      <c r="T2">
        <f>MAX(covid19!AH:AH)</f>
        <v>358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29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30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31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>
        <f>NewRecovered!C25</f>
        <v>0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>
        <f>NewRecovered!U25</f>
        <v>0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>
        <f>NewRecovered!F50</f>
        <v>0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>
        <f>NewRecovered!F51</f>
        <v>0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>
        <f>NewRecovered!F52</f>
        <v>0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5">
        <v>144142</v>
      </c>
    </row>
    <row r="20" spans="1:1" x14ac:dyDescent="0.35">
      <c r="A20" t="s">
        <v>230</v>
      </c>
    </row>
    <row r="21" spans="1:1" x14ac:dyDescent="0.35">
      <c r="A21" s="15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5">
        <v>99195</v>
      </c>
    </row>
    <row r="26" spans="1:1" x14ac:dyDescent="0.35">
      <c r="A26" t="s">
        <v>233</v>
      </c>
    </row>
    <row r="27" spans="1:1" x14ac:dyDescent="0.35">
      <c r="A27" s="15">
        <v>13031</v>
      </c>
    </row>
    <row r="28" spans="1:1" x14ac:dyDescent="0.35">
      <c r="A28" t="s">
        <v>234</v>
      </c>
    </row>
    <row r="29" spans="1:1" x14ac:dyDescent="0.35">
      <c r="A29" s="15">
        <v>63377</v>
      </c>
    </row>
    <row r="30" spans="1:1" x14ac:dyDescent="0.35">
      <c r="A30" t="s">
        <v>235</v>
      </c>
    </row>
    <row r="31" spans="1:1" x14ac:dyDescent="0.35">
      <c r="A31" s="15">
        <v>40587</v>
      </c>
    </row>
    <row r="32" spans="1:1" x14ac:dyDescent="0.35">
      <c r="A32" t="s">
        <v>236</v>
      </c>
    </row>
    <row r="33" spans="1:1" x14ac:dyDescent="0.35">
      <c r="A33" s="15">
        <v>21079</v>
      </c>
    </row>
    <row r="34" spans="1:1" x14ac:dyDescent="0.35">
      <c r="A34" t="s">
        <v>237</v>
      </c>
    </row>
    <row r="35" spans="1:1" x14ac:dyDescent="0.35">
      <c r="A35" s="15">
        <v>6032</v>
      </c>
    </row>
    <row r="36" spans="1:1" x14ac:dyDescent="0.35">
      <c r="A36" t="s">
        <v>238</v>
      </c>
    </row>
    <row r="37" spans="1:1" x14ac:dyDescent="0.35">
      <c r="A37" s="15">
        <v>68438</v>
      </c>
    </row>
    <row r="38" spans="1:1" x14ac:dyDescent="0.35">
      <c r="A38" t="s">
        <v>239</v>
      </c>
    </row>
    <row r="39" spans="1:1" x14ac:dyDescent="0.35">
      <c r="A39" s="15">
        <v>73614</v>
      </c>
    </row>
    <row r="40" spans="1:1" x14ac:dyDescent="0.35">
      <c r="A40" t="s">
        <v>240</v>
      </c>
    </row>
    <row r="41" spans="1:1" x14ac:dyDescent="0.35">
      <c r="A41" s="15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2021-10-26T13:09:39Z</dcterms:modified>
</cp:coreProperties>
</file>