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_manager" sheetId="1" r:id="rId1"/>
    <sheet name="acc_open_type" sheetId="2" r:id="rId2"/>
    <sheet name="address" sheetId="3" r:id="rId3"/>
    <sheet name="address_root" sheetId="4" r:id="rId4"/>
    <sheet name="address_type" sheetId="5" r:id="rId5"/>
    <sheet name="aeoi_asset_value_tier" sheetId="6" r:id="rId6"/>
    <sheet name="aeoi_classif" sheetId="7" r:id="rId7"/>
    <sheet name="aeoi_exemption" sheetId="8" r:id="rId8"/>
    <sheet name="aeoi_sub_classif" sheetId="9" r:id="rId9"/>
    <sheet name="aeoi_sub_exemption" sheetId="10" r:id="rId10"/>
    <sheet name="agent_classif" sheetId="11" r:id="rId11"/>
    <sheet name="approv_assess_step1" sheetId="12" r:id="rId12"/>
    <sheet name="approv_assess_step2" sheetId="13" r:id="rId13"/>
    <sheet name="approv_assess_step3" sheetId="14" r:id="rId14"/>
    <sheet name="approv_assess_step4" sheetId="15" r:id="rId15"/>
    <sheet name="approv_assess_step5" sheetId="16" r:id="rId16"/>
    <sheet name="apsys_block_reason" sheetId="17" r:id="rId17"/>
    <sheet name="apsys_category" sheetId="18" r:id="rId18"/>
    <sheet name="apsys_customer_class1" sheetId="19" r:id="rId19"/>
    <sheet name="apsys_customer_class2" sheetId="20" r:id="rId20"/>
    <sheet name="apsys_sector_model" sheetId="21" r:id="rId21"/>
    <sheet name="archive" sheetId="22" r:id="rId22"/>
    <sheet name="asset_category" sheetId="23" r:id="rId23"/>
    <sheet name="asset_origin" sheetId="24" r:id="rId24"/>
    <sheet name="authorization_type" sheetId="25" r:id="rId25"/>
    <sheet name="branch" sheetId="26" r:id="rId26"/>
    <sheet name="child_count" sheetId="27" r:id="rId27"/>
    <sheet name="client" sheetId="28" r:id="rId28"/>
    <sheet name="client_category_dflt_code" sheetId="29" r:id="rId29"/>
    <sheet name="client_document" sheetId="30" r:id="rId30"/>
    <sheet name="client_document_assignment" sheetId="31" r:id="rId31"/>
    <sheet name="client_document_business_status" sheetId="32" r:id="rId32"/>
    <sheet name="client_keyword" sheetId="33" r:id="rId33"/>
    <sheet name="client_keyword_group" sheetId="34" r:id="rId34"/>
    <sheet name="client_type_apsys" sheetId="35" r:id="rId35"/>
    <sheet name="client_type_fitax" sheetId="36" r:id="rId36"/>
    <sheet name="communication" sheetId="37" r:id="rId37"/>
    <sheet name="communication_type" sheetId="38" r:id="rId38"/>
    <sheet name="contact_type" sheetId="39" r:id="rId39"/>
    <sheet name="contract_ebanking" sheetId="40" r:id="rId40"/>
    <sheet name="contract_party" sheetId="41" r:id="rId41"/>
    <sheet name="controlling_person_type" sheetId="42" r:id="rId42"/>
    <sheet name="country" sheetId="43" r:id="rId43"/>
    <sheet name="country_iga_status" sheetId="44" r:id="rId44"/>
    <sheet name="country_sub_division" sheetId="45" r:id="rId45"/>
    <sheet name="currency" sheetId="46" r:id="rId46"/>
    <sheet name="department" sheetId="47" r:id="rId47"/>
    <sheet name="deposit_asset" sheetId="48" r:id="rId48"/>
    <sheet name="deposit_asset_type" sheetId="49" r:id="rId49"/>
    <sheet name="destination" sheetId="50" r:id="rId50"/>
    <sheet name="document_category" sheetId="51" r:id="rId51"/>
    <sheet name="document_group" sheetId="52" r:id="rId52"/>
    <sheet name="document_sub_type" sheetId="53" r:id="rId53"/>
    <sheet name="document_type" sheetId="54" r:id="rId54"/>
    <sheet name="document_version" sheetId="55" r:id="rId55"/>
    <sheet name="econ_sector_tblecb_apsys" sheetId="56" r:id="rId56"/>
    <sheet name="econ_sector_tblecc_apsys" sheetId="57" r:id="rId57"/>
    <sheet name="econ_sector_tblecm_apsys" sheetId="58" r:id="rId58"/>
    <sheet name="econ_sector_tbleco_apsys" sheetId="59" r:id="rId59"/>
    <sheet name="econ_sector_tblecs_apsys" sheetId="60" r:id="rId60"/>
    <sheet name="eu_taxstatus" sheetId="61" r:id="rId61"/>
    <sheet name="extl_liab_type" sheetId="62" r:id="rId62"/>
    <sheet name="fatca_basket" sheetId="63" r:id="rId63"/>
    <sheet name="fatca_classif" sheetId="64" r:id="rId64"/>
    <sheet name="fatca_non_us_partner_type" sheetId="65" r:id="rId65"/>
    <sheet name="fatca_partner_type" sheetId="66" r:id="rId66"/>
    <sheet name="fatca_status" sheetId="67" r:id="rId67"/>
    <sheet name="fatca_status_reason" sheetId="68" r:id="rId68"/>
    <sheet name="format" sheetId="69" r:id="rId69"/>
    <sheet name="gender" sheetId="70" r:id="rId70"/>
    <sheet name="gen_period" sheetId="71" r:id="rId71"/>
    <sheet name="income" sheetId="72" r:id="rId72"/>
    <sheet name="individual" sheetId="73" r:id="rId73"/>
    <sheet name="individual_general_classif" sheetId="74" r:id="rId74"/>
    <sheet name="industr_sector" sheetId="75" r:id="rId75"/>
    <sheet name="invest_goal" sheetId="76" r:id="rId76"/>
    <sheet name="irs_code" sheetId="77" r:id="rId77"/>
    <sheet name="irs_rcpt_chap3" sheetId="78" r:id="rId78"/>
    <sheet name="irs_rcpt_chap4" sheetId="79" r:id="rId79"/>
    <sheet name="label_format" sheetId="80" r:id="rId80"/>
    <sheet name="language" sheetId="81" r:id="rId81"/>
    <sheet name="letter_salutation" sheetId="82" r:id="rId82"/>
    <sheet name="mailing_attachment" sheetId="83" r:id="rId83"/>
    <sheet name="mailing_business_unit1" sheetId="84" r:id="rId84"/>
    <sheet name="mailing_destination" sheetId="85" r:id="rId85"/>
    <sheet name="mailing_freq" sheetId="86" r:id="rId86"/>
    <sheet name="mailing_instruction" sheetId="87" r:id="rId87"/>
    <sheet name="mailing_package_rule" sheetId="88" r:id="rId88"/>
    <sheet name="mailing_printer" sheetId="89" r:id="rId89"/>
    <sheet name="mailing_prio" sheetId="90" r:id="rId90"/>
    <sheet name="mailing_tariff_type" sheetId="91" r:id="rId91"/>
    <sheet name="martial_status" sheetId="92" r:id="rId92"/>
    <sheet name="mgmt_type" sheetId="93" r:id="rId93"/>
    <sheet name="noga_code" sheetId="94" r:id="rId94"/>
    <sheet name="output_sub_type" sheetId="95" r:id="rId95"/>
    <sheet name="output_type" sheetId="96" r:id="rId96"/>
    <sheet name="ownership_structure_apsys" sheetId="97" r:id="rId97"/>
    <sheet name="policy" sheetId="98" r:id="rId98"/>
    <sheet name="portfolio" sheetId="99" r:id="rId99"/>
    <sheet name="portfolio_admin_mode" sheetId="100" r:id="rId100"/>
    <sheet name="portfolio_close_reason" sheetId="101" r:id="rId101"/>
    <sheet name="portfolio_type_apsys" sheetId="102" r:id="rId102"/>
    <sheet name="potential" sheetId="103" r:id="rId103"/>
    <sheet name="printer_mapping" sheetId="104" r:id="rId104"/>
    <sheet name="profnl_position" sheetId="105" r:id="rId105"/>
    <sheet name="profnl_status" sheetId="106" r:id="rId106"/>
    <sheet name="qi_classif" sheetId="107" r:id="rId107"/>
    <sheet name="real_estate" sheetId="108" r:id="rId108"/>
    <sheet name="relationship" sheetId="109" r:id="rId109"/>
    <sheet name="relationship_type" sheetId="110" r:id="rId110"/>
    <sheet name="relationship_type_aml" sheetId="111" r:id="rId111"/>
    <sheet name="reprod_type" sheetId="112" r:id="rId112"/>
    <sheet name="risk_category" sheetId="113" r:id="rId113"/>
    <sheet name="risk_region" sheetId="114" r:id="rId114"/>
    <sheet name="salutation" sheetId="115" r:id="rId115"/>
    <sheet name="security_lvl" sheetId="116" r:id="rId116"/>
    <sheet name="self_cert_type" sheetId="117" r:id="rId117"/>
    <sheet name="social_position_cd" sheetId="118" r:id="rId118"/>
    <sheet name="special_instr" sheetId="119" r:id="rId119"/>
    <sheet name="special_request" sheetId="120" r:id="rId120"/>
    <sheet name="tariff_policiy_type" sheetId="121" r:id="rId121"/>
    <sheet name="tariff_policy" sheetId="122" r:id="rId122"/>
    <sheet name="tax_except_reason" sheetId="123" r:id="rId123"/>
    <sheet name="total_assets" sheetId="124" r:id="rId124"/>
    <sheet name="unit" sheetId="125" r:id="rId125"/>
    <sheet name="user" sheetId="126" r:id="rId126"/>
    <sheet name="user_group" sheetId="127" r:id="rId127"/>
    <sheet name="user_sub_group" sheetId="128" r:id="rId128"/>
    <sheet name="usw_basket" sheetId="129" r:id="rId129"/>
  </sheets>
  <calcPr calcId="124519" fullCalcOnLoad="1"/>
</workbook>
</file>

<file path=xl/sharedStrings.xml><?xml version="1.0" encoding="utf-8"?>
<sst xmlns="http://schemas.openxmlformats.org/spreadsheetml/2006/main" count="13686" uniqueCount="3475">
  <si>
    <t>Message: acc_manager</t>
  </si>
  <si>
    <t>Table: SACHBEARB</t>
  </si>
  <si>
    <t>* - key field</t>
  </si>
  <si>
    <t>Column</t>
  </si>
  <si>
    <t>Field</t>
  </si>
  <si>
    <t>Key</t>
  </si>
  <si>
    <t>Type</t>
  </si>
  <si>
    <t>Description</t>
  </si>
  <si>
    <t>Reference</t>
  </si>
  <si>
    <t>Ref. Type</t>
  </si>
  <si>
    <t>Remark</t>
  </si>
  <si>
    <t>Code1</t>
  </si>
  <si>
    <t>Code2</t>
  </si>
  <si>
    <t>SACHBEARB_CD</t>
  </si>
  <si>
    <t>cd</t>
  </si>
  <si>
    <t>*</t>
  </si>
  <si>
    <t>STRING(8)</t>
  </si>
  <si>
    <t>Code</t>
  </si>
  <si>
    <t>FILIALE_CD</t>
  </si>
  <si>
    <t>branch_cd</t>
  </si>
  <si>
    <t>STRING(3)</t>
  </si>
  <si>
    <t>Branch</t>
  </si>
  <si>
    <t>branch.cd</t>
  </si>
  <si>
    <t>ADMIN</t>
  </si>
  <si>
    <t>LOESCH_CD</t>
  </si>
  <si>
    <t>closed_cd</t>
  </si>
  <si>
    <t>STRING(1)</t>
  </si>
  <si>
    <t>Closed</t>
  </si>
  <si>
    <t>JANEIN_LISTE.JANEIN_LISTE_CD</t>
  </si>
  <si>
    <t>INTERNAL</t>
  </si>
  <si>
    <t>Values: J, N</t>
  </si>
  <si>
    <t>LOESCHDATUM</t>
  </si>
  <si>
    <t>closed_date</t>
  </si>
  <si>
    <t>DATETIME</t>
  </si>
  <si>
    <t>Closed on</t>
  </si>
  <si>
    <t>LOESCHUSER</t>
  </si>
  <si>
    <t>closed_user</t>
  </si>
  <si>
    <t>STRING(30)</t>
  </si>
  <si>
    <t>Closed by</t>
  </si>
  <si>
    <t>user.id</t>
  </si>
  <si>
    <t>KORRESPNAME</t>
  </si>
  <si>
    <t>correspondance_name</t>
  </si>
  <si>
    <t>STRING(50)</t>
  </si>
  <si>
    <t>Correspondence Name</t>
  </si>
  <si>
    <t>CRTDATUM</t>
  </si>
  <si>
    <t>creation_date</t>
  </si>
  <si>
    <t>Opened on</t>
  </si>
  <si>
    <t>CRTUSER</t>
  </si>
  <si>
    <t>creation_user</t>
  </si>
  <si>
    <t>Opened by</t>
  </si>
  <si>
    <t>ABTEILUNG_CD</t>
  </si>
  <si>
    <t>department_cd</t>
  </si>
  <si>
    <t>Structure</t>
  </si>
  <si>
    <t>department.cd</t>
  </si>
  <si>
    <t>SACHBEARB</t>
  </si>
  <si>
    <t>desc</t>
  </si>
  <si>
    <t>Account Manager</t>
  </si>
  <si>
    <t>MUTDATUM</t>
  </si>
  <si>
    <t>mod_date</t>
  </si>
  <si>
    <t>Modified on</t>
  </si>
  <si>
    <t>MUTUSER</t>
  </si>
  <si>
    <t>mod_user</t>
  </si>
  <si>
    <t>Modified by</t>
  </si>
  <si>
    <t>TELEFONNUMMER</t>
  </si>
  <si>
    <t>phone_number</t>
  </si>
  <si>
    <t>Phone</t>
  </si>
  <si>
    <t>UNIT_CD</t>
  </si>
  <si>
    <t>unit_cd</t>
  </si>
  <si>
    <t>INTEGER(5,0)</t>
  </si>
  <si>
    <t>Unit</t>
  </si>
  <si>
    <t>unit.cd</t>
  </si>
  <si>
    <t>Message: acc_open_type</t>
  </si>
  <si>
    <t>Table: KONTOEROEFFNUNGSART</t>
  </si>
  <si>
    <t>KONTOEROEFFNUNGSART_CD</t>
  </si>
  <si>
    <t>KONTOEROEFFNUNGSART</t>
  </si>
  <si>
    <t>STRING(60)</t>
  </si>
  <si>
    <t>Account Opening Type</t>
  </si>
  <si>
    <t>IDENTIFIKATIONSART_CD</t>
  </si>
  <si>
    <t>id_type_cd</t>
  </si>
  <si>
    <t>Identificationtype</t>
  </si>
  <si>
    <t>IDENTIFIKATIONSART.IDENTIFIKATIONSART_CD</t>
  </si>
  <si>
    <t>Values: P, K, A</t>
  </si>
  <si>
    <t>RISKINDEX</t>
  </si>
  <si>
    <t>risk_index</t>
  </si>
  <si>
    <t>DOUBLE</t>
  </si>
  <si>
    <t>Risk Index</t>
  </si>
  <si>
    <t>Message: address</t>
  </si>
  <si>
    <t>Table: ADRESSE</t>
  </si>
  <si>
    <t>ADRESSID</t>
  </si>
  <si>
    <t>id</t>
  </si>
  <si>
    <t>INTEGER(10,0)</t>
  </si>
  <si>
    <t>Address No.</t>
  </si>
  <si>
    <t>AKTID</t>
  </si>
  <si>
    <t>actual_id</t>
  </si>
  <si>
    <t>AktID</t>
  </si>
  <si>
    <t>ADRESSSTAMM_CD</t>
  </si>
  <si>
    <t>addr_root</t>
  </si>
  <si>
    <t>Address Root</t>
  </si>
  <si>
    <t>address_root.cd</t>
  </si>
  <si>
    <t>ADRESSART_CD</t>
  </si>
  <si>
    <t>addr_type_cd</t>
  </si>
  <si>
    <t>Address Type</t>
  </si>
  <si>
    <t>address_type.cd</t>
  </si>
  <si>
    <t>Address Closed</t>
  </si>
  <si>
    <t>DATE</t>
  </si>
  <si>
    <t>Address Closed on</t>
  </si>
  <si>
    <t>FIRMA</t>
  </si>
  <si>
    <t>company</t>
  </si>
  <si>
    <t>Company</t>
  </si>
  <si>
    <t>LAND_CD</t>
  </si>
  <si>
    <t>country_cd</t>
  </si>
  <si>
    <t>Country</t>
  </si>
  <si>
    <t>country.cd</t>
  </si>
  <si>
    <t>LANDAUFTEILUNG_CD</t>
  </si>
  <si>
    <t>country_sub_division</t>
  </si>
  <si>
    <t>Country Subdivision</t>
  </si>
  <si>
    <t>country_sub_division.cd</t>
  </si>
  <si>
    <t>Address Opened on</t>
  </si>
  <si>
    <t>Address Opened by</t>
  </si>
  <si>
    <t>VORNAME</t>
  </si>
  <si>
    <t>first_name</t>
  </si>
  <si>
    <t>First Name</t>
  </si>
  <si>
    <t>APSYS_IDADRL</t>
  </si>
  <si>
    <t>host_reference</t>
  </si>
  <si>
    <t>Host Ref. No.</t>
  </si>
  <si>
    <t>PERSONID</t>
  </si>
  <si>
    <t>indiviual_id</t>
  </si>
  <si>
    <t>Individual No.</t>
  </si>
  <si>
    <t>individual.id</t>
  </si>
  <si>
    <t>VERSANDADRESSE_CD</t>
  </si>
  <si>
    <t>is_martketing_addr</t>
  </si>
  <si>
    <t>Marketing Address</t>
  </si>
  <si>
    <t>LABELFORMAT_CD</t>
  </si>
  <si>
    <t>label_fmt_cd</t>
  </si>
  <si>
    <t>Label Format</t>
  </si>
  <si>
    <t>label_format.cd</t>
  </si>
  <si>
    <t>ETIKETTENINFO</t>
  </si>
  <si>
    <t>label_info</t>
  </si>
  <si>
    <t>Label Info</t>
  </si>
  <si>
    <t>BRIEFANREDE_CD</t>
  </si>
  <si>
    <t>letter_salut_cd</t>
  </si>
  <si>
    <t>Letter Salutation</t>
  </si>
  <si>
    <t>BRIEFANREDE2</t>
  </si>
  <si>
    <t>letter_salut2_cd</t>
  </si>
  <si>
    <t>Letter Salutation Line 2</t>
  </si>
  <si>
    <t>LINE1</t>
  </si>
  <si>
    <t>line1</t>
  </si>
  <si>
    <t>Line 1</t>
  </si>
  <si>
    <t>LINE2</t>
  </si>
  <si>
    <t>line2</t>
  </si>
  <si>
    <t>Line 2</t>
  </si>
  <si>
    <t>LINE3</t>
  </si>
  <si>
    <t>line3</t>
  </si>
  <si>
    <t>STRING(159)</t>
  </si>
  <si>
    <t>Street/No.</t>
  </si>
  <si>
    <t>VERSANDPRIORITAET_CD</t>
  </si>
  <si>
    <t>mailing_prio_cd</t>
  </si>
  <si>
    <t>Mailing Priority</t>
  </si>
  <si>
    <t>mailing_prio.cd</t>
  </si>
  <si>
    <t>MASTERADRESSID</t>
  </si>
  <si>
    <t>master_addr_id</t>
  </si>
  <si>
    <t>Master No.</t>
  </si>
  <si>
    <t>address.id</t>
  </si>
  <si>
    <t>MUTDAT</t>
  </si>
  <si>
    <t>Address Modified on</t>
  </si>
  <si>
    <t>Address Modified by</t>
  </si>
  <si>
    <t>NAME</t>
  </si>
  <si>
    <t>name</t>
  </si>
  <si>
    <t>Name</t>
  </si>
  <si>
    <t>BEMERKUNG</t>
  </si>
  <si>
    <t>note</t>
  </si>
  <si>
    <t>STRING(255)</t>
  </si>
  <si>
    <t>ORT</t>
  </si>
  <si>
    <t>place</t>
  </si>
  <si>
    <t>STRING(59)</t>
  </si>
  <si>
    <t>Place</t>
  </si>
  <si>
    <t>ANREDE_CD</t>
  </si>
  <si>
    <t>salut_cd</t>
  </si>
  <si>
    <t>Address</t>
  </si>
  <si>
    <t>TITEL</t>
  </si>
  <si>
    <t>salut_title</t>
  </si>
  <si>
    <t>Title</t>
  </si>
  <si>
    <t>SONDERINST_CD</t>
  </si>
  <si>
    <t>special_instr_cd</t>
  </si>
  <si>
    <t>Special Instruction</t>
  </si>
  <si>
    <t>special_instr.cd</t>
  </si>
  <si>
    <t>APSYS_CDNORMI</t>
  </si>
  <si>
    <t>standardised</t>
  </si>
  <si>
    <t>Standardised</t>
  </si>
  <si>
    <t>USERID</t>
  </si>
  <si>
    <t>user</t>
  </si>
  <si>
    <t>UserId</t>
  </si>
  <si>
    <t>VALID_CD</t>
  </si>
  <si>
    <t>valid_cd</t>
  </si>
  <si>
    <t>Validation Status</t>
  </si>
  <si>
    <t>VALID_LISTE.VALID_LISTE_CD</t>
  </si>
  <si>
    <t>Values: A, N, V, D, T, X</t>
  </si>
  <si>
    <t>APSYS_DTDEBL</t>
  </si>
  <si>
    <t>valid_from</t>
  </si>
  <si>
    <t>Valid From</t>
  </si>
  <si>
    <t>VALIDID</t>
  </si>
  <si>
    <t>valid_id</t>
  </si>
  <si>
    <t>ValidID</t>
  </si>
  <si>
    <t>APSYS_DTFINL</t>
  </si>
  <si>
    <t>valid_until</t>
  </si>
  <si>
    <t>Valid until</t>
  </si>
  <si>
    <t>VALIDUSER</t>
  </si>
  <si>
    <t>valid_user</t>
  </si>
  <si>
    <t>Validated by</t>
  </si>
  <si>
    <t>PLZ</t>
  </si>
  <si>
    <t>zip</t>
  </si>
  <si>
    <t>STRING(20)</t>
  </si>
  <si>
    <t>Postcode</t>
  </si>
  <si>
    <t>Message: address_root</t>
  </si>
  <si>
    <t>Table: ADRESSSTAMM</t>
  </si>
  <si>
    <t>ADRESSSTAMM</t>
  </si>
  <si>
    <t>Message: address_type</t>
  </si>
  <si>
    <t>Table: ADRESSART</t>
  </si>
  <si>
    <t>APSYS_CDTYPADRC</t>
  </si>
  <si>
    <t>addr_charact_cd</t>
  </si>
  <si>
    <t>Apsys CdTypAdrc</t>
  </si>
  <si>
    <t>ADRESSTYP.ADRESSTYP_CD</t>
  </si>
  <si>
    <t>Values: L, P, C, S</t>
  </si>
  <si>
    <t>ADRESSART</t>
  </si>
  <si>
    <t>Message: aeoi_asset_value_tier</t>
  </si>
  <si>
    <t>Table: AEOI_ASSET_VALUE_TIER</t>
  </si>
  <si>
    <t>CODE_CD</t>
  </si>
  <si>
    <t>Created on</t>
  </si>
  <si>
    <t>Created by</t>
  </si>
  <si>
    <t>DESCRIPTION</t>
  </si>
  <si>
    <t>STRING(128)</t>
  </si>
  <si>
    <t>ORDER_HIGH_WATERMARK</t>
  </si>
  <si>
    <t>Order High-Watermark</t>
  </si>
  <si>
    <t>Message: aeoi_classif</t>
  </si>
  <si>
    <t>Table: AEOI_CLASSIFICATION</t>
  </si>
  <si>
    <t>CLASSIFICATION_CD</t>
  </si>
  <si>
    <t>REPORTABLE_CD</t>
  </si>
  <si>
    <t>aeoi_relevant</t>
  </si>
  <si>
    <t>AEoI relevant</t>
  </si>
  <si>
    <t>CONTROLLING_PERSON_NEEDED_CD</t>
  </si>
  <si>
    <t>control_person_needed</t>
  </si>
  <si>
    <t>Controlling Person AEoI relevant</t>
  </si>
  <si>
    <t>CP_NEEDED_VSB16_CD</t>
  </si>
  <si>
    <t>control_person_needed_vsb16</t>
  </si>
  <si>
    <t>Controlling Person needed</t>
  </si>
  <si>
    <t>CLASSIFICATION</t>
  </si>
  <si>
    <t>Classification</t>
  </si>
  <si>
    <t>FOR_ENTITY_CD</t>
  </si>
  <si>
    <t>for_entity</t>
  </si>
  <si>
    <t>for Entity</t>
  </si>
  <si>
    <t>FOR_INDIVIDUAL_CD</t>
  </si>
  <si>
    <t>for_individual</t>
  </si>
  <si>
    <t>for Individual</t>
  </si>
  <si>
    <t>Message: aeoi_exemption</t>
  </si>
  <si>
    <t>Table: AEOI_EXEMPTION</t>
  </si>
  <si>
    <t>EXEMPTION_CD</t>
  </si>
  <si>
    <t>EXEMPTION</t>
  </si>
  <si>
    <t>Exemption</t>
  </si>
  <si>
    <t>Message: aeoi_sub_classif</t>
  </si>
  <si>
    <t>Table: AEOI_SUB_CLASSIFICATION</t>
  </si>
  <si>
    <t>SUB_CLASSIFICATION_CD</t>
  </si>
  <si>
    <t>aeoi_classif_cd</t>
  </si>
  <si>
    <t>aeoi_classif.cd</t>
  </si>
  <si>
    <t>SUB_CLASSIFICATION</t>
  </si>
  <si>
    <t>Sub Classification</t>
  </si>
  <si>
    <t>Message: aeoi_sub_exemption</t>
  </si>
  <si>
    <t>Table: AEOI_SUB_EXEMPTION</t>
  </si>
  <si>
    <t>SUB_EXEMPTION_CD</t>
  </si>
  <si>
    <t>aeoi_exemption_cd</t>
  </si>
  <si>
    <t>aeoi_exemption.cd</t>
  </si>
  <si>
    <t>SUB_EXEMPTION</t>
  </si>
  <si>
    <t>Sub Exemption</t>
  </si>
  <si>
    <t>Message: agent_classif</t>
  </si>
  <si>
    <t>Table: AGENT_CLASS_TBLEAN_APSYS</t>
  </si>
  <si>
    <t>AGENT_CLASS_CD</t>
  </si>
  <si>
    <t>STRING(5)</t>
  </si>
  <si>
    <t>AGENT_CLASS_DESC</t>
  </si>
  <si>
    <t>STRING(256)</t>
  </si>
  <si>
    <t>Agent Classification</t>
  </si>
  <si>
    <t>Message: approv_assess_step1</t>
  </si>
  <si>
    <t>Table: APPROVAL_ASSESSMENT_STEP1</t>
  </si>
  <si>
    <t>ASSESSMENT_CD</t>
  </si>
  <si>
    <t>ASSESSMENT</t>
  </si>
  <si>
    <t>Assessment</t>
  </si>
  <si>
    <t>Message: approv_assess_step2</t>
  </si>
  <si>
    <t>Table: APPROVAL_ASSESSMENT_STEP2</t>
  </si>
  <si>
    <t>Message: approv_assess_step3</t>
  </si>
  <si>
    <t>Table: APPROVAL_ASSESSMENT_STEP3</t>
  </si>
  <si>
    <t>Message: approv_assess_step4</t>
  </si>
  <si>
    <t>Table: APPROVAL_ASSESSMENT_STEP4</t>
  </si>
  <si>
    <t>Message: approv_assess_step5</t>
  </si>
  <si>
    <t>Table: APPROVAL_ASSESSMENT_STEP5</t>
  </si>
  <si>
    <t>Message: apsys_block_reason</t>
  </si>
  <si>
    <t>Table: SPERRGRUND_APSYS</t>
  </si>
  <si>
    <t>SPERRGRUND_CD</t>
  </si>
  <si>
    <t>SPERRGRUND</t>
  </si>
  <si>
    <t>VALIDITY_LEVEL_CD</t>
  </si>
  <si>
    <t>validity_level_cd</t>
  </si>
  <si>
    <t>Validity level</t>
  </si>
  <si>
    <t>SPERRGRUND_VALIDITY_LEVEL.SPERRGRUND_VALIDITY_LEVEL_CD</t>
  </si>
  <si>
    <t>Values: C, P</t>
  </si>
  <si>
    <t>Message: apsys_category</t>
  </si>
  <si>
    <t>Table: CATEGORYCODE_APSYS</t>
  </si>
  <si>
    <t>CDAPPS</t>
  </si>
  <si>
    <t>apsys_app_cd</t>
  </si>
  <si>
    <t>Application</t>
  </si>
  <si>
    <t>CATEGORYCODE_CD</t>
  </si>
  <si>
    <t>CATEGORYCODE</t>
  </si>
  <si>
    <t>DEFAULTVALUE_CD</t>
  </si>
  <si>
    <t>is_dflt_val</t>
  </si>
  <si>
    <t>Default Value</t>
  </si>
  <si>
    <t>Message: apsys_customer_class1</t>
  </si>
  <si>
    <t>Table: KUNDENKLASSE1_APSYS_TBLEAN</t>
  </si>
  <si>
    <t>KUNDENKLASSE_CD</t>
  </si>
  <si>
    <t>KATEGORIE_CD</t>
  </si>
  <si>
    <t>customer_class2_cd</t>
  </si>
  <si>
    <t>Category</t>
  </si>
  <si>
    <t>apsys_customer_class2.cd</t>
  </si>
  <si>
    <t>KUNDENKLASSE</t>
  </si>
  <si>
    <t>Message: apsys_customer_class2</t>
  </si>
  <si>
    <t>Table: KUNDENKLASSE2_APSYS_TBLEAN</t>
  </si>
  <si>
    <t>Message: apsys_sector_model</t>
  </si>
  <si>
    <t>Table: SECTORMODEL_APSYS</t>
  </si>
  <si>
    <t>SECTORMODEL_CD</t>
  </si>
  <si>
    <t>SECTORMODEL</t>
  </si>
  <si>
    <t>FLAGRGUI</t>
  </si>
  <si>
    <t>flagrgui</t>
  </si>
  <si>
    <t>TYPGRMTEVAL1S</t>
  </si>
  <si>
    <t>typgrmteval1s</t>
  </si>
  <si>
    <t>Message: archive</t>
  </si>
  <si>
    <t>Table: ARCHIV</t>
  </si>
  <si>
    <t>DOKUMENTENNR</t>
  </si>
  <si>
    <t>Document No.</t>
  </si>
  <si>
    <t>APSYS_MANAGS</t>
  </si>
  <si>
    <t>acc_manager_cd</t>
  </si>
  <si>
    <t>Manager</t>
  </si>
  <si>
    <t>acc_manager.cd</t>
  </si>
  <si>
    <t>APSYS_CDAPPS</t>
  </si>
  <si>
    <t>Apsys CdApps</t>
  </si>
  <si>
    <t>APSYS_CDTYPIDCLLC</t>
  </si>
  <si>
    <t>apsys_cdtypidcllc</t>
  </si>
  <si>
    <t>Apsys CdTypIdcllc</t>
  </si>
  <si>
    <t>APSYS_CDTYPTITUC</t>
  </si>
  <si>
    <t>apsys_cdtyptituc</t>
  </si>
  <si>
    <t>Apsys CdTypTituc</t>
  </si>
  <si>
    <t>APSYS_DEVCPTS</t>
  </si>
  <si>
    <t>apsys_devcpts</t>
  </si>
  <si>
    <t>Apsys DevCpts</t>
  </si>
  <si>
    <t>APSYS_DEVREVS</t>
  </si>
  <si>
    <t>apsys_devrevs</t>
  </si>
  <si>
    <t>Apsys DevRevs</t>
  </si>
  <si>
    <t>APSYS_DTSYSL</t>
  </si>
  <si>
    <t>apsys_dtsysl</t>
  </si>
  <si>
    <t>Apsys DtSyssl</t>
  </si>
  <si>
    <t>APSYS_DTVALL</t>
  </si>
  <si>
    <t>apsys_dtvall</t>
  </si>
  <si>
    <t>Apsys DtVall</t>
  </si>
  <si>
    <t>APSYS_EMAILS</t>
  </si>
  <si>
    <t>apsys_emails</t>
  </si>
  <si>
    <t>Apsys Emails</t>
  </si>
  <si>
    <t>APSYS_FICHES</t>
  </si>
  <si>
    <t>apsys_fiches</t>
  </si>
  <si>
    <t>Apsys Fiches</t>
  </si>
  <si>
    <t>APSYS_FILENAME</t>
  </si>
  <si>
    <t>apsys_filename</t>
  </si>
  <si>
    <t>STRING(200)</t>
  </si>
  <si>
    <t>Apsys Filename</t>
  </si>
  <si>
    <t>APSYS_GRECPTSEQREVS</t>
  </si>
  <si>
    <t>apsys_grecptseqrevs</t>
  </si>
  <si>
    <t>Apsys GreCptSeqRevs</t>
  </si>
  <si>
    <t>APSYS_GRECPTSEQS</t>
  </si>
  <si>
    <t>apsys_grecptseqs</t>
  </si>
  <si>
    <t>Apsys GreCptSeqs</t>
  </si>
  <si>
    <t>APSYS_IDCLL</t>
  </si>
  <si>
    <t>apsys_idcll</t>
  </si>
  <si>
    <t>STRING(11)</t>
  </si>
  <si>
    <t>Apsys Idcll</t>
  </si>
  <si>
    <t>APSYS_IDREPS</t>
  </si>
  <si>
    <t>apsys_idreps</t>
  </si>
  <si>
    <t>Apsys IdReps</t>
  </si>
  <si>
    <t>APSYS_IDTITUL</t>
  </si>
  <si>
    <t>apsys_idtitul</t>
  </si>
  <si>
    <t>Apsys IdTitul</t>
  </si>
  <si>
    <t>APSYS_LGLIBS</t>
  </si>
  <si>
    <t>apsys_lglibs</t>
  </si>
  <si>
    <t>Apsys LgLibs</t>
  </si>
  <si>
    <t>APSYS_NUSESI</t>
  </si>
  <si>
    <t>apsys_nusesi</t>
  </si>
  <si>
    <t>Apsys Nusesi</t>
  </si>
  <si>
    <t>APSYS_CDOPS</t>
  </si>
  <si>
    <t>apsys_operation_cd</t>
  </si>
  <si>
    <t>Apsys CdOps</t>
  </si>
  <si>
    <t>APSYS_SENDEMAILC</t>
  </si>
  <si>
    <t>apsys_sendemailc</t>
  </si>
  <si>
    <t>Apsys SendEmailc</t>
  </si>
  <si>
    <t>APSYS_SHNASTITUS</t>
  </si>
  <si>
    <t>apsys_shnastitus</t>
  </si>
  <si>
    <t>Apsys ShnasTitus</t>
  </si>
  <si>
    <t>APSYS_SHNAS</t>
  </si>
  <si>
    <t>apsys_short_name</t>
  </si>
  <si>
    <t>STRING(13)</t>
  </si>
  <si>
    <t>Apsys Shnas</t>
  </si>
  <si>
    <t>APSYS_SUPKEYS</t>
  </si>
  <si>
    <t>apsys_supkeys</t>
  </si>
  <si>
    <t>Apsys Supkeys</t>
  </si>
  <si>
    <t>APSYS_TYPPLACC</t>
  </si>
  <si>
    <t>apsys_typplacc</t>
  </si>
  <si>
    <t>Apsys TypPlacc</t>
  </si>
  <si>
    <t>ARCHIVDATUM</t>
  </si>
  <si>
    <t>archiving_date</t>
  </si>
  <si>
    <t>Archived on</t>
  </si>
  <si>
    <t>ARCHIVUSER_CD</t>
  </si>
  <si>
    <t>archiving_user</t>
  </si>
  <si>
    <t>User</t>
  </si>
  <si>
    <t>HINTERGRUND_KUNDENBRIEF</t>
  </si>
  <si>
    <t>background_client_letter</t>
  </si>
  <si>
    <t>Background Client Letter</t>
  </si>
  <si>
    <t>BIND_DOCUMENT_NR</t>
  </si>
  <si>
    <t>bind_doc_nr</t>
  </si>
  <si>
    <t>Bind Document No.</t>
  </si>
  <si>
    <t>KUNDENID</t>
  </si>
  <si>
    <t>client_id</t>
  </si>
  <si>
    <t>Client No.</t>
  </si>
  <si>
    <t>Closing Code</t>
  </si>
  <si>
    <t>LOESCHUSER_CD</t>
  </si>
  <si>
    <t>APSYS_DEVS</t>
  </si>
  <si>
    <t>currency_cd</t>
  </si>
  <si>
    <t>Apsys Devs</t>
  </si>
  <si>
    <t>doc_cat_cd</t>
  </si>
  <si>
    <t>Document Type</t>
  </si>
  <si>
    <t>document_category.cd</t>
  </si>
  <si>
    <t>DOKUMENTDATUM</t>
  </si>
  <si>
    <t>doc_date</t>
  </si>
  <si>
    <t>Document Date</t>
  </si>
  <si>
    <t>APSYS_DTCPTL</t>
  </si>
  <si>
    <t>due_date</t>
  </si>
  <si>
    <t>Per Date</t>
  </si>
  <si>
    <t>EMAILSEND_CD</t>
  </si>
  <si>
    <t>email_sent</t>
  </si>
  <si>
    <t>E Mail sent</t>
  </si>
  <si>
    <t>DATEITYP1_CD</t>
  </si>
  <si>
    <t>file_type1_cd</t>
  </si>
  <si>
    <t>File Type 1</t>
  </si>
  <si>
    <t>DATEITYP_LISTE.DATEITYP_LISTE_CD</t>
  </si>
  <si>
    <t>Values:</t>
  </si>
  <si>
    <t>DATEITYP2_CD</t>
  </si>
  <si>
    <t>file_type2_cd</t>
  </si>
  <si>
    <t>File Type 2</t>
  </si>
  <si>
    <t>LASTEMAILDATE</t>
  </si>
  <si>
    <t>last_email_send_date</t>
  </si>
  <si>
    <t>E Mail sent on</t>
  </si>
  <si>
    <t>LASTEMAILBY_CD</t>
  </si>
  <si>
    <t>last_email_send_user</t>
  </si>
  <si>
    <t>E Mail sent by</t>
  </si>
  <si>
    <t>VERSANDATTACHMENT_CD</t>
  </si>
  <si>
    <t>mailing_attachment_cd</t>
  </si>
  <si>
    <t>Dispatch Attachment Code</t>
  </si>
  <si>
    <t>VERSANDATTACHMENTID</t>
  </si>
  <si>
    <t>mailing_attachment_id</t>
  </si>
  <si>
    <t>Dispatch Attachment</t>
  </si>
  <si>
    <t>mailing_attachment.id</t>
  </si>
  <si>
    <t>VERSAND_CD</t>
  </si>
  <si>
    <t>mailing_prep_cd</t>
  </si>
  <si>
    <t>Mailing Preparation</t>
  </si>
  <si>
    <t>VERSAND_LISTE.VERSAND_LISTE_CD</t>
  </si>
  <si>
    <t>Values: J, N, S, T</t>
  </si>
  <si>
    <t>APSYS_PRINTER</t>
  </si>
  <si>
    <t>mailing_printer_cd</t>
  </si>
  <si>
    <t>Apsys Printer</t>
  </si>
  <si>
    <t>mailing_printer.cd</t>
  </si>
  <si>
    <t>MASTEROBJEKTREFERENZ</t>
  </si>
  <si>
    <t>master_obj_reference1</t>
  </si>
  <si>
    <t>Master Object Reference</t>
  </si>
  <si>
    <t>OBJEKTREFERENZ1</t>
  </si>
  <si>
    <t>obj_reference1</t>
  </si>
  <si>
    <t>Object Reference 1</t>
  </si>
  <si>
    <t>OBJEKTREFERENZ2</t>
  </si>
  <si>
    <t>obj_reference2</t>
  </si>
  <si>
    <t>Object Reference 2</t>
  </si>
  <si>
    <t>ONLINE_CD</t>
  </si>
  <si>
    <t>online_status</t>
  </si>
  <si>
    <t>Status Online</t>
  </si>
  <si>
    <t>DOKUMENT_CD</t>
  </si>
  <si>
    <t>output_sub_type_cd</t>
  </si>
  <si>
    <t>Output Subtype</t>
  </si>
  <si>
    <t>output_sub_type.cd</t>
  </si>
  <si>
    <t>GRUPPEN_CD</t>
  </si>
  <si>
    <t>output_type_cd</t>
  </si>
  <si>
    <t>Output Type</t>
  </si>
  <si>
    <t>output_type.cd</t>
  </si>
  <si>
    <t>PORTFOLIONO</t>
  </si>
  <si>
    <t>portfolio_id</t>
  </si>
  <si>
    <t>Portfolio No.</t>
  </si>
  <si>
    <t>portfolio.id</t>
  </si>
  <si>
    <t>no constraint</t>
  </si>
  <si>
    <t>PRODUKTIONSNR</t>
  </si>
  <si>
    <t>production_no</t>
  </si>
  <si>
    <t>Production No.</t>
  </si>
  <si>
    <t>APSYS_HRSYSL</t>
  </si>
  <si>
    <t>production_time</t>
  </si>
  <si>
    <t>Production Time</t>
  </si>
  <si>
    <t>APSYS_DESTS</t>
  </si>
  <si>
    <t>requested_by</t>
  </si>
  <si>
    <t>Requested by</t>
  </si>
  <si>
    <t>ARCHIV_CD</t>
  </si>
  <si>
    <t>status_cd</t>
  </si>
  <si>
    <t>Archive Status</t>
  </si>
  <si>
    <t>APSYS_DEVEVALS</t>
  </si>
  <si>
    <t>valuation_currency_cd</t>
  </si>
  <si>
    <t>Apsys DevEvals</t>
  </si>
  <si>
    <t>Message: asset_category</t>
  </si>
  <si>
    <t>Table: VERMOEGENSKATEGORIE</t>
  </si>
  <si>
    <t>VERMOEGENSKATEGORIE_CD</t>
  </si>
  <si>
    <t>VERMOEGENSKATEGORIE</t>
  </si>
  <si>
    <t>Assets Category</t>
  </si>
  <si>
    <t>Message: asset_origin</t>
  </si>
  <si>
    <t>Table: VERMOEGENSURSPRUNG</t>
  </si>
  <si>
    <t>VERMOEGENSURSPRUNG_CD</t>
  </si>
  <si>
    <t>VERMOEGENSURSPRUNG</t>
  </si>
  <si>
    <t>Origin of Assets</t>
  </si>
  <si>
    <t>Message: authorization_type</t>
  </si>
  <si>
    <t>Table: VOLLMACHTTYP</t>
  </si>
  <si>
    <t>VOLLMACHTTYP_CD</t>
  </si>
  <si>
    <t>VOLLMACHTTYP</t>
  </si>
  <si>
    <t>Signatory Rights</t>
  </si>
  <si>
    <t>Risik Index</t>
  </si>
  <si>
    <t>SIGNATURE_POWER</t>
  </si>
  <si>
    <t>signatory_power</t>
  </si>
  <si>
    <t>Signature Power</t>
  </si>
  <si>
    <t>ZEICHNUNGSRECHT_CD</t>
  </si>
  <si>
    <t>signtory_type_cd</t>
  </si>
  <si>
    <t>Signatory Type</t>
  </si>
  <si>
    <t>ZEICHNUNGSRECHT.ZEICHNUNGSRECHT_CD</t>
  </si>
  <si>
    <t>Values: E, K, N</t>
  </si>
  <si>
    <t>Message: branch</t>
  </si>
  <si>
    <t>Table: FILIALE</t>
  </si>
  <si>
    <t>FILIALE</t>
  </si>
  <si>
    <t>ENTITAET_CD</t>
  </si>
  <si>
    <t>entity_apsys_cd</t>
  </si>
  <si>
    <t>Entity Apsys</t>
  </si>
  <si>
    <t>STRUKTUR_CD</t>
  </si>
  <si>
    <t>structure_cd</t>
  </si>
  <si>
    <t>Message: child_count</t>
  </si>
  <si>
    <t>Table: KINDER</t>
  </si>
  <si>
    <t>KINDER_CD</t>
  </si>
  <si>
    <t>KINDER</t>
  </si>
  <si>
    <t>Children</t>
  </si>
  <si>
    <t>Message: client</t>
  </si>
  <si>
    <t>Table: KUNDE</t>
  </si>
  <si>
    <t>BEZEICHNUNG</t>
  </si>
  <si>
    <t>acc_name</t>
  </si>
  <si>
    <t>Account Name</t>
  </si>
  <si>
    <t>BEZEICHNUNGVERTRAG</t>
  </si>
  <si>
    <t>acc_name_long</t>
  </si>
  <si>
    <t>STRING(160)</t>
  </si>
  <si>
    <t>Account Name long</t>
  </si>
  <si>
    <t>acc_open_type_cd</t>
  </si>
  <si>
    <t>Type of Account Opening</t>
  </si>
  <si>
    <t>acc_open_type.cd</t>
  </si>
  <si>
    <t>APSYS_CDAVIOBISPECC</t>
  </si>
  <si>
    <t>advice_spec_cond_obi</t>
  </si>
  <si>
    <t>Advice on special Conditions in OBI.</t>
  </si>
  <si>
    <t>JANEINNULL_LISTE.JANEINNULL_LISTE_CD</t>
  </si>
  <si>
    <t>APPROVAL_STATUS_CD</t>
  </si>
  <si>
    <t>approv_status_cd</t>
  </si>
  <si>
    <t>Approval Status</t>
  </si>
  <si>
    <t>APPROVAL_STATUS.STATUS_CD</t>
  </si>
  <si>
    <t>Values: 1, 2, 3, 4, 5, 6, 7, 8, 9, 10, 11, 12, 13, 14, 15, 0, 0, 0, 0, 0, 0</t>
  </si>
  <si>
    <t>APPROVAL_STEP1_ASSES_CD</t>
  </si>
  <si>
    <t>approv_step1_assess_cd</t>
  </si>
  <si>
    <t>Step 1 Approval Assessment</t>
  </si>
  <si>
    <t>approv_assess_step1.cd</t>
  </si>
  <si>
    <t>APPROVAL_STEP1_DATE</t>
  </si>
  <si>
    <t>approv_step1_date</t>
  </si>
  <si>
    <t>Step 1 Approval Date</t>
  </si>
  <si>
    <t>APPROVAL_STEP1_CD</t>
  </si>
  <si>
    <t>approv_step1_decision_cd</t>
  </si>
  <si>
    <t>Step 1 Approval Decision</t>
  </si>
  <si>
    <t>APPROVAL_STEP1_BEM</t>
  </si>
  <si>
    <t>approv_step1_note</t>
  </si>
  <si>
    <t>STRING(1800)</t>
  </si>
  <si>
    <t>Step 1 Approval Comment</t>
  </si>
  <si>
    <t>APPROVAL_STEP1_USER</t>
  </si>
  <si>
    <t>approv_step1_user</t>
  </si>
  <si>
    <t>Step 1 Approval User</t>
  </si>
  <si>
    <t>APPROVAL_STEP2_ASSES_CD</t>
  </si>
  <si>
    <t>approv_step2_assess_cd</t>
  </si>
  <si>
    <t>Step 2 Approval Assessment</t>
  </si>
  <si>
    <t>approv_assess_step2.cd</t>
  </si>
  <si>
    <t>APPROVAL_STEP2_DATE</t>
  </si>
  <si>
    <t>approv_step2_date</t>
  </si>
  <si>
    <t>Step 2 Approval Date</t>
  </si>
  <si>
    <t>APPROVAL_STEP2_CD</t>
  </si>
  <si>
    <t>approv_step2_decision_cd</t>
  </si>
  <si>
    <t>Step 2 Approval Decision</t>
  </si>
  <si>
    <t>APPROVAL_STEP2_BEM</t>
  </si>
  <si>
    <t>approv_step2_note</t>
  </si>
  <si>
    <t>Step 2 Approval Comment</t>
  </si>
  <si>
    <t>APPROVAL_STEP2_USER</t>
  </si>
  <si>
    <t>approv_step2_user</t>
  </si>
  <si>
    <t>Step 2 Approval User</t>
  </si>
  <si>
    <t>APPROVAL_STEP3_ASSES_CD</t>
  </si>
  <si>
    <t>approv_step3_assess_cd</t>
  </si>
  <si>
    <t>Step 3 Approval Assessment</t>
  </si>
  <si>
    <t>approv_assess_step3.cd</t>
  </si>
  <si>
    <t>APPROVAL_STEP3_DATE</t>
  </si>
  <si>
    <t>approv_step3_date</t>
  </si>
  <si>
    <t>Step 3 Approval Date</t>
  </si>
  <si>
    <t>APPROVAL_STEP3_CD</t>
  </si>
  <si>
    <t>approv_step3_decision_cd</t>
  </si>
  <si>
    <t>Step 3 Approval Decision</t>
  </si>
  <si>
    <t>APPROVAL_STEP3_BEM</t>
  </si>
  <si>
    <t>approv_step3_note</t>
  </si>
  <si>
    <t>Step 3 Approval Comment</t>
  </si>
  <si>
    <t>APPROVAL_STEP3_USER</t>
  </si>
  <si>
    <t>approv_step3_user</t>
  </si>
  <si>
    <t>Step 3 Approval User</t>
  </si>
  <si>
    <t>APPROVAL_STEP4_ASSES_CD</t>
  </si>
  <si>
    <t>approv_step4_assess_cd</t>
  </si>
  <si>
    <t>Step 4 Approval Assessment</t>
  </si>
  <si>
    <t>approv_assess_step4.cd</t>
  </si>
  <si>
    <t>APPROVAL_STEP4_DATE</t>
  </si>
  <si>
    <t>approv_step4_date</t>
  </si>
  <si>
    <t>Step 4 Approval Date</t>
  </si>
  <si>
    <t>APPROVAL_STEP4_CD</t>
  </si>
  <si>
    <t>approv_step4_decision_cd</t>
  </si>
  <si>
    <t>Step 4 Approval Decision</t>
  </si>
  <si>
    <t>APPROVAL_STEP4_BEM</t>
  </si>
  <si>
    <t>approv_step4_note</t>
  </si>
  <si>
    <t>Step 4 Approval Comment</t>
  </si>
  <si>
    <t>APPROVAL_STEP4_USER</t>
  </si>
  <si>
    <t>approv_step4_user</t>
  </si>
  <si>
    <t>Step 4 Approval User</t>
  </si>
  <si>
    <t>APPROVAL_STEP5_ASSES_CD</t>
  </si>
  <si>
    <t>approv_step5_assess_cd</t>
  </si>
  <si>
    <t>Step 5 Approval Assessment</t>
  </si>
  <si>
    <t>approv_assess_step5.cd</t>
  </si>
  <si>
    <t>APPROVAL_STEP5_DATE</t>
  </si>
  <si>
    <t>approv_step5_date</t>
  </si>
  <si>
    <t>Step 5 Approval Date</t>
  </si>
  <si>
    <t>APPROVAL_STEP5_CD</t>
  </si>
  <si>
    <t>approv_step5_decision_cd</t>
  </si>
  <si>
    <t>Step 5 Approval Decision</t>
  </si>
  <si>
    <t>APPROVAL_STEP5_BEM</t>
  </si>
  <si>
    <t>approv_step5_note</t>
  </si>
  <si>
    <t>Step 5 Approval Comment</t>
  </si>
  <si>
    <t>APPROVAL_STEP5_USER</t>
  </si>
  <si>
    <t>approv_step5_user</t>
  </si>
  <si>
    <t>Step 5 Approval User</t>
  </si>
  <si>
    <t>APSYS_INTISHS</t>
  </si>
  <si>
    <t>apsys_desc</t>
  </si>
  <si>
    <t>Description (Apsys)</t>
  </si>
  <si>
    <t>APSYS_INTILGS</t>
  </si>
  <si>
    <t>apsys_desc_long</t>
  </si>
  <si>
    <t>Description long (Apsys)</t>
  </si>
  <si>
    <t>APSYS_ERRI</t>
  </si>
  <si>
    <t>apsys_err_cd</t>
  </si>
  <si>
    <t>Apsys Error Code</t>
  </si>
  <si>
    <t>APSYS_INFO</t>
  </si>
  <si>
    <t>apsys_info</t>
  </si>
  <si>
    <t>Apsys Info</t>
  </si>
  <si>
    <t>Short Name</t>
  </si>
  <si>
    <t>APSYS_STATUS_OPEC</t>
  </si>
  <si>
    <t>apys_status_opec</t>
  </si>
  <si>
    <t>STRING(2)</t>
  </si>
  <si>
    <t>Apsys Operation Code</t>
  </si>
  <si>
    <t>STATUS_OPEC.STATUS_OPEC_CD</t>
  </si>
  <si>
    <t>Values: R, C, A, N</t>
  </si>
  <si>
    <t>asset_origin_cd</t>
  </si>
  <si>
    <t>asset_origin.cd</t>
  </si>
  <si>
    <t>asset_origin_note</t>
  </si>
  <si>
    <t>STRING(1000)</t>
  </si>
  <si>
    <t>Origin of Assets Note</t>
  </si>
  <si>
    <t>VERMOEGENSURSPRUNG2_CD</t>
  </si>
  <si>
    <t>asset_origin2_cd</t>
  </si>
  <si>
    <t>2. Origin of Assets</t>
  </si>
  <si>
    <t>VERMOEGENSURSPRUNG2</t>
  </si>
  <si>
    <t>asset_origin2_note</t>
  </si>
  <si>
    <t>2. Origin of Assets Note</t>
  </si>
  <si>
    <t>GELDVONKONTO</t>
  </si>
  <si>
    <t>assets_origin_acc</t>
  </si>
  <si>
    <t>Origin of Assets Account</t>
  </si>
  <si>
    <t>ASSET_VALUE_TIER_CD</t>
  </si>
  <si>
    <t>asset_val_tier</t>
  </si>
  <si>
    <t>Asset Value Tier</t>
  </si>
  <si>
    <t>aeoi_asset_value_tier.cd</t>
  </si>
  <si>
    <t>CB_ASSET_VALUE_TIER_CD</t>
  </si>
  <si>
    <t>asset_val_tier_core_banking</t>
  </si>
  <si>
    <t>Asset Value Tier Core Banking</t>
  </si>
  <si>
    <t>APSYS_CDINDUSBLUXS</t>
  </si>
  <si>
    <t>bcl</t>
  </si>
  <si>
    <t>BCL</t>
  </si>
  <si>
    <t>econ_sector_tblecm_apsys.cd</t>
  </si>
  <si>
    <t>APSYS_CDMOTIFPARTS</t>
  </si>
  <si>
    <t>block_reason_cd</t>
  </si>
  <si>
    <t>Reason for Status</t>
  </si>
  <si>
    <t>apsys_block_reason.cd</t>
  </si>
  <si>
    <t>APSYS_CDINDUSSBUBA</t>
  </si>
  <si>
    <t>buba</t>
  </si>
  <si>
    <t>BUBA</t>
  </si>
  <si>
    <t>econ_sector_tblecb_apsys.cd</t>
  </si>
  <si>
    <t>APSYS_PERDEVCALC</t>
  </si>
  <si>
    <t>calc_currency_cd</t>
  </si>
  <si>
    <t>Calculation currency</t>
  </si>
  <si>
    <t>PERDEVCALC.PERDEVCALC_CD</t>
  </si>
  <si>
    <t>Values: B, C</t>
  </si>
  <si>
    <t>MANAGER_CD</t>
  </si>
  <si>
    <t>client_manager_cd</t>
  </si>
  <si>
    <t>Client Manager</t>
  </si>
  <si>
    <t>NATURE_CD</t>
  </si>
  <si>
    <t>client_nature_cd</t>
  </si>
  <si>
    <t>Client Nature</t>
  </si>
  <si>
    <t>KUNDENNATUR.KUNDENNATUR_CD</t>
  </si>
  <si>
    <t>Values: B, P, M</t>
  </si>
  <si>
    <t>APSYS_SUIVIAGTS</t>
  </si>
  <si>
    <t>client_relation</t>
  </si>
  <si>
    <t>Client Relation</t>
  </si>
  <si>
    <t>APSYS_CDROLPERSI</t>
  </si>
  <si>
    <t>client_relation_cd</t>
  </si>
  <si>
    <t>Client Relation Code</t>
  </si>
  <si>
    <t>KUNDESEIT</t>
  </si>
  <si>
    <t>client_since</t>
  </si>
  <si>
    <t>Client since</t>
  </si>
  <si>
    <t>CLIENT_STATUS_CD</t>
  </si>
  <si>
    <t>client_status_cd</t>
  </si>
  <si>
    <t>Client Status</t>
  </si>
  <si>
    <t>CLIENT_STATUS.STATUS_CD</t>
  </si>
  <si>
    <t>Values: W, O, C, R</t>
  </si>
  <si>
    <t>APSYS_CDNATURES</t>
  </si>
  <si>
    <t>client_type_apsys_cd</t>
  </si>
  <si>
    <t>Client Type</t>
  </si>
  <si>
    <t>client_type_apsys.cd</t>
  </si>
  <si>
    <t>APSYS_IDTYPCLIIRSS</t>
  </si>
  <si>
    <t>client_type_fitax_cd</t>
  </si>
  <si>
    <t>Client Type FiTAX</t>
  </si>
  <si>
    <t>client_type_fitax.cd</t>
  </si>
  <si>
    <t>Client Closed</t>
  </si>
  <si>
    <t>Client Closed on</t>
  </si>
  <si>
    <t>APSYS_CDPERMI</t>
  </si>
  <si>
    <t>closure_cd</t>
  </si>
  <si>
    <t>Closure Code</t>
  </si>
  <si>
    <t>CLOSURE_CODE.CLOSURE_CODE_CD</t>
  </si>
  <si>
    <t>Values: 1, 2, 3, 4</t>
  </si>
  <si>
    <t>VERTRAGSPRACH_CD</t>
  </si>
  <si>
    <t>contract_lang_cd</t>
  </si>
  <si>
    <t>Contract Language</t>
  </si>
  <si>
    <t>language.cd</t>
  </si>
  <si>
    <t>VERTRAGSPARTEI_CD</t>
  </si>
  <si>
    <t>contract_party_cd</t>
  </si>
  <si>
    <t>Contract Party</t>
  </si>
  <si>
    <t>contract_party.cd</t>
  </si>
  <si>
    <t>KORRESPONDENZSPRACH_CD</t>
  </si>
  <si>
    <t>corresp_lang_cd</t>
  </si>
  <si>
    <t>Correspondence Language</t>
  </si>
  <si>
    <t>Client Opened on</t>
  </si>
  <si>
    <t>Client Opened by</t>
  </si>
  <si>
    <t>APSYS_CDINDUSCSSFS</t>
  </si>
  <si>
    <t>cssf</t>
  </si>
  <si>
    <t>STRING(6)</t>
  </si>
  <si>
    <t>CSSF</t>
  </si>
  <si>
    <t>econ_sector_tblecc_apsys.cd</t>
  </si>
  <si>
    <t>EIN_VERMOEGEN_CD</t>
  </si>
  <si>
    <t>deposit_asset_cd</t>
  </si>
  <si>
    <t>Assets Deposited / To be Deposited</t>
  </si>
  <si>
    <t>deposit_asset.cd</t>
  </si>
  <si>
    <t>EIN_VERMOEGENART_CD</t>
  </si>
  <si>
    <t>deposit_asset_type_cd</t>
  </si>
  <si>
    <t>Deposit of Assets via</t>
  </si>
  <si>
    <t>deposit_asset_type.cd</t>
  </si>
  <si>
    <t>DISCHARGE_ORDERS_CD</t>
  </si>
  <si>
    <t>discharge_orders_cd</t>
  </si>
  <si>
    <t>Orders to discharge</t>
  </si>
  <si>
    <t>EBANKING_CONTRACT_CD</t>
  </si>
  <si>
    <t>ebanking_contract_cd</t>
  </si>
  <si>
    <t>Client has e-Banking contract</t>
  </si>
  <si>
    <t>EBANKING_CONTRACT_LANGUAGE_CD</t>
  </si>
  <si>
    <t>ebanking_contract_lang</t>
  </si>
  <si>
    <t>Contractual Language</t>
  </si>
  <si>
    <t>APSYS_CDINDUS0S</t>
  </si>
  <si>
    <t>econ_sector_cd</t>
  </si>
  <si>
    <t>STRING(4)</t>
  </si>
  <si>
    <t>Economic Sector</t>
  </si>
  <si>
    <t>econ_sector_tbleco_apsys.cd</t>
  </si>
  <si>
    <t>APSYS_IDENTS</t>
  </si>
  <si>
    <t>entity</t>
  </si>
  <si>
    <t>Entity</t>
  </si>
  <si>
    <t>APSYS_FLAGPREAVISEXEC</t>
  </si>
  <si>
    <t>execution_notice</t>
  </si>
  <si>
    <t>Notice of Execution</t>
  </si>
  <si>
    <t>First Name / Initials</t>
  </si>
  <si>
    <t>MIT_PROFIL_CD</t>
  </si>
  <si>
    <t>has_profile_cd</t>
  </si>
  <si>
    <t>With Profile</t>
  </si>
  <si>
    <t>APSYS_FLAGHISPERC</t>
  </si>
  <si>
    <t>hist_storage</t>
  </si>
  <si>
    <t>History storage</t>
  </si>
  <si>
    <t>id_type</t>
  </si>
  <si>
    <t>Identification</t>
  </si>
  <si>
    <t>APSYS_FLAGISTTC</t>
  </si>
  <si>
    <t>institutional_client</t>
  </si>
  <si>
    <t>Institutional Client</t>
  </si>
  <si>
    <t>APSYS_IDRCIS</t>
  </si>
  <si>
    <t>irs_cd</t>
  </si>
  <si>
    <t>IRS Code</t>
  </si>
  <si>
    <t>irs_code.cd</t>
  </si>
  <si>
    <t>APSYS_IDRCIQIS</t>
  </si>
  <si>
    <t>irs_rcpt_chap3_cd</t>
  </si>
  <si>
    <t>IRS Recipient Code Chapter 3</t>
  </si>
  <si>
    <t>irs_rcpt_chap3.cd</t>
  </si>
  <si>
    <t>APSYS_IDRCIFATCAS</t>
  </si>
  <si>
    <t>irs_rcpt_chap4_cd</t>
  </si>
  <si>
    <t>IRS Recipient Code Chapter 4</t>
  </si>
  <si>
    <t>irs_rcpt_chap4.cd</t>
  </si>
  <si>
    <t>PERSOENLICHBEKANNT_CD</t>
  </si>
  <si>
    <t>is_known_pers_cd</t>
  </si>
  <si>
    <t>Known Personally</t>
  </si>
  <si>
    <t>REGISTERED_MAIL_CD</t>
  </si>
  <si>
    <t>is_registered_mail</t>
  </si>
  <si>
    <t>Registered Mail</t>
  </si>
  <si>
    <t>RECHTSDOMIZIL_CD</t>
  </si>
  <si>
    <t>legal_domic_cd</t>
  </si>
  <si>
    <t>Legal Domicile</t>
  </si>
  <si>
    <t>LEDIGERNAME</t>
  </si>
  <si>
    <t>maiden_name_or_long_desc</t>
  </si>
  <si>
    <t>Maiden Name / Long Description</t>
  </si>
  <si>
    <t>MAILING_TARIF_TYPE_CD</t>
  </si>
  <si>
    <t>mailing_tariff_type_cd</t>
  </si>
  <si>
    <t>Mailing Tarif Type</t>
  </si>
  <si>
    <t>mailing_tariff_type.cd</t>
  </si>
  <si>
    <t>MANUALOPEN_CD</t>
  </si>
  <si>
    <t>manual_open_cd</t>
  </si>
  <si>
    <t>Manual Open</t>
  </si>
  <si>
    <t>APSYS_REPAMANUC</t>
  </si>
  <si>
    <t>manual_repartition</t>
  </si>
  <si>
    <t>Manual repartition</t>
  </si>
  <si>
    <t>APSYS_IDSTRUCS</t>
  </si>
  <si>
    <t>mgmt_struct</t>
  </si>
  <si>
    <t>Management Structure</t>
  </si>
  <si>
    <t>Client Modified on</t>
  </si>
  <si>
    <t>Client Modified by</t>
  </si>
  <si>
    <t>name_or_short_desc</t>
  </si>
  <si>
    <t>Name / Short Description</t>
  </si>
  <si>
    <t>NATIONALITAET_CD</t>
  </si>
  <si>
    <t>nation_cd</t>
  </si>
  <si>
    <t>Nationality</t>
  </si>
  <si>
    <t>NATIONALITAET2_CD</t>
  </si>
  <si>
    <t>nation2_cd</t>
  </si>
  <si>
    <t>2nd Nationality</t>
  </si>
  <si>
    <t>NATIONALITAET3_CD</t>
  </si>
  <si>
    <t>nation3_cd</t>
  </si>
  <si>
    <t>3rd Nationality</t>
  </si>
  <si>
    <t>APSYS_CDNOGAS</t>
  </si>
  <si>
    <t>noga_cd</t>
  </si>
  <si>
    <t>Noga's Code</t>
  </si>
  <si>
    <t>noga_code.cd</t>
  </si>
  <si>
    <t>APSYS_NBPERSCPARTIEL</t>
  </si>
  <si>
    <t>number_of_staff</t>
  </si>
  <si>
    <t>Number of staff</t>
  </si>
  <si>
    <t>APSYS_CDPYHQDOMIS</t>
  </si>
  <si>
    <t>parent_company_country</t>
  </si>
  <si>
    <t>Country of Parent Company</t>
  </si>
  <si>
    <t>PEP_CD</t>
  </si>
  <si>
    <t>pep_cd</t>
  </si>
  <si>
    <t>PEP Client</t>
  </si>
  <si>
    <t>APSYS_IDPOCS</t>
  </si>
  <si>
    <t>policy</t>
  </si>
  <si>
    <t>Policy</t>
  </si>
  <si>
    <t>policy.cd</t>
  </si>
  <si>
    <t>BISHERIGEBETREUUNG</t>
  </si>
  <si>
    <t>prev_support</t>
  </si>
  <si>
    <t>STRING(2000)</t>
  </si>
  <si>
    <t>Previous Support</t>
  </si>
  <si>
    <t>BISHERIGEBETREUUNGSEIT</t>
  </si>
  <si>
    <t>prev_support_since</t>
  </si>
  <si>
    <t>Previous Support since</t>
  </si>
  <si>
    <t>PRINT_SUMMARY_HOLDMAIL_ONLY_CD</t>
  </si>
  <si>
    <t>print_hold_mail_summary_only</t>
  </si>
  <si>
    <t>Print hold mail summary only</t>
  </si>
  <si>
    <t>PSEUDOACCOUNT_CD</t>
  </si>
  <si>
    <t>pseudo_acc_cd</t>
  </si>
  <si>
    <t>Pseudo/Numbered Account</t>
  </si>
  <si>
    <t>PSEUDONYM</t>
  </si>
  <si>
    <t>pseudonym</t>
  </si>
  <si>
    <t>Pseudonym</t>
  </si>
  <si>
    <t>VERWENDUNGSZWECK</t>
  </si>
  <si>
    <t>purpose</t>
  </si>
  <si>
    <t>STRING(700)</t>
  </si>
  <si>
    <t>Purpose</t>
  </si>
  <si>
    <t>RELATIONSHIP_TYPE_AML_CD</t>
  </si>
  <si>
    <t>relationship_type_aml</t>
  </si>
  <si>
    <t>STRING(10)</t>
  </si>
  <si>
    <t>Relationship Type AML</t>
  </si>
  <si>
    <t>relationship_type_aml.cd</t>
  </si>
  <si>
    <t>RISIKOKATEGORIE_CD</t>
  </si>
  <si>
    <t>risk_cat_cd</t>
  </si>
  <si>
    <t>Risk Category</t>
  </si>
  <si>
    <t>risk_category.cd</t>
  </si>
  <si>
    <t>RISIKOLAND_CD</t>
  </si>
  <si>
    <t>risk_country_cd</t>
  </si>
  <si>
    <t>Country of Activity</t>
  </si>
  <si>
    <t>RISKINDEXBERECHNEN_CD</t>
  </si>
  <si>
    <t>risk_index_calc_cd</t>
  </si>
  <si>
    <t>Calculate Risk Index</t>
  </si>
  <si>
    <t>RISKINDEX_LETZTEBERECHNUNG</t>
  </si>
  <si>
    <t>risk_index_last_calc</t>
  </si>
  <si>
    <t>Risk Index last calculation</t>
  </si>
  <si>
    <t>RISKINDEX_GUELTISEIT</t>
  </si>
  <si>
    <t>risk_index_valid_since</t>
  </si>
  <si>
    <t>Risk Index valid since</t>
  </si>
  <si>
    <t>RISIKOTAETIGKEIT_CD</t>
  </si>
  <si>
    <t>risk_prof_activity_cd</t>
  </si>
  <si>
    <t>Higher Risk Professional Activity</t>
  </si>
  <si>
    <t>APSYS_GRMTEVALS</t>
  </si>
  <si>
    <t>sector_model_cd</t>
  </si>
  <si>
    <t>Sector Model</t>
  </si>
  <si>
    <t>apsys_sector_model.cd</t>
  </si>
  <si>
    <t>APSYS_CDINDUSSBNS</t>
  </si>
  <si>
    <t>snb</t>
  </si>
  <si>
    <t>SNB</t>
  </si>
  <si>
    <t>econ_sector_tblecs_apsys.cd</t>
  </si>
  <si>
    <t>SPEZIALKATEGORIE_CD</t>
  </si>
  <si>
    <t>special_cat_cd</t>
  </si>
  <si>
    <t>Special Category</t>
  </si>
  <si>
    <t>SPEZ_WUENSCHE_CD</t>
  </si>
  <si>
    <t>special_request_cd</t>
  </si>
  <si>
    <t>Specific Wishes</t>
  </si>
  <si>
    <t>special_request.cd</t>
  </si>
  <si>
    <t>CDPARTC</t>
  </si>
  <si>
    <t>Status</t>
  </si>
  <si>
    <t>DORMANTACCOUNT.DORMANTACCOUNT_CD</t>
  </si>
  <si>
    <t>Values: A, D, L, W, T</t>
  </si>
  <si>
    <t>TIN</t>
  </si>
  <si>
    <t>tin</t>
  </si>
  <si>
    <t>GESAMTVERMOEGEN_CD</t>
  </si>
  <si>
    <t>total_assets</t>
  </si>
  <si>
    <t>Total Assets</t>
  </si>
  <si>
    <t>total_assets.cd</t>
  </si>
  <si>
    <t>REGIONZAHLUNG_CD</t>
  </si>
  <si>
    <t>trx_region_cd</t>
  </si>
  <si>
    <t>Planned Payments with Persons from</t>
  </si>
  <si>
    <t>risk_region.cd</t>
  </si>
  <si>
    <t>APSYS_FLAGUKTAXC</t>
  </si>
  <si>
    <t>uk_tax_report</t>
  </si>
  <si>
    <t>UK Tax Reporting</t>
  </si>
  <si>
    <t>ValidId</t>
  </si>
  <si>
    <t>Valuation Currency</t>
  </si>
  <si>
    <t>currency.cd</t>
  </si>
  <si>
    <t>APSYS_STATFISCC</t>
  </si>
  <si>
    <t>vat_fiscal_status_cd</t>
  </si>
  <si>
    <t>VAT Fiscal Status</t>
  </si>
  <si>
    <t>STATFISCC.STATFISCC_CD</t>
  </si>
  <si>
    <t>Values: R, N</t>
  </si>
  <si>
    <t>APSYS_DTECHDIARYL</t>
  </si>
  <si>
    <t>visit_date</t>
  </si>
  <si>
    <t>Date of Visit</t>
  </si>
  <si>
    <t>APSYS_MOTDIARYS</t>
  </si>
  <si>
    <t>visit_note</t>
  </si>
  <si>
    <t>Comment on Visit</t>
  </si>
  <si>
    <t>Message: client_category_dflt_code</t>
  </si>
  <si>
    <t>Table: CATEGORYCODE_APSYS_VB</t>
  </si>
  <si>
    <t>KUNDENKATEGORIE_CD</t>
  </si>
  <si>
    <t>CDCTGPTFGRECPTS</t>
  </si>
  <si>
    <t>acc_mgmt_cd</t>
  </si>
  <si>
    <t>Account Management (DCC)</t>
  </si>
  <si>
    <t>apsys_category.cd</t>
  </si>
  <si>
    <t>CDCTGPTFCOMAGTCPTS</t>
  </si>
  <si>
    <t>agent_commission_cd</t>
  </si>
  <si>
    <t>Agent Commission (ACA)</t>
  </si>
  <si>
    <t>CDCTGPTFSBXPS</t>
  </si>
  <si>
    <t>bxp_cat_cd</t>
  </si>
  <si>
    <t>BXP Category (BXP)</t>
  </si>
  <si>
    <t>CDCTGPTFCOUS</t>
  </si>
  <si>
    <t>coupon_cd</t>
  </si>
  <si>
    <t>Coupon (COU)</t>
  </si>
  <si>
    <t>CDCTGPTFTRSFTITS</t>
  </si>
  <si>
    <t>deposit_withdrawal_cd</t>
  </si>
  <si>
    <t>Dep/Withdrawal (APR)</t>
  </si>
  <si>
    <t>KUNDENKATEGORIE</t>
  </si>
  <si>
    <t>Client Category</t>
  </si>
  <si>
    <t>CDCTGPTFSDOCS</t>
  </si>
  <si>
    <t>doc_order_check_cd</t>
  </si>
  <si>
    <t>Document Order Check (DSO)</t>
  </si>
  <si>
    <t>CDCTGPTFMAFS</t>
  </si>
  <si>
    <t>forex_spread_cd</t>
  </si>
  <si>
    <t>Forex Spread (MAF)</t>
  </si>
  <si>
    <t>CDCTGPTFINTS</t>
  </si>
  <si>
    <t>interest_cd</t>
  </si>
  <si>
    <t>Interest c/a (INT)</t>
  </si>
  <si>
    <t>CDCTGPTFTYPPLACS</t>
  </si>
  <si>
    <t>invest_type_accounting_cd</t>
  </si>
  <si>
    <t>Invest. Type/Accounting (FPL)</t>
  </si>
  <si>
    <t>CDCTGPTFSTMS</t>
  </si>
  <si>
    <t>money_market_cd</t>
  </si>
  <si>
    <t>Money Market (STM)</t>
  </si>
  <si>
    <t>CDCTGPTFROUTORDS</t>
  </si>
  <si>
    <t>order_routing_cd</t>
  </si>
  <si>
    <t>Ordering Routing (ORR)</t>
  </si>
  <si>
    <t>CDCTGPTFRISKS</t>
  </si>
  <si>
    <t>Risk Category (RIS)</t>
  </si>
  <si>
    <t>CDCTGPTFSTEBRUTNETS</t>
  </si>
  <si>
    <t>ste_price_cd</t>
  </si>
  <si>
    <t>STE Price (BPR)</t>
  </si>
  <si>
    <t>CDCTGPTFSTES</t>
  </si>
  <si>
    <t>stock_exchange_cd</t>
  </si>
  <si>
    <t>Stock Exchange (STE)</t>
  </si>
  <si>
    <t>CDCTGPTFTAXINTS</t>
  </si>
  <si>
    <t>tax_interest_cd</t>
  </si>
  <si>
    <t>Tax Interests (TIN)</t>
  </si>
  <si>
    <t>CDCTGPTFTRCS</t>
  </si>
  <si>
    <t>transfer_cd</t>
  </si>
  <si>
    <t>Transfer(TRC)</t>
  </si>
  <si>
    <t>Message: client_document</t>
  </si>
  <si>
    <t>Table: KUNDENDOKUMENTE</t>
  </si>
  <si>
    <t>Legal Document No.</t>
  </si>
  <si>
    <t>addr_id</t>
  </si>
  <si>
    <t>erri</t>
  </si>
  <si>
    <t>APSYS_INDI</t>
  </si>
  <si>
    <t>apsys_index</t>
  </si>
  <si>
    <t>Apsys Indi</t>
  </si>
  <si>
    <t>Operationscode</t>
  </si>
  <si>
    <t>APSYS_CDSOUMBOLC</t>
  </si>
  <si>
    <t>bollo_valuation</t>
  </si>
  <si>
    <t>Bollo Valuation</t>
  </si>
  <si>
    <t>BOLLO_CODE.BOLLO_CODE_CD</t>
  </si>
  <si>
    <t>Values: 1, 2, 3</t>
  </si>
  <si>
    <t>BUSINESSSTATUS_CD</t>
  </si>
  <si>
    <t>business_status_cd</t>
  </si>
  <si>
    <t>Business Status</t>
  </si>
  <si>
    <t>client_document_business_status.cd</t>
  </si>
  <si>
    <t>COMPANY_BUSINESS_WITH_USA_CD</t>
  </si>
  <si>
    <t>company_business_with_usa_cd</t>
  </si>
  <si>
    <t>REKLAMIERT_CD</t>
  </si>
  <si>
    <t>complaint_cd</t>
  </si>
  <si>
    <t>Complaint</t>
  </si>
  <si>
    <t>REKLAMIERTDAT</t>
  </si>
  <si>
    <t>complaint_date</t>
  </si>
  <si>
    <t>Complaint on</t>
  </si>
  <si>
    <t>VERTRAG_CD</t>
  </si>
  <si>
    <t>contract_cd</t>
  </si>
  <si>
    <t>Delivered</t>
  </si>
  <si>
    <t>VERTRAGSDAT</t>
  </si>
  <si>
    <t>contract_date</t>
  </si>
  <si>
    <t>Delivered on</t>
  </si>
  <si>
    <t>ERLEDIGT_CD</t>
  </si>
  <si>
    <t>done</t>
  </si>
  <si>
    <t>Done</t>
  </si>
  <si>
    <t>ERLEDIGTDAT</t>
  </si>
  <si>
    <t>done_date</t>
  </si>
  <si>
    <t>Done on</t>
  </si>
  <si>
    <t>EB_CONTRACTID</t>
  </si>
  <si>
    <t>ebanking_contract-id</t>
  </si>
  <si>
    <t>E-Banking Contract Id</t>
  </si>
  <si>
    <t>EXEMPT_CD</t>
  </si>
  <si>
    <t>exempt_cd</t>
  </si>
  <si>
    <t>ABLAUFDATUM</t>
  </si>
  <si>
    <t>expiry_date</t>
  </si>
  <si>
    <t>Expiration date</t>
  </si>
  <si>
    <t>FATCA_EXEMPT_CD</t>
  </si>
  <si>
    <t>fatca_exempt_cd</t>
  </si>
  <si>
    <t>UDFSTATUS_CD</t>
  </si>
  <si>
    <t>gxud_status_cd</t>
  </si>
  <si>
    <t>Status GxUD Field</t>
  </si>
  <si>
    <t>UDFSTATUS_LISTE.UDFSTATUS_LISTE_CD</t>
  </si>
  <si>
    <t>Values: 0, 10, 20, 30, 40</t>
  </si>
  <si>
    <t>AUSWEISNUMMER</t>
  </si>
  <si>
    <t>id_card_no</t>
  </si>
  <si>
    <t>Id card no.</t>
  </si>
  <si>
    <t>individual_id</t>
  </si>
  <si>
    <t>IS_DISREGARDED_ENTITY_CD</t>
  </si>
  <si>
    <t>is_disregard_entity</t>
  </si>
  <si>
    <t>IS_GRANTOR_TRUST_CD</t>
  </si>
  <si>
    <t>is_grantor_trust</t>
  </si>
  <si>
    <t>AUSSTELLDATUM</t>
  </si>
  <si>
    <t>issue_date</t>
  </si>
  <si>
    <t>Issued on</t>
  </si>
  <si>
    <t>AUSSTELLER</t>
  </si>
  <si>
    <t>issuer</t>
  </si>
  <si>
    <t>Place of Issue</t>
  </si>
  <si>
    <t>TAXED_AS_CORPORATION_CD</t>
  </si>
  <si>
    <t>is_taxed_as_corp</t>
  </si>
  <si>
    <t>MANDATORY_CD</t>
  </si>
  <si>
    <t>mandatory_cd</t>
  </si>
  <si>
    <t>Mandatory</t>
  </si>
  <si>
    <t>Pending Item Modified on</t>
  </si>
  <si>
    <t>Pending Item Modified by</t>
  </si>
  <si>
    <t>NATION_CD</t>
  </si>
  <si>
    <t>Country of Issue</t>
  </si>
  <si>
    <t>STRING(149)</t>
  </si>
  <si>
    <t>Note To Document</t>
  </si>
  <si>
    <t>ANDERE_CD</t>
  </si>
  <si>
    <t>oth_pend_item_cd</t>
  </si>
  <si>
    <t>Other Pending Item</t>
  </si>
  <si>
    <t>PENDENZBEMERKUNG</t>
  </si>
  <si>
    <t>pend_item_note</t>
  </si>
  <si>
    <t>Note To Pending Item</t>
  </si>
  <si>
    <t>PENDENZSTATUS_CD</t>
  </si>
  <si>
    <t>pend_item_status_cd</t>
  </si>
  <si>
    <t>Status Pending Item</t>
  </si>
  <si>
    <t>PENDENZ_LISTE.PENDENZ_LISTE_CD</t>
  </si>
  <si>
    <t>Values: 0, 10, 20, 30, 40, 50</t>
  </si>
  <si>
    <t>WIEDERVORLAGE_CD</t>
  </si>
  <si>
    <t>present_again_cd</t>
  </si>
  <si>
    <t>Presented again</t>
  </si>
  <si>
    <t>WIEDERVORLAGEDAT</t>
  </si>
  <si>
    <t>present_again_date</t>
  </si>
  <si>
    <t>Presented again on</t>
  </si>
  <si>
    <t>AUSLIEFERUNG_CD</t>
  </si>
  <si>
    <t>release_cd</t>
  </si>
  <si>
    <t>Release</t>
  </si>
  <si>
    <t>AUSLIEF_LISTE.AUSLIEF_LISTE_CD</t>
  </si>
  <si>
    <t>Values: 0, 1</t>
  </si>
  <si>
    <t>RELEASE_YEAR</t>
  </si>
  <si>
    <t>release_year</t>
  </si>
  <si>
    <t>REQUEST_TO_APPLY_CDI_CD</t>
  </si>
  <si>
    <t>request_apply_cdi</t>
  </si>
  <si>
    <t>ANGEFORDERT_CD</t>
  </si>
  <si>
    <t>request_by</t>
  </si>
  <si>
    <t>ANGEFORDERTDAT</t>
  </si>
  <si>
    <t>request_date</t>
  </si>
  <si>
    <t>Requested on</t>
  </si>
  <si>
    <t>SAFENR</t>
  </si>
  <si>
    <t>safe_no</t>
  </si>
  <si>
    <t>Safe No.</t>
  </si>
  <si>
    <t>SELEKTIERT_CD</t>
  </si>
  <si>
    <t>select_cd</t>
  </si>
  <si>
    <t>Selected by</t>
  </si>
  <si>
    <t>SELEKTIERTDAT</t>
  </si>
  <si>
    <t>select_date</t>
  </si>
  <si>
    <t>Selected on</t>
  </si>
  <si>
    <t>SELF_CERTIFICATION_LAND_CD</t>
  </si>
  <si>
    <t>self_cert_country_cd</t>
  </si>
  <si>
    <t>Self Certification Country</t>
  </si>
  <si>
    <t>SELF_CERTIFICATION_TYPE_CD</t>
  </si>
  <si>
    <t>self_cert_type_cd</t>
  </si>
  <si>
    <t>Self Certification Type</t>
  </si>
  <si>
    <t>self_cert_type.cd</t>
  </si>
  <si>
    <t>VERSANDDAT</t>
  </si>
  <si>
    <t>send_date</t>
  </si>
  <si>
    <t>Mailed on</t>
  </si>
  <si>
    <t>sent_cd</t>
  </si>
  <si>
    <t>Mailed</t>
  </si>
  <si>
    <t>DATE_OF_SIGNATURE</t>
  </si>
  <si>
    <t>signature_date</t>
  </si>
  <si>
    <t>UNTERSCHRIEBEN_CD</t>
  </si>
  <si>
    <t>signed_cd</t>
  </si>
  <si>
    <t>Signed</t>
  </si>
  <si>
    <t>UNTERSCHRIFTDAT</t>
  </si>
  <si>
    <t>signed_date</t>
  </si>
  <si>
    <t>Signed on</t>
  </si>
  <si>
    <t>BEARBEITUNGSSTATUS</t>
  </si>
  <si>
    <t>status</t>
  </si>
  <si>
    <t>DOKUMENTTYP_CD</t>
  </si>
  <si>
    <t>sub_type_cd</t>
  </si>
  <si>
    <t>Document Subtype</t>
  </si>
  <si>
    <t>document_sub_type.cd</t>
  </si>
  <si>
    <t>STRING(9)</t>
  </si>
  <si>
    <t>type_cd</t>
  </si>
  <si>
    <t>document_type.cd</t>
  </si>
  <si>
    <t>APSYS_DTVALIDL</t>
  </si>
  <si>
    <t>Valid from</t>
  </si>
  <si>
    <t>GUELTIGKEITSBEREICH_CD</t>
  </si>
  <si>
    <t>valid_level_cd</t>
  </si>
  <si>
    <t>Valid on Level</t>
  </si>
  <si>
    <t>KD_GUELTIG.KD_GUELTIG_CD</t>
  </si>
  <si>
    <t>Values: 1, 2, 3, 4, 5</t>
  </si>
  <si>
    <t>GUELTIGBISDAT</t>
  </si>
  <si>
    <t>VERSIONID</t>
  </si>
  <si>
    <t>version_no</t>
  </si>
  <si>
    <t>Version No.</t>
  </si>
  <si>
    <t>document_version.cd</t>
  </si>
  <si>
    <t>WORST_PERCENTAGE</t>
  </si>
  <si>
    <t>worst_percent</t>
  </si>
  <si>
    <t>Message: client_document_assignment</t>
  </si>
  <si>
    <t>Table: KUNDENDOKUMENTEZUWEISUNG</t>
  </si>
  <si>
    <t>KUNDENDOKUMENTEZUWEISUNGID</t>
  </si>
  <si>
    <t>Legal Document Assignment No.</t>
  </si>
  <si>
    <t>AktId</t>
  </si>
  <si>
    <t>apys_doc_id</t>
  </si>
  <si>
    <t>Apsys Indi No.</t>
  </si>
  <si>
    <t>BLOCK_SENDING_BOLLO_CD</t>
  </si>
  <si>
    <t>block_sending_bollo_cd</t>
  </si>
  <si>
    <t>Block sending Bollo</t>
  </si>
  <si>
    <t>client_doc_id</t>
  </si>
  <si>
    <t>client_document.id</t>
  </si>
  <si>
    <t>client.id</t>
  </si>
  <si>
    <t>Message: client_document_business_status</t>
  </si>
  <si>
    <t>Table: KUNDENDOKUMENT_BUSINESSSTATUS</t>
  </si>
  <si>
    <t>BUSINESSSTATUS</t>
  </si>
  <si>
    <t>INACTIVE_CD</t>
  </si>
  <si>
    <t>inactive_cd</t>
  </si>
  <si>
    <t>Inactivated(Y/N)</t>
  </si>
  <si>
    <t>Message: client_keyword</t>
  </si>
  <si>
    <t>Table: KUNDESTICHWORT</t>
  </si>
  <si>
    <t>KUNDESTICHWORTID</t>
  </si>
  <si>
    <t>Client Keyword Opened on</t>
  </si>
  <si>
    <t>Client Keyword Opened by</t>
  </si>
  <si>
    <t>STICHWORTGRUPPE_CD</t>
  </si>
  <si>
    <t>group_cd</t>
  </si>
  <si>
    <t>Keyword Group</t>
  </si>
  <si>
    <t>client_keyword_group.cd</t>
  </si>
  <si>
    <t>STICHWORT</t>
  </si>
  <si>
    <t>keyword</t>
  </si>
  <si>
    <t>Keyword Contents</t>
  </si>
  <si>
    <t>Client Keyword Modified on</t>
  </si>
  <si>
    <t>Client Keyword Modified by</t>
  </si>
  <si>
    <t>Message: client_keyword_group</t>
  </si>
  <si>
    <t>Table: STICHWORTGRUPPE</t>
  </si>
  <si>
    <t>STICHWORTGRUPPE</t>
  </si>
  <si>
    <t>Riskindex</t>
  </si>
  <si>
    <t>Message: client_type_apsys</t>
  </si>
  <si>
    <t>Table: KUNDENTYP_APSYS</t>
  </si>
  <si>
    <t>KUNDENTYP_CD</t>
  </si>
  <si>
    <t>KUNDENTYP</t>
  </si>
  <si>
    <t>DOMICILIARY_COMPANY_CD</t>
  </si>
  <si>
    <t>is_domiciliary_company</t>
  </si>
  <si>
    <t>Domiciliary Company</t>
  </si>
  <si>
    <t>TECHNICAL_ACCOUNT_CD</t>
  </si>
  <si>
    <t>is_technical_acc</t>
  </si>
  <si>
    <t>Technical Account</t>
  </si>
  <si>
    <t>TRUST_CD</t>
  </si>
  <si>
    <t>is_trust</t>
  </si>
  <si>
    <t>Trust</t>
  </si>
  <si>
    <t>Message: client_type_fitax</t>
  </si>
  <si>
    <t>Table: IRS_CLIENT_TYPE</t>
  </si>
  <si>
    <t>IRS_CLIENT_TYPE_CD</t>
  </si>
  <si>
    <t>IRS_CLIENT_TYPE_DESC</t>
  </si>
  <si>
    <t>STRING(100)</t>
  </si>
  <si>
    <t>IRS Client Type</t>
  </si>
  <si>
    <t>Message: communication</t>
  </si>
  <si>
    <t>Table: KOMMUNIKATION</t>
  </si>
  <si>
    <t>KOMMUNIKATIONSID</t>
  </si>
  <si>
    <t>Communication ID</t>
  </si>
  <si>
    <t>KOMMUNIKATIONSLAND_CD</t>
  </si>
  <si>
    <t>DISPATCH_CD</t>
  </si>
  <si>
    <t>is_dispatch_no</t>
  </si>
  <si>
    <t>Dispatch Communication Nr</t>
  </si>
  <si>
    <t>STRING(279)</t>
  </si>
  <si>
    <t>KOMMUNIKATIONSNR</t>
  </si>
  <si>
    <t>number</t>
  </si>
  <si>
    <t>Communication Number</t>
  </si>
  <si>
    <t>KOMMUNIKATIONSREGIONNR</t>
  </si>
  <si>
    <t>region_cd</t>
  </si>
  <si>
    <t>Area Code</t>
  </si>
  <si>
    <t>KOMMUNIKATIONSART_CD</t>
  </si>
  <si>
    <t>Type of Communication</t>
  </si>
  <si>
    <t>communication_type.cd</t>
  </si>
  <si>
    <t>Message: communication_type</t>
  </si>
  <si>
    <t>Table: KOMMUNIKATIONSART</t>
  </si>
  <si>
    <t>KOMMUNIKATIONSART</t>
  </si>
  <si>
    <t>Communication Type</t>
  </si>
  <si>
    <t>VERSANDART_CD</t>
  </si>
  <si>
    <t>dflt_mailing_type_cd</t>
  </si>
  <si>
    <t>Mailingtype</t>
  </si>
  <si>
    <t>DEFAULT_VERSANDART.DEFAULT_VERSANDART_CD</t>
  </si>
  <si>
    <t>Values: 1, 2, 3, 4, 5, 8</t>
  </si>
  <si>
    <t>AEOI_RELEVANT_CD</t>
  </si>
  <si>
    <t>is_aeoi_relevant</t>
  </si>
  <si>
    <t>EMAIL_CD</t>
  </si>
  <si>
    <t>is_email</t>
  </si>
  <si>
    <t>E-Mail/URL</t>
  </si>
  <si>
    <t>EXTERNALNR_CD</t>
  </si>
  <si>
    <t>is_external</t>
  </si>
  <si>
    <t>Insert Area Code</t>
  </si>
  <si>
    <t>INTERNNR_CD</t>
  </si>
  <si>
    <t>is_internal</t>
  </si>
  <si>
    <t>Internal</t>
  </si>
  <si>
    <t>NUMERICNR_CD</t>
  </si>
  <si>
    <t>is_numeric</t>
  </si>
  <si>
    <t>Numerical</t>
  </si>
  <si>
    <t>Message: contact_type</t>
  </si>
  <si>
    <t>Table: KONTAKTMOEGLICHKEIT</t>
  </si>
  <si>
    <t>KONTAKTMOEGLICHKEIT_CD</t>
  </si>
  <si>
    <t>KONTAKTMOEGLICHKEIT</t>
  </si>
  <si>
    <t>Contact</t>
  </si>
  <si>
    <t>Message: contract_ebanking</t>
  </si>
  <si>
    <t>Table: CONTRACT_EBANKING</t>
  </si>
  <si>
    <t>CONTRACT_ID</t>
  </si>
  <si>
    <t>e-Banking Contract ID</t>
  </si>
  <si>
    <t>Client-No.</t>
  </si>
  <si>
    <t>Contract</t>
  </si>
  <si>
    <t>doc_type_cd</t>
  </si>
  <si>
    <t>Document</t>
  </si>
  <si>
    <t>Validierungs Status</t>
  </si>
  <si>
    <t>Validiert durch</t>
  </si>
  <si>
    <t>Message: contract_party</t>
  </si>
  <si>
    <t>Table: GESCHART</t>
  </si>
  <si>
    <t>GESCHART_CD</t>
  </si>
  <si>
    <t>BLANK_DOKUMENTE_CD</t>
  </si>
  <si>
    <t>blank_documents</t>
  </si>
  <si>
    <t>Blank Dokuments</t>
  </si>
  <si>
    <t>KUNDENART_CD</t>
  </si>
  <si>
    <t>client_cat_cd</t>
  </si>
  <si>
    <t>KUNDENART.KUNDENART_CD</t>
  </si>
  <si>
    <t>Values: P, F, S</t>
  </si>
  <si>
    <t>client_type_cd</t>
  </si>
  <si>
    <t>KUNDENTYP.KUNDENTYP_CD</t>
  </si>
  <si>
    <t>Values: P, N</t>
  </si>
  <si>
    <t>GESCHART</t>
  </si>
  <si>
    <t>STRING(40)</t>
  </si>
  <si>
    <t>AKTIV_CD</t>
  </si>
  <si>
    <t>is_active</t>
  </si>
  <si>
    <t>For new Portfolios</t>
  </si>
  <si>
    <t>TEXT1</t>
  </si>
  <si>
    <t>text1</t>
  </si>
  <si>
    <t>Row 1</t>
  </si>
  <si>
    <t>TEXT2</t>
  </si>
  <si>
    <t>text2</t>
  </si>
  <si>
    <t>Row 2</t>
  </si>
  <si>
    <t>TEXT3</t>
  </si>
  <si>
    <t>text3</t>
  </si>
  <si>
    <t>Row 3</t>
  </si>
  <si>
    <t>TEXT4</t>
  </si>
  <si>
    <t>text4</t>
  </si>
  <si>
    <t>Row 4</t>
  </si>
  <si>
    <t>USE_STANDARD_DOKUMENTE_CD</t>
  </si>
  <si>
    <t>use_standard_documents</t>
  </si>
  <si>
    <t>Standard Account Opening Documents</t>
  </si>
  <si>
    <t>Message: controlling_person_type</t>
  </si>
  <si>
    <t>Table: CONTROLLING_PERSON_TYPE</t>
  </si>
  <si>
    <t>TYPE_CD</t>
  </si>
  <si>
    <t>AKTIEN_ANTEIL_MANDATORY_CD</t>
  </si>
  <si>
    <t>shares_voting_rights</t>
  </si>
  <si>
    <t>Company Shares / Voting right % mandatory</t>
  </si>
  <si>
    <t>AKTIEN_ANTEIL_MAX_25_CD</t>
  </si>
  <si>
    <t>shares_voting_rights_max_25</t>
  </si>
  <si>
    <t>Company Shares / Voting right % &lt; 25%</t>
  </si>
  <si>
    <t>AKTIEN_ANTEIL_MIN_25_CD</t>
  </si>
  <si>
    <t>shares_voting_rights_min_25</t>
  </si>
  <si>
    <t>Company Shares / Voting right % &gt;= 25%</t>
  </si>
  <si>
    <t>Message: country</t>
  </si>
  <si>
    <t>Table: LAND</t>
  </si>
  <si>
    <t>KURZCODE</t>
  </si>
  <si>
    <t>abbreviation</t>
  </si>
  <si>
    <t>Abbreviation</t>
  </si>
  <si>
    <t>AEOI_START_REPORTING_YEAR</t>
  </si>
  <si>
    <t>aeoi_relevant_from_date</t>
  </si>
  <si>
    <t>AEoI relevant from</t>
  </si>
  <si>
    <t>VORWAHL</t>
  </si>
  <si>
    <t>country_code</t>
  </si>
  <si>
    <t>Country Code</t>
  </si>
  <si>
    <t>IGA_STATUS</t>
  </si>
  <si>
    <t>country_iga_status_cd</t>
  </si>
  <si>
    <t>IGA Status</t>
  </si>
  <si>
    <t>country_iga_status.cd</t>
  </si>
  <si>
    <t>WAEHRUNGS_CD</t>
  </si>
  <si>
    <t>Currency</t>
  </si>
  <si>
    <t>LAND</t>
  </si>
  <si>
    <t>PLZVORAUS_CD</t>
  </si>
  <si>
    <t>has_leading_zip</t>
  </si>
  <si>
    <t>Leading ZIP Code</t>
  </si>
  <si>
    <t>TIN_AVAILABLE_CD</t>
  </si>
  <si>
    <t>has_tin</t>
  </si>
  <si>
    <t>TIN available</t>
  </si>
  <si>
    <t>US_FATCA_LAND_CD</t>
  </si>
  <si>
    <t>has_us_fatca</t>
  </si>
  <si>
    <t>US Country for Fatca</t>
  </si>
  <si>
    <t>STATFISCC_INLAND_CD</t>
  </si>
  <si>
    <t>has_vat_domestic</t>
  </si>
  <si>
    <t>VAT. domestic Country</t>
  </si>
  <si>
    <t>AEOI_REPORTABLE_CD</t>
  </si>
  <si>
    <t>is_aeoi_reportable</t>
  </si>
  <si>
    <t>INLAND_CD</t>
  </si>
  <si>
    <t>is_domestic</t>
  </si>
  <si>
    <t>Domestic</t>
  </si>
  <si>
    <t>EU_LAND_CD</t>
  </si>
  <si>
    <t>is_eu_member</t>
  </si>
  <si>
    <t>European Union Member State</t>
  </si>
  <si>
    <t>JURISDICTION_OF_BANK_CD</t>
  </si>
  <si>
    <t>is_jurisdiction_of_bank</t>
  </si>
  <si>
    <t>Jurisdiction of Bank (for AEoI)</t>
  </si>
  <si>
    <t>ABGST_RELEVANT_CD</t>
  </si>
  <si>
    <t>is_tax_fwht_relevant</t>
  </si>
  <si>
    <t>Final Withholding Tax relevant</t>
  </si>
  <si>
    <t>US_TERRITORY_CD</t>
  </si>
  <si>
    <t>is_us_territory</t>
  </si>
  <si>
    <t>State of US territory</t>
  </si>
  <si>
    <t>DESTINATION_CD</t>
  </si>
  <si>
    <t>mailing_destination_cd</t>
  </si>
  <si>
    <t>Mailing Destination</t>
  </si>
  <si>
    <t>mailing_destination.cd</t>
  </si>
  <si>
    <t>AUFETIKETTE_CD</t>
  </si>
  <si>
    <t>on_label</t>
  </si>
  <si>
    <t>Country on Label</t>
  </si>
  <si>
    <t>Message: country_iga_status</t>
  </si>
  <si>
    <t>Table: COUNTRY_IGA_STATUS</t>
  </si>
  <si>
    <t>IGA_STATUS_CD</t>
  </si>
  <si>
    <t>Message: country_sub_division</t>
  </si>
  <si>
    <t>Table: LANDAUFTEILUNG</t>
  </si>
  <si>
    <t>AUFTEILUNG_CD</t>
  </si>
  <si>
    <t>coutry_cd</t>
  </si>
  <si>
    <t>AUFTEILUNG</t>
  </si>
  <si>
    <t>Subdivision</t>
  </si>
  <si>
    <t>Message: currency</t>
  </si>
  <si>
    <t>Table: WAEHRUNG</t>
  </si>
  <si>
    <t>WAEHRUNG</t>
  </si>
  <si>
    <t>STRING(25)</t>
  </si>
  <si>
    <t>Message: department</t>
  </si>
  <si>
    <t>Table: ABTEILUNG</t>
  </si>
  <si>
    <t>ABTEILUNG</t>
  </si>
  <si>
    <t>Department</t>
  </si>
  <si>
    <t>Message: deposit_asset</t>
  </si>
  <si>
    <t>Table: VERMOEGENSKLASSE</t>
  </si>
  <si>
    <t>VERMOEGENSKLASSE_CD</t>
  </si>
  <si>
    <t>VERMOEGENSKLASSE</t>
  </si>
  <si>
    <t>Incoming Assets</t>
  </si>
  <si>
    <t>Message: deposit_asset_type</t>
  </si>
  <si>
    <t>Table: VERMOEGENEINGANGSART</t>
  </si>
  <si>
    <t>VERMOEGENEINGANGSART_CD</t>
  </si>
  <si>
    <t>VERMOEGENEINGANGSART</t>
  </si>
  <si>
    <t>Message: destination</t>
  </si>
  <si>
    <t>Table: DESTINATION</t>
  </si>
  <si>
    <t>DESTINATION</t>
  </si>
  <si>
    <t>Destination</t>
  </si>
  <si>
    <t>Message: document_category</t>
  </si>
  <si>
    <t>Table: DOKUMENTENKATEGORIE</t>
  </si>
  <si>
    <t>KATEGORIE</t>
  </si>
  <si>
    <t>Document Class</t>
  </si>
  <si>
    <t>Message: document_group</t>
  </si>
  <si>
    <t>Table: DOKUMENTENGRUPPE</t>
  </si>
  <si>
    <t>GRUPPE</t>
  </si>
  <si>
    <t>Document Group</t>
  </si>
  <si>
    <t>ACCOUNT_EDITING_CD</t>
  </si>
  <si>
    <t>is_acc_edit_doc</t>
  </si>
  <si>
    <t>Account Editing Document (Y/N)</t>
  </si>
  <si>
    <t>ACCOUNT_OPENING_CD</t>
  </si>
  <si>
    <t>is_acc_open_doc</t>
  </si>
  <si>
    <t>Account Opening Document (Y/N)</t>
  </si>
  <si>
    <t>Message: document_sub_type</t>
  </si>
  <si>
    <t>Table: DOKUMENTENTYP</t>
  </si>
  <si>
    <t>DOKUMENTENTYP_CD</t>
  </si>
  <si>
    <t>DOKUMENTENTYP</t>
  </si>
  <si>
    <t>TAX_EUTAX_RELEVANT_CD</t>
  </si>
  <si>
    <t>is_tax_eutax_relevant</t>
  </si>
  <si>
    <t>EU TAX relevant</t>
  </si>
  <si>
    <t>TAX_FWHT_RELEVANT_CD</t>
  </si>
  <si>
    <t>FWHT relevant</t>
  </si>
  <si>
    <t>TAX_USWHT_RELEVANT_CD</t>
  </si>
  <si>
    <t>is_tax_uswht_relevant</t>
  </si>
  <si>
    <t>US WHT relevant</t>
  </si>
  <si>
    <t>DRUCKEN_CD</t>
  </si>
  <si>
    <t>print_possible</t>
  </si>
  <si>
    <t>Printing of Document possible</t>
  </si>
  <si>
    <t>TAX_CHVAT_RELEVANT_CD</t>
  </si>
  <si>
    <t>tax_chvat_relevant</t>
  </si>
  <si>
    <t>CH VAT relevant</t>
  </si>
  <si>
    <t>Message: document_type</t>
  </si>
  <si>
    <t>Table: DOKUMENTENART</t>
  </si>
  <si>
    <t>TYPDOCS</t>
  </si>
  <si>
    <t>apsys_typdocs</t>
  </si>
  <si>
    <t>Apsys TypDocs</t>
  </si>
  <si>
    <t>AUTO_CREATE_DOC_FROM_FIRST_PO</t>
  </si>
  <si>
    <t>auto_assign_to_existing_doc</t>
  </si>
  <si>
    <t>Automatic Assignment to existing Document</t>
  </si>
  <si>
    <t>Specific for Client Category</t>
  </si>
  <si>
    <t>KUNDENSTATUS_CD</t>
  </si>
  <si>
    <t>Specific for Client Status</t>
  </si>
  <si>
    <t>relationship_type.cd</t>
  </si>
  <si>
    <t>Specific for Client Type</t>
  </si>
  <si>
    <t>DOKUMENT</t>
  </si>
  <si>
    <t>DEF_SELF_CERT_TYPE</t>
  </si>
  <si>
    <t>dftl_self_certification_type_cd</t>
  </si>
  <si>
    <t>Default Self Certification Type</t>
  </si>
  <si>
    <t>doc_group_cd</t>
  </si>
  <si>
    <t>document_group.cd</t>
  </si>
  <si>
    <t>ABLAUFDATUM_CD</t>
  </si>
  <si>
    <t>Document has expiration date</t>
  </si>
  <si>
    <t>JANEINREADONLY_LISTE.JANEINREADONLY_LISTE_CD</t>
  </si>
  <si>
    <t>Values: J, N, R</t>
  </si>
  <si>
    <t>PARTNER_EBENE_CD</t>
  </si>
  <si>
    <t>individual_level</t>
  </si>
  <si>
    <t>Valid on Individual Level</t>
  </si>
  <si>
    <t>ACCOUNT_CLOSING_DOC_CD</t>
  </si>
  <si>
    <t>is_acc_close_doc</t>
  </si>
  <si>
    <t>Account Closing Document (set Valuat. Date for Closing)</t>
  </si>
  <si>
    <t>DEFAULT_CD</t>
  </si>
  <si>
    <t>is_dflt</t>
  </si>
  <si>
    <t>Mandatory for new Clients</t>
  </si>
  <si>
    <t>EBANKINGCONTRACT_CD</t>
  </si>
  <si>
    <t>is_ebanking_contract</t>
  </si>
  <si>
    <t>e-Banking Contract</t>
  </si>
  <si>
    <t>IDENTIFIZIEREND_CD</t>
  </si>
  <si>
    <t>is_id_doc</t>
  </si>
  <si>
    <t>Identifying Document</t>
  </si>
  <si>
    <t>APSYS_RELEVANT_CD</t>
  </si>
  <si>
    <t>is_relevant_apsys</t>
  </si>
  <si>
    <t>Apsys relevant</t>
  </si>
  <si>
    <t>SELF_CERTIFICATION_CD</t>
  </si>
  <si>
    <t>is_self_certification_doc</t>
  </si>
  <si>
    <t>Self Certification Document</t>
  </si>
  <si>
    <t>is_tax_chvat_relevant</t>
  </si>
  <si>
    <t>is_tax_eu_relevant</t>
  </si>
  <si>
    <t>is_tax_us_wht_relevant</t>
  </si>
  <si>
    <t>VERSION_CD</t>
  </si>
  <si>
    <t>is_versioned</t>
  </si>
  <si>
    <t>Document uses Versions</t>
  </si>
  <si>
    <t>MAX_DOCUMENT_COPIES</t>
  </si>
  <si>
    <t>max_doc_copies</t>
  </si>
  <si>
    <t>Maximum Copies per Document</t>
  </si>
  <si>
    <t>MAX_RELATION_COUNT</t>
  </si>
  <si>
    <t>may_relation_count</t>
  </si>
  <si>
    <t>Maximum Amount of Relations</t>
  </si>
  <si>
    <t>PORTFOLIO_CD</t>
  </si>
  <si>
    <t>portfolio_level</t>
  </si>
  <si>
    <t>Valid per Portfolio</t>
  </si>
  <si>
    <t>SAFEDOCUMENT_CD</t>
  </si>
  <si>
    <t>safe_box_level</t>
  </si>
  <si>
    <t>Valid on Safe Level</t>
  </si>
  <si>
    <t>SCANNED_DOKUMENT_CD</t>
  </si>
  <si>
    <t>scanned_doc_type_cd</t>
  </si>
  <si>
    <t>Document Type scanned</t>
  </si>
  <si>
    <t>VERTRAULICHKEIT_CD</t>
  </si>
  <si>
    <t>security_level_cd</t>
  </si>
  <si>
    <t>Security Level</t>
  </si>
  <si>
    <t>security_lvl.cd</t>
  </si>
  <si>
    <t>SHOW_ONLY_FOR_SUBTYPE_CD</t>
  </si>
  <si>
    <t>show_only_for_subtype</t>
  </si>
  <si>
    <t>Show only for subtypes</t>
  </si>
  <si>
    <t>SHOW_ON_MODIFY_CD</t>
  </si>
  <si>
    <t>show_on_modify</t>
  </si>
  <si>
    <t>Show Document on modification</t>
  </si>
  <si>
    <t>ERHALTEN_AM_ERFORDERLICH_CD</t>
  </si>
  <si>
    <t>signature_required</t>
  </si>
  <si>
    <t>Document signed is mandatory</t>
  </si>
  <si>
    <t>ORDERNR</t>
  </si>
  <si>
    <t>sort_order</t>
  </si>
  <si>
    <t>Document Sort Order</t>
  </si>
  <si>
    <t>TODO_MASK_CD</t>
  </si>
  <si>
    <t>to_be_masked</t>
  </si>
  <si>
    <t>To mask</t>
  </si>
  <si>
    <t>TODO_SIGN_CD</t>
  </si>
  <si>
    <t>to_be_signed</t>
  </si>
  <si>
    <t>To sign</t>
  </si>
  <si>
    <t>GUELTIG_AB_ZWINGEND_CD</t>
  </si>
  <si>
    <t>valid_from_required</t>
  </si>
  <si>
    <t>Valid from Mandatory</t>
  </si>
  <si>
    <t>GUELTIG_BIS_ZWINGEND_CD</t>
  </si>
  <si>
    <t>valid_to_required</t>
  </si>
  <si>
    <t>Valid until Mandatory</t>
  </si>
  <si>
    <t>Message: document_version</t>
  </si>
  <si>
    <t>Table: DOKUMENTENVERSION</t>
  </si>
  <si>
    <t>VERSION</t>
  </si>
  <si>
    <t>DOCUMENT_CD</t>
  </si>
  <si>
    <t>Active Version</t>
  </si>
  <si>
    <t>Note</t>
  </si>
  <si>
    <t>Message: econ_sector_tblecb_apsys</t>
  </si>
  <si>
    <t>Table: ECONOMICSECTOR_TBLECB_APSYS</t>
  </si>
  <si>
    <t>SECTOR_CD</t>
  </si>
  <si>
    <t>SECTOR</t>
  </si>
  <si>
    <t>Message: econ_sector_tblecc_apsys</t>
  </si>
  <si>
    <t>Table: ECONOMICSECTOR_TBLECC_APSYS</t>
  </si>
  <si>
    <t>Message: econ_sector_tblecm_apsys</t>
  </si>
  <si>
    <t>Table: ECONOMICSECTOR_TBLECM_APSYS</t>
  </si>
  <si>
    <t>Message: econ_sector_tbleco_apsys</t>
  </si>
  <si>
    <t>Table: ECONOMICSECTOR_TBLECO_APSYS</t>
  </si>
  <si>
    <t>Message: econ_sector_tblecs_apsys</t>
  </si>
  <si>
    <t>Table: ECONOMICSECTOR_TBLECS_APSYS</t>
  </si>
  <si>
    <t>Message: eu_taxstatus</t>
  </si>
  <si>
    <t>Table: EU_TAXSTATUS</t>
  </si>
  <si>
    <t>EU_TAXSTATUS_CD</t>
  </si>
  <si>
    <t>EU_TAXSTATUS</t>
  </si>
  <si>
    <t>EU Tax Status</t>
  </si>
  <si>
    <t>Message: extl_liab_type</t>
  </si>
  <si>
    <t>Table: VERPFLICHTUNGSART</t>
  </si>
  <si>
    <t>VERPFLICHTUNGSART_CD</t>
  </si>
  <si>
    <t>VERPFLICHTUNGSART</t>
  </si>
  <si>
    <t>Liabilities</t>
  </si>
  <si>
    <t>Message: fatca_basket</t>
  </si>
  <si>
    <t>Table: FATCA_BASKET</t>
  </si>
  <si>
    <t>BASKET_CD</t>
  </si>
  <si>
    <t>BASKET</t>
  </si>
  <si>
    <t>Bezeichnung</t>
  </si>
  <si>
    <t>Message: fatca_classif</t>
  </si>
  <si>
    <t>Table: FATCA_CLASS_TBLFAT_APSYS</t>
  </si>
  <si>
    <t>IDFATCACLAS</t>
  </si>
  <si>
    <t>FATCA_IRS_RECIPIENT_CLASS_CD</t>
  </si>
  <si>
    <t>IRS FATCA Recipient Classification</t>
  </si>
  <si>
    <t>Message: fatca_non_us_partner_type</t>
  </si>
  <si>
    <t>Table: FATCA_NON_US_PARTNER_TYPE</t>
  </si>
  <si>
    <t>TYPE_DESC</t>
  </si>
  <si>
    <t>STRING(80)</t>
  </si>
  <si>
    <t>Message: fatca_partner_type</t>
  </si>
  <si>
    <t>Table: FATCA_PARTNER_TYPE</t>
  </si>
  <si>
    <t>Message: fatca_status</t>
  </si>
  <si>
    <t>Table: FATCA_STATUS</t>
  </si>
  <si>
    <t>STATUS_CD</t>
  </si>
  <si>
    <t>STATUS</t>
  </si>
  <si>
    <t>ENTITIES_CD</t>
  </si>
  <si>
    <t>is_entity_status</t>
  </si>
  <si>
    <t>Used For Entities</t>
  </si>
  <si>
    <t>INDIVIDUAL_CD</t>
  </si>
  <si>
    <t>is_individual_status</t>
  </si>
  <si>
    <t>Used for Individuals</t>
  </si>
  <si>
    <t>Message: fatca_status_reason</t>
  </si>
  <si>
    <t>Table: FATCA_S_GRUND_TBLSTT_F_APSYS</t>
  </si>
  <si>
    <t>GRUND_CD</t>
  </si>
  <si>
    <t>GRUND</t>
  </si>
  <si>
    <t>Message: format</t>
  </si>
  <si>
    <t>Table: FORMAT</t>
  </si>
  <si>
    <t>FORMAT_CD</t>
  </si>
  <si>
    <t>CDPRODI</t>
  </si>
  <si>
    <t>cdprodi</t>
  </si>
  <si>
    <t>FORMAT</t>
  </si>
  <si>
    <t>Format</t>
  </si>
  <si>
    <t>Message: gender</t>
  </si>
  <si>
    <t>Table: GESCHLECHT</t>
  </si>
  <si>
    <t>GESCHLECHT_CD</t>
  </si>
  <si>
    <t>GESCHLECHT</t>
  </si>
  <si>
    <t>Gender</t>
  </si>
  <si>
    <t>Message: gen_period</t>
  </si>
  <si>
    <t>Table: ERSTHAEUFIG</t>
  </si>
  <si>
    <t>ERSTHAEUFIG_CD</t>
  </si>
  <si>
    <t>ERSTHAEUFIG</t>
  </si>
  <si>
    <t>Generation Periodicity</t>
  </si>
  <si>
    <t>FRQPRODC</t>
  </si>
  <si>
    <t>Apsys FrqProdc</t>
  </si>
  <si>
    <t>Message: income</t>
  </si>
  <si>
    <t>Table: EINKOMMEN</t>
  </si>
  <si>
    <t>EINKOMMEN_CD</t>
  </si>
  <si>
    <t>EINKOMMEN</t>
  </si>
  <si>
    <t>Income</t>
  </si>
  <si>
    <t>Message: individual</t>
  </si>
  <si>
    <t>Table: PARTNER</t>
  </si>
  <si>
    <t>ABANDON_RESIDENT_STATUS_CD</t>
  </si>
  <si>
    <t>abandon_residence</t>
  </si>
  <si>
    <t>AEOI_CLASSIFICATION_CD</t>
  </si>
  <si>
    <t>aeio_classif_cd</t>
  </si>
  <si>
    <t>AEoI Classification</t>
  </si>
  <si>
    <t>AEOI_SUB_CLASSIFICATION_CD</t>
  </si>
  <si>
    <t>aeoi_sub_classif_cd</t>
  </si>
  <si>
    <t>AEoI Sub Classification</t>
  </si>
  <si>
    <t>aeoi_sub_classif.cd</t>
  </si>
  <si>
    <t>AGENT_APSYS_INFO</t>
  </si>
  <si>
    <t>agent_apsys_info</t>
  </si>
  <si>
    <t>Info</t>
  </si>
  <si>
    <t>AGENT_APSYS_IDCLL</t>
  </si>
  <si>
    <t>agent_apsys_portfolio_id</t>
  </si>
  <si>
    <t>AGENT_APSYS_STATUS_OPEC</t>
  </si>
  <si>
    <t>agent_apys_status_opec</t>
  </si>
  <si>
    <t>AGENT_AUTO_COMMISSION_PAY_CD</t>
  </si>
  <si>
    <t>agent_auto_commission_pay_cd</t>
  </si>
  <si>
    <t>Automatic Commission Payment</t>
  </si>
  <si>
    <t>AGENT_CDFRQCALCRETRONNMC</t>
  </si>
  <si>
    <t>agent_calc_freq</t>
  </si>
  <si>
    <t>Calculation Frequency</t>
  </si>
  <si>
    <t>AGENT_REBATE_INTERVAL_TYPE.AGENT_REBATE_INTERVAL_TYPE_CD</t>
  </si>
  <si>
    <t>Values: D, W, I, M, Q, H, Y, N, R, T, Z</t>
  </si>
  <si>
    <t>agent_classif_cd</t>
  </si>
  <si>
    <t>agent_classif.cd</t>
  </si>
  <si>
    <t>AGENT_COMMISSION_REBATE_CD</t>
  </si>
  <si>
    <t>agent_commission_rebate_cd</t>
  </si>
  <si>
    <t>Commission Rebate</t>
  </si>
  <si>
    <t>AGENT_DESC</t>
  </si>
  <si>
    <t>agent_desc</t>
  </si>
  <si>
    <t>AGENT_APSYS_ERRI</t>
  </si>
  <si>
    <t>agent_err_cd</t>
  </si>
  <si>
    <t>Apsys Error</t>
  </si>
  <si>
    <t>AGENT_FLAGXCLUEVALNEGI</t>
  </si>
  <si>
    <t>agent_excl_neg_avg_holding</t>
  </si>
  <si>
    <t>Exclude negative average holdings</t>
  </si>
  <si>
    <t>AGENT_FLAGRETRONNMI</t>
  </si>
  <si>
    <t>agent_new_new_money_retrocess</t>
  </si>
  <si>
    <t>Net New Money Retrocession</t>
  </si>
  <si>
    <t>AGENT_PAY_CURRENCY_CD</t>
  </si>
  <si>
    <t>agent_pay_currency_cd</t>
  </si>
  <si>
    <t>AGENT_PAY_DAY_OF_MONTH</t>
  </si>
  <si>
    <t>agent_pay_day_of_month</t>
  </si>
  <si>
    <t>Day of Month</t>
  </si>
  <si>
    <t>DAYOFMONTH.DAYOFMONTH</t>
  </si>
  <si>
    <t>AGENT_PAY_FIRST_DATE</t>
  </si>
  <si>
    <t>agent_pay_first_date</t>
  </si>
  <si>
    <t>First Payment</t>
  </si>
  <si>
    <t>AGENT_CDFRQPAYRETRONNMC</t>
  </si>
  <si>
    <t>agent_pay_freq</t>
  </si>
  <si>
    <t>Payment Frequency</t>
  </si>
  <si>
    <t>AGENT_PAY_HOLIDAY_TREATMENT_CD</t>
  </si>
  <si>
    <t>agent_pay_holiday_treatment_cd</t>
  </si>
  <si>
    <t>Holiday Treatment</t>
  </si>
  <si>
    <t>HOLIDAY_TREATMENT.HOLIDAY_TREATMENT_CD</t>
  </si>
  <si>
    <t>Values: B, A</t>
  </si>
  <si>
    <t>AGENT_PAY_INTERVAL</t>
  </si>
  <si>
    <t>agent_pay_interval</t>
  </si>
  <si>
    <t>Payment Interval</t>
  </si>
  <si>
    <t>AGENT_PAY_INTERVAL_TYPE_CD</t>
  </si>
  <si>
    <t>agent_pay_interval_type_cd</t>
  </si>
  <si>
    <t>Payment Interval Type</t>
  </si>
  <si>
    <t>AGENT_PAY_INTERVAL_TYPE.AGENT_PAY_INTERVAL_TYPE_CD</t>
  </si>
  <si>
    <t>Values: M, Y</t>
  </si>
  <si>
    <t>AGENT_PAY_PROVISIONING_CD</t>
  </si>
  <si>
    <t>agent_pay_provisioning_cd</t>
  </si>
  <si>
    <t>Provisioning</t>
  </si>
  <si>
    <t>AGENT_CDNEGRETRONNMC</t>
  </si>
  <si>
    <t>agent_possible_neg_retrocess</t>
  </si>
  <si>
    <t>Possible Negative Retrocession / High water</t>
  </si>
  <si>
    <t>AGENT_RET_POSIBLE_NEG.AGENT_RET_POSIBLE_NEG</t>
  </si>
  <si>
    <t>Values: N, H</t>
  </si>
  <si>
    <t>AGENT_REBATE_CURRENCY_CD</t>
  </si>
  <si>
    <t>agent_rebate_currency_cd</t>
  </si>
  <si>
    <t>AGENT_REBATE_INTERVAL_TYPE_CD</t>
  </si>
  <si>
    <t>agent_rebate_interval_type_cd</t>
  </si>
  <si>
    <t>Rebate Interval</t>
  </si>
  <si>
    <t>AGENT_REBATE_ORIG_VAT_CD</t>
  </si>
  <si>
    <t>agent_rebate_orig_vat_cd</t>
  </si>
  <si>
    <t>Retrocession of the original VAT</t>
  </si>
  <si>
    <t>AGENT_REBATE_PROV_CD</t>
  </si>
  <si>
    <t>agent_rebate_provisioning_cd</t>
  </si>
  <si>
    <t>Rebate provisioning</t>
  </si>
  <si>
    <t>AGENT_FLAGRETROAGEI</t>
  </si>
  <si>
    <t>agent_retrocess_avg_holding</t>
  </si>
  <si>
    <t>Retrocession on average Holdings</t>
  </si>
  <si>
    <t>AM_CONFIRM_NON_US_STATUS_CD</t>
  </si>
  <si>
    <t>am_confirm_non_us_status_cd</t>
  </si>
  <si>
    <t>APSYS_IDPERSL</t>
  </si>
  <si>
    <t>apsys_person_id</t>
  </si>
  <si>
    <t>Apsys Person No.</t>
  </si>
  <si>
    <t>WORLDCHECK_OK_CD</t>
  </si>
  <si>
    <t>black_list_ok</t>
  </si>
  <si>
    <t>Black List OK</t>
  </si>
  <si>
    <t>WORLDCHECK_OK_DATUM</t>
  </si>
  <si>
    <t>black_list_ok_date</t>
  </si>
  <si>
    <t>Black List OK on</t>
  </si>
  <si>
    <t>WORLDCHECK_OK_BEMERKUNG</t>
  </si>
  <si>
    <t>black_list_ok_note</t>
  </si>
  <si>
    <t>Black List OK Remark</t>
  </si>
  <si>
    <t>WORLDCHECK_OK_USERID</t>
  </si>
  <si>
    <t>black_list_ok_user</t>
  </si>
  <si>
    <t>Black List OK by</t>
  </si>
  <si>
    <t>EIGENHEITEN</t>
  </si>
  <si>
    <t>characteristics</t>
  </si>
  <si>
    <t>Characteristics</t>
  </si>
  <si>
    <t>Individual Inactivated</t>
  </si>
  <si>
    <t>Individual Inactivated on</t>
  </si>
  <si>
    <t>COMPANY_MANAGED_BY_BO_CD</t>
  </si>
  <si>
    <t>company_manag_by_bo</t>
  </si>
  <si>
    <t>Company managed by BO</t>
  </si>
  <si>
    <t>COMPLIANCE_OK_CD</t>
  </si>
  <si>
    <t>compliance_ok_cd</t>
  </si>
  <si>
    <t>Compliance OK</t>
  </si>
  <si>
    <t>COMPLIANCE_OK_DATUM</t>
  </si>
  <si>
    <t>compliance_ok_date</t>
  </si>
  <si>
    <t>Compliance OK on</t>
  </si>
  <si>
    <t>COMPLIANCE_OK_USERID</t>
  </si>
  <si>
    <t>compliance_ok_user</t>
  </si>
  <si>
    <t>Compliance OK by</t>
  </si>
  <si>
    <t>KONTAKTDURCH</t>
  </si>
  <si>
    <t>contact_by</t>
  </si>
  <si>
    <t>Contact by</t>
  </si>
  <si>
    <t>KONTAKT_ERWUENSCHT_CD</t>
  </si>
  <si>
    <t>contact_desired_cd</t>
  </si>
  <si>
    <t>Contact appreciated</t>
  </si>
  <si>
    <t>JANEINNOTFALL_LISTE.JANEINNOTFALL_LISTE_CD</t>
  </si>
  <si>
    <t>Values: J, N, E</t>
  </si>
  <si>
    <t>KONTAKTBEMERKUNG</t>
  </si>
  <si>
    <t>contact_note</t>
  </si>
  <si>
    <t>Note To Contact</t>
  </si>
  <si>
    <t>ANSPRECHPERSON</t>
  </si>
  <si>
    <t>contact_person</t>
  </si>
  <si>
    <t>Contact Person</t>
  </si>
  <si>
    <t>KOMMENTAR</t>
  </si>
  <si>
    <t>contact_person_note</t>
  </si>
  <si>
    <t>Contact Person Note</t>
  </si>
  <si>
    <t>KONTAKTSEIT</t>
  </si>
  <si>
    <t>contact_since</t>
  </si>
  <si>
    <t>Contact since</t>
  </si>
  <si>
    <t>contact_type_cd</t>
  </si>
  <si>
    <t>Contact Type</t>
  </si>
  <si>
    <t>contact_type.cd</t>
  </si>
  <si>
    <t>COREBANKING_AGENT_CODE</t>
  </si>
  <si>
    <t>core_banking_agent_code</t>
  </si>
  <si>
    <t>Core Banking Agent Code</t>
  </si>
  <si>
    <t>APSYS_DOMIS</t>
  </si>
  <si>
    <t>county_of_residence</t>
  </si>
  <si>
    <t>Country of Residence</t>
  </si>
  <si>
    <t>Individual Opened on</t>
  </si>
  <si>
    <t>Individual Opened by</t>
  </si>
  <si>
    <t>GESTORBEN_CD</t>
  </si>
  <si>
    <t>deceased_cd</t>
  </si>
  <si>
    <t>Deceased</t>
  </si>
  <si>
    <t>GEBURTSDATUM</t>
  </si>
  <si>
    <t>dob</t>
  </si>
  <si>
    <t>Date of Birth</t>
  </si>
  <si>
    <t>DOCUMENTATION_OK_CD</t>
  </si>
  <si>
    <t>docu_ok_cd</t>
  </si>
  <si>
    <t>Documentation checked</t>
  </si>
  <si>
    <t>DOCUMENTATION_OK_DATUM</t>
  </si>
  <si>
    <t>docu_ok_date</t>
  </si>
  <si>
    <t>Documentation checked on</t>
  </si>
  <si>
    <t>DOCUMENTATION_OK_USERID</t>
  </si>
  <si>
    <t>docu_ok_user</t>
  </si>
  <si>
    <t>Documentation checked by</t>
  </si>
  <si>
    <t>STERBEDATUM</t>
  </si>
  <si>
    <t>dod</t>
  </si>
  <si>
    <t>Date of Death</t>
  </si>
  <si>
    <t>WIRTSCHAFTLICHER_HINTERGRUND</t>
  </si>
  <si>
    <t>econ_background</t>
  </si>
  <si>
    <t>Economic Background</t>
  </si>
  <si>
    <t>ECONOMIC_BACKGROUND_OK_CD</t>
  </si>
  <si>
    <t>econ_background_ok</t>
  </si>
  <si>
    <t>Economic Background checked</t>
  </si>
  <si>
    <t>ECONOMIC_BACKGROUND_OK_DATUM</t>
  </si>
  <si>
    <t>econ_background_ok_date</t>
  </si>
  <si>
    <t>Economic Background checked on</t>
  </si>
  <si>
    <t>ECONOMIC_BACKGROUND_OK_USERID</t>
  </si>
  <si>
    <t>econ_background_ok_user</t>
  </si>
  <si>
    <t>Economic Background checked by</t>
  </si>
  <si>
    <t>EIN_CODE</t>
  </si>
  <si>
    <t>ein_cd</t>
  </si>
  <si>
    <t>EIN code</t>
  </si>
  <si>
    <t>ARBEITGEBER</t>
  </si>
  <si>
    <t>employer</t>
  </si>
  <si>
    <t>Employer</t>
  </si>
  <si>
    <t>estd_annual_income_cd</t>
  </si>
  <si>
    <t>Approximate Annual Income</t>
  </si>
  <si>
    <t>income.cd</t>
  </si>
  <si>
    <t>EU_TAXDOMIZIL_CD</t>
  </si>
  <si>
    <t>eu_tax_country_cd</t>
  </si>
  <si>
    <t>EU Tax Country</t>
  </si>
  <si>
    <t>extl_liab_type_cd</t>
  </si>
  <si>
    <t>External Financial Liability</t>
  </si>
  <si>
    <t>extl_liab_type.cd</t>
  </si>
  <si>
    <t>VERPFLICHTUNGBEI</t>
  </si>
  <si>
    <t>extl_liab_with</t>
  </si>
  <si>
    <t>External Financial Liability with</t>
  </si>
  <si>
    <t>FATCA_STATUS_CD</t>
  </si>
  <si>
    <t>fatca_classif_status_cd</t>
  </si>
  <si>
    <t>FATCA Partner classifications status</t>
  </si>
  <si>
    <t>fatca_classif.cd</t>
  </si>
  <si>
    <t>FATCA_PARTNER_TYPE_CD</t>
  </si>
  <si>
    <t>fatca_individual_type_cd</t>
  </si>
  <si>
    <t>FATCA Partner Type</t>
  </si>
  <si>
    <t>fatca_partner_type.cd</t>
  </si>
  <si>
    <t>FATCA_NONUS_PARTNER_TYPE_CD</t>
  </si>
  <si>
    <t>fatca_non_us_individual_typy_cd</t>
  </si>
  <si>
    <t>FATCA Non-US Partner Type</t>
  </si>
  <si>
    <t>fatca_non_us_partner_type.cd</t>
  </si>
  <si>
    <t>FOUNDINBLACKLIST_CD</t>
  </si>
  <si>
    <t>found_in_black_list</t>
  </si>
  <si>
    <t>Found in Black List</t>
  </si>
  <si>
    <t>STEUERLAND_ABGST_CD</t>
  </si>
  <si>
    <t>fwht_tax_country_cd</t>
  </si>
  <si>
    <t>FWHT Tax Country</t>
  </si>
  <si>
    <t>gender_cd</t>
  </si>
  <si>
    <t>gender.cd</t>
  </si>
  <si>
    <t>HOBBYS</t>
  </si>
  <si>
    <t>hobbies</t>
  </si>
  <si>
    <t>Hobbies</t>
  </si>
  <si>
    <t>BRANCHE_CD</t>
  </si>
  <si>
    <t>industr_sector_cd</t>
  </si>
  <si>
    <t>NACE Economic Sector</t>
  </si>
  <si>
    <t>industr_sector.cd</t>
  </si>
  <si>
    <t>ERBSCHAFTEN_CD</t>
  </si>
  <si>
    <t>inherit_cd</t>
  </si>
  <si>
    <t>Inheritance</t>
  </si>
  <si>
    <t>ERBSCHAFTEN_BEMERKUNG</t>
  </si>
  <si>
    <t>inherit_note</t>
  </si>
  <si>
    <t>Inheritance Note</t>
  </si>
  <si>
    <t>KULTUR_CD</t>
  </si>
  <si>
    <t>interest_culture_cd</t>
  </si>
  <si>
    <t>Interests in Culture</t>
  </si>
  <si>
    <t>WIRTSCHAFT_CD</t>
  </si>
  <si>
    <t>interest_econ</t>
  </si>
  <si>
    <t>Interests in Economics</t>
  </si>
  <si>
    <t>UMWELT_CD</t>
  </si>
  <si>
    <t>interest_environmt_cd</t>
  </si>
  <si>
    <t>Interests in Environment</t>
  </si>
  <si>
    <t>SPORT_CD</t>
  </si>
  <si>
    <t>interest_sport_cd</t>
  </si>
  <si>
    <t>Interests in Sports</t>
  </si>
  <si>
    <t>TRENDS_CD</t>
  </si>
  <si>
    <t>interest_trends_cd</t>
  </si>
  <si>
    <t>Interests in Trends</t>
  </si>
  <si>
    <t>AGENT_CD</t>
  </si>
  <si>
    <t>is_agent</t>
  </si>
  <si>
    <t>Agent</t>
  </si>
  <si>
    <t>FIRMA_CD</t>
  </si>
  <si>
    <t>is_company_cd</t>
  </si>
  <si>
    <t>COUNTRY_OF_MANAG_AEOI_REL_CD</t>
  </si>
  <si>
    <t>is_mgmt_country_aeoi_relevant</t>
  </si>
  <si>
    <t>Country of effective Management AEoI relevant</t>
  </si>
  <si>
    <t>OWNERS_STATEMENT_CD</t>
  </si>
  <si>
    <t>is_owner_stmt</t>
  </si>
  <si>
    <t>COUNTRY_OF_REGIS_AEOI_REL_CD</t>
  </si>
  <si>
    <t>is_regis_coutry_aeoi_relevant</t>
  </si>
  <si>
    <t>Country of Registration AEoI relevant</t>
  </si>
  <si>
    <t>IS_SPONSORED_ENTITY_CD</t>
  </si>
  <si>
    <t>is_sponsored_entity_cd</t>
  </si>
  <si>
    <t>IS_SUBST_PRESENCE_TEST_CD</t>
  </si>
  <si>
    <t>is_subst_presence_test_cd</t>
  </si>
  <si>
    <t>IS_DOMICILIARY_COMPANY_CD</t>
  </si>
  <si>
    <t>is_tax_domiciliary_compinay</t>
  </si>
  <si>
    <t>Is Tax Domiciliary Company</t>
  </si>
  <si>
    <t>US_PERSON_CD</t>
  </si>
  <si>
    <t>is_us_person_cd</t>
  </si>
  <si>
    <t>Liable To US Tax</t>
  </si>
  <si>
    <t>US_TAX_PERSON.US_TAX_PERSON_CD</t>
  </si>
  <si>
    <t>IS_US_RESIDENT_ALIEN_CD</t>
  </si>
  <si>
    <t>is_us_resident_alien_cd</t>
  </si>
  <si>
    <t>SPRACH_CD</t>
  </si>
  <si>
    <t>lang_cd</t>
  </si>
  <si>
    <t>Language</t>
  </si>
  <si>
    <t>Ad. for Letter</t>
  </si>
  <si>
    <t>letter_salutation.cd</t>
  </si>
  <si>
    <t>maiden_name</t>
  </si>
  <si>
    <t>Maiden Name</t>
  </si>
  <si>
    <t>HAUSBANK</t>
  </si>
  <si>
    <t>main_bank</t>
  </si>
  <si>
    <t>Domestic Bank</t>
  </si>
  <si>
    <t>ZIVILSTAND_CD</t>
  </si>
  <si>
    <t>martial_status_cd</t>
  </si>
  <si>
    <t>Marital Status</t>
  </si>
  <si>
    <t>martial_status.cd</t>
  </si>
  <si>
    <t>Individual Modified on</t>
  </si>
  <si>
    <t>Individual Modified by</t>
  </si>
  <si>
    <t>GEBURTSLAND_CD</t>
  </si>
  <si>
    <t>native_country_cd</t>
  </si>
  <si>
    <t>Country of Birth</t>
  </si>
  <si>
    <t>HEIMATORT</t>
  </si>
  <si>
    <t>native_place</t>
  </si>
  <si>
    <t>Place of Origin</t>
  </si>
  <si>
    <t>PARTNERBESUCH</t>
  </si>
  <si>
    <t>next_visit</t>
  </si>
  <si>
    <t>Next Visit</t>
  </si>
  <si>
    <t>number_of_children_cd</t>
  </si>
  <si>
    <t>Number of Children</t>
  </si>
  <si>
    <t>child_count.cd</t>
  </si>
  <si>
    <t>BANKVERBINDUNGEN</t>
  </si>
  <si>
    <t>oth_bank_relation</t>
  </si>
  <si>
    <t>Other Bank Relations</t>
  </si>
  <si>
    <t>OWNERS_STATEMENT_SIGN_DATE</t>
  </si>
  <si>
    <t>owber_stmt_sign_date</t>
  </si>
  <si>
    <t>BESUCHERWUENSCHT_CD</t>
  </si>
  <si>
    <t>pers_visit_desired_cd</t>
  </si>
  <si>
    <t>Personal Visits requested</t>
  </si>
  <si>
    <t>POTENTIAL_CD</t>
  </si>
  <si>
    <t>potential_cd</t>
  </si>
  <si>
    <t>Potential</t>
  </si>
  <si>
    <t>potential.cd</t>
  </si>
  <si>
    <t>BERUF</t>
  </si>
  <si>
    <t>profession</t>
  </si>
  <si>
    <t>Profession</t>
  </si>
  <si>
    <t>POSITION_CD</t>
  </si>
  <si>
    <t>profnl_position_cd</t>
  </si>
  <si>
    <t>Professional Position</t>
  </si>
  <si>
    <t>profnl_position.cd</t>
  </si>
  <si>
    <t>ERWERBSSTATUS_CD</t>
  </si>
  <si>
    <t>profnl_status_cd</t>
  </si>
  <si>
    <t>Professional Status</t>
  </si>
  <si>
    <t>profnl_status.cd</t>
  </si>
  <si>
    <t>QI_CLASSIFICATION_CD</t>
  </si>
  <si>
    <t>qi_classif_cd</t>
  </si>
  <si>
    <t>QI classification</t>
  </si>
  <si>
    <t>qi_classif.cd</t>
  </si>
  <si>
    <t>IMMOBILIEN_CD</t>
  </si>
  <si>
    <t>real_estate_ownership_cd</t>
  </si>
  <si>
    <t>Real Estate Ownership</t>
  </si>
  <si>
    <t>real_estate.cd</t>
  </si>
  <si>
    <t>IMMOBILIEN_BEMERKUNG</t>
  </si>
  <si>
    <t>real_estate_ownership_note</t>
  </si>
  <si>
    <t>STRING(500)</t>
  </si>
  <si>
    <t>Real Estate Ownership Note</t>
  </si>
  <si>
    <t>RELATION_CD</t>
  </si>
  <si>
    <t>rel_manager_cd</t>
  </si>
  <si>
    <t>Relationship Mgr.</t>
  </si>
  <si>
    <t>COUNTRY_OF_RISK_CD</t>
  </si>
  <si>
    <t>Country of Risk</t>
  </si>
  <si>
    <t>REGION_OF_RISK_CD</t>
  </si>
  <si>
    <t>risk_region_cd</t>
  </si>
  <si>
    <t>Private/Business Relation To</t>
  </si>
  <si>
    <t>salutation.cd</t>
  </si>
  <si>
    <t>VORSORGE_CD</t>
  </si>
  <si>
    <t>saving_plan_cd</t>
  </si>
  <si>
    <t>Savings Plan</t>
  </si>
  <si>
    <t>VORSORGE_BEMERKUNG</t>
  </si>
  <si>
    <t>saving_plan_note</t>
  </si>
  <si>
    <t>Savings Plan Note</t>
  </si>
  <si>
    <t>GES_STELLUNG_CD</t>
  </si>
  <si>
    <t>social_position_cd</t>
  </si>
  <si>
    <t>Social Position</t>
  </si>
  <si>
    <t>social_position_cd.cd</t>
  </si>
  <si>
    <t>SUBSTANCIAL_US_OWNERS_CD</t>
  </si>
  <si>
    <t>substancial_us_owners_cd</t>
  </si>
  <si>
    <t>SUBST_PRESENCE_TEST_EXPDATE</t>
  </si>
  <si>
    <t>subst_presence_test_expate</t>
  </si>
  <si>
    <t>NACHFOLGE_CD</t>
  </si>
  <si>
    <t>succession_plan_cd</t>
  </si>
  <si>
    <t>Succession Planing</t>
  </si>
  <si>
    <t>NACHFOLGE_BEMERKUNG</t>
  </si>
  <si>
    <t>succession_plan_note</t>
  </si>
  <si>
    <t>Succession Planing Note</t>
  </si>
  <si>
    <t>STEUERUNTERLAGEN_CD</t>
  </si>
  <si>
    <t>tax_docu_required</t>
  </si>
  <si>
    <t>Tax Documents required</t>
  </si>
  <si>
    <t>STEUERDOMIZIL</t>
  </si>
  <si>
    <t>tax_domic</t>
  </si>
  <si>
    <t>US Tax Domicile</t>
  </si>
  <si>
    <t>TAX_DOMICILE_CD</t>
  </si>
  <si>
    <t>tax_domic_cd</t>
  </si>
  <si>
    <t>Tax Domicile</t>
  </si>
  <si>
    <t>TAX_DOMICILE_REMARK</t>
  </si>
  <si>
    <t>tax_domic_note</t>
  </si>
  <si>
    <t>Differing Tax Domicile Remark</t>
  </si>
  <si>
    <t>TAX_DOMICILE_REVIEW_DATE</t>
  </si>
  <si>
    <t>tax_domic_review_date</t>
  </si>
  <si>
    <t>Review Date for Tax Domicile</t>
  </si>
  <si>
    <t>TAX_DOMICILE_FROM_DATE</t>
  </si>
  <si>
    <t>tax_domic_since</t>
  </si>
  <si>
    <t>Tax Domicile valid from</t>
  </si>
  <si>
    <t>TAX_DOMICILE_UNTIL_DATE</t>
  </si>
  <si>
    <t>tax_domic_until</t>
  </si>
  <si>
    <t>Tax Domicile valid until</t>
  </si>
  <si>
    <t>TAX_DOMICILE2_CD</t>
  </si>
  <si>
    <t>tax_domic2_cd</t>
  </si>
  <si>
    <t>Tax Domicile (2.)</t>
  </si>
  <si>
    <t>TAX_DOMICILE2_FROM_DATE</t>
  </si>
  <si>
    <t>tax_domic2_since</t>
  </si>
  <si>
    <t>Tax Domicile (2.) valid from</t>
  </si>
  <si>
    <t>TAX_DOMICILE2_UNTIL_DATE</t>
  </si>
  <si>
    <t>tax_domic2_until</t>
  </si>
  <si>
    <t>Tax Domicile (2.) valid until</t>
  </si>
  <si>
    <t>TAX_DOMICILE3_CD</t>
  </si>
  <si>
    <t>tax_domic3_cd</t>
  </si>
  <si>
    <t>Tax Domicile (3.)</t>
  </si>
  <si>
    <t>TAX_DOMICILE3_FROM_DATE</t>
  </si>
  <si>
    <t>tax_domic3_since</t>
  </si>
  <si>
    <t>Tax Domicile (3.) valid from</t>
  </si>
  <si>
    <t>TAX_DOMICILE3_UNTIL_DATE</t>
  </si>
  <si>
    <t>tax_domic3_until</t>
  </si>
  <si>
    <t>Tax Domicile (3.) valid until</t>
  </si>
  <si>
    <t>EU_TIN</t>
  </si>
  <si>
    <t>tax_id_no</t>
  </si>
  <si>
    <t>Tax Identification Number</t>
  </si>
  <si>
    <t>total_assets_cd</t>
  </si>
  <si>
    <t>asset_category.cd</t>
  </si>
  <si>
    <t>IS_TRUSTEE_PHYSICAL_CD</t>
  </si>
  <si>
    <t>trustee_is_phys_person</t>
  </si>
  <si>
    <t>Is trustee phisical person</t>
  </si>
  <si>
    <t>USTAX_COUNTRY_OF_RESIDENCE_CD</t>
  </si>
  <si>
    <t>us_tax_county_of_residence</t>
  </si>
  <si>
    <t>US TAX country of residence</t>
  </si>
  <si>
    <t>COUNTRY_OF_RESIDENCE_US.COUNTRY_OF_RESIDENCE_US_CD</t>
  </si>
  <si>
    <t>Values: 1, 2</t>
  </si>
  <si>
    <t>USWBASKET_CD</t>
  </si>
  <si>
    <t>usw_basket</t>
  </si>
  <si>
    <t>USW Basket</t>
  </si>
  <si>
    <t>usw_basket.cd</t>
  </si>
  <si>
    <t>Validation State</t>
  </si>
  <si>
    <t>WITH_UNL_LIABILITY_CD</t>
  </si>
  <si>
    <t>with_unl_liability</t>
  </si>
  <si>
    <t>With UNL liability</t>
  </si>
  <si>
    <t>ERTRAGSABHAENGIG_CD</t>
  </si>
  <si>
    <t>yield_dependent_cd</t>
  </si>
  <si>
    <t>Yield dependent</t>
  </si>
  <si>
    <t>Message: individual_general_classif</t>
  </si>
  <si>
    <t>Table: PARTNER_GENERAL_CLASSIFICATION</t>
  </si>
  <si>
    <t>GENERAL_CLASSIFICATION_CD</t>
  </si>
  <si>
    <t>GENERAL_CLASSIFICATION</t>
  </si>
  <si>
    <t>PARTNER_IS_TAX_BO_CD</t>
  </si>
  <si>
    <t>is_tax_bo</t>
  </si>
  <si>
    <t>Classified partner is BO</t>
  </si>
  <si>
    <t>SUITABLE_COMPANIES_CD</t>
  </si>
  <si>
    <t>suitable_companies</t>
  </si>
  <si>
    <t>Suitable for companies</t>
  </si>
  <si>
    <t>SUITABLE_NON_COMPANIES_CD</t>
  </si>
  <si>
    <t>suitable_non_companies</t>
  </si>
  <si>
    <t>Suitable for non companies</t>
  </si>
  <si>
    <t>SUITABLE_US_PERSONS_CD</t>
  </si>
  <si>
    <t>suitable_us_person</t>
  </si>
  <si>
    <t>Suitable for US persons</t>
  </si>
  <si>
    <t>Message: industr_sector</t>
  </si>
  <si>
    <t>Table: BRANCHE</t>
  </si>
  <si>
    <t>BRANCHE_LANG</t>
  </si>
  <si>
    <t>Nace Economical Sector</t>
  </si>
  <si>
    <t>BRANCHE_KURZ</t>
  </si>
  <si>
    <t>short_desc</t>
  </si>
  <si>
    <t>Shortcode</t>
  </si>
  <si>
    <t>Message: invest_goal</t>
  </si>
  <si>
    <t>Table: ANLAGESTRATEGIE</t>
  </si>
  <si>
    <t>ANLAGESTRATEGIE_CD</t>
  </si>
  <si>
    <t>ANLAGESTRATEGIE</t>
  </si>
  <si>
    <t>Investment Goal</t>
  </si>
  <si>
    <t>Message: irs_code</t>
  </si>
  <si>
    <t>Table: IRSCODE</t>
  </si>
  <si>
    <t>IRSCODE_CD</t>
  </si>
  <si>
    <t>IRSCODE</t>
  </si>
  <si>
    <t>Message: irs_rcpt_chap3</t>
  </si>
  <si>
    <t>Table: QI_IRS_RECIPIENT_CLASS</t>
  </si>
  <si>
    <t>QI_IRS_RECIPIENT_CLASS_CD</t>
  </si>
  <si>
    <t>QI_IRS_RECIPIENT_CLASS_DESC</t>
  </si>
  <si>
    <t>IRS QI Recipient Classification</t>
  </si>
  <si>
    <t>Message: irs_rcpt_chap4</t>
  </si>
  <si>
    <t>Table: FATCA_IRS_RECIPIENT_CLASS</t>
  </si>
  <si>
    <t>FATCA_IRS_RECIPIENT_CLASS_DESC</t>
  </si>
  <si>
    <t>Message: label_format</t>
  </si>
  <si>
    <t>Table: LABELFORMAT</t>
  </si>
  <si>
    <t>LABELFORMAT</t>
  </si>
  <si>
    <t>Message: language</t>
  </si>
  <si>
    <t>Table: SPRACHE</t>
  </si>
  <si>
    <t>SPRACHE</t>
  </si>
  <si>
    <t>HELPFILE</t>
  </si>
  <si>
    <t>help_file</t>
  </si>
  <si>
    <t>Helpfile</t>
  </si>
  <si>
    <t>BANKLAGERND</t>
  </si>
  <si>
    <t>hold_mail_text</t>
  </si>
  <si>
    <t>Hold Mail Text</t>
  </si>
  <si>
    <t>VERTRAGSPRACHE_CD</t>
  </si>
  <si>
    <t>is_contract_language</t>
  </si>
  <si>
    <t>is_correspondance_language</t>
  </si>
  <si>
    <t>Correspondance Language</t>
  </si>
  <si>
    <t>GUISPRACH_CD</t>
  </si>
  <si>
    <t>is_gui_language</t>
  </si>
  <si>
    <t>GUI Language</t>
  </si>
  <si>
    <t>SPRACHE_ISO_CD</t>
  </si>
  <si>
    <t>iso_cd</t>
  </si>
  <si>
    <t>ISO-Code</t>
  </si>
  <si>
    <t>Message: letter_salutation</t>
  </si>
  <si>
    <t>Table: BRIEFANREDE</t>
  </si>
  <si>
    <t>ANREDE</t>
  </si>
  <si>
    <t>Address for Letter</t>
  </si>
  <si>
    <t>Message: mailing_attachment</t>
  </si>
  <si>
    <t>Table: VERSANDATTACHMENT</t>
  </si>
  <si>
    <t>Mailing Attachment Id</t>
  </si>
  <si>
    <t>VERSANDATTACHMENT</t>
  </si>
  <si>
    <t>Description of Attachment</t>
  </si>
  <si>
    <t>ANLAGEVERFAELLT_CD</t>
  </si>
  <si>
    <t>expires_on_delivery</t>
  </si>
  <si>
    <t>Attachment expires at non delivery</t>
  </si>
  <si>
    <t>FILENAME</t>
  </si>
  <si>
    <t>file_name</t>
  </si>
  <si>
    <t>Filename</t>
  </si>
  <si>
    <t>ANLAGEALSFILE_CD</t>
  </si>
  <si>
    <t>is_file_available</t>
  </si>
  <si>
    <t>Attachment is available as file</t>
  </si>
  <si>
    <t>LOBTYPE</t>
  </si>
  <si>
    <t>lob_type</t>
  </si>
  <si>
    <t>Lobtype</t>
  </si>
  <si>
    <t>Outputtype</t>
  </si>
  <si>
    <t>VERFALLSDATUM</t>
  </si>
  <si>
    <t>Message: mailing_business_unit1</t>
  </si>
  <si>
    <t>Table: MAILING_BUSINESS_UNIT1</t>
  </si>
  <si>
    <t>PP_TEXT</t>
  </si>
  <si>
    <t>pp_text</t>
  </si>
  <si>
    <t>PP Text</t>
  </si>
  <si>
    <t>Message: mailing_destination</t>
  </si>
  <si>
    <t>Table: MAILING_DESTINATION</t>
  </si>
  <si>
    <t>DESTINATION_TEXT</t>
  </si>
  <si>
    <t>Text</t>
  </si>
  <si>
    <t>Message: mailing_freq</t>
  </si>
  <si>
    <t>Table: VERSHAEUFIG</t>
  </si>
  <si>
    <t>VERSHAEUFIG_CD</t>
  </si>
  <si>
    <t>VERSHAEUFIG</t>
  </si>
  <si>
    <t>Mailing Periodicity</t>
  </si>
  <si>
    <t>Message: mailing_instruction</t>
  </si>
  <si>
    <t>Table: VERSANDINSTR</t>
  </si>
  <si>
    <t>VERSANDINSTRUKTIONID</t>
  </si>
  <si>
    <t>Mailing InstructionsID</t>
  </si>
  <si>
    <t>Address-No.</t>
  </si>
  <si>
    <t>BUSINESS_UNIT1_CD</t>
  </si>
  <si>
    <t>business_unit1_cd</t>
  </si>
  <si>
    <t>Business Unit 1</t>
  </si>
  <si>
    <t>mailing_business_unit1.cd</t>
  </si>
  <si>
    <t>communication_id</t>
  </si>
  <si>
    <t>Communication-No.</t>
  </si>
  <si>
    <t>Mailing Instruction Opened on</t>
  </si>
  <si>
    <t>Mailing Instruction Opened by</t>
  </si>
  <si>
    <t>dest_cd</t>
  </si>
  <si>
    <t>destination.cd</t>
  </si>
  <si>
    <t>format_cd</t>
  </si>
  <si>
    <t>format.cd</t>
  </si>
  <si>
    <t>gen_period_cd</t>
  </si>
  <si>
    <t>gen_period.cd</t>
  </si>
  <si>
    <t>mailing_freq_cd</t>
  </si>
  <si>
    <t>mailing_freq.cd</t>
  </si>
  <si>
    <t>Mailing Instruction Modified on</t>
  </si>
  <si>
    <t>Mailing Instruction Modified by</t>
  </si>
  <si>
    <t>output_subtype_cd</t>
  </si>
  <si>
    <t>PROZENTSATZ</t>
  </si>
  <si>
    <t>percent</t>
  </si>
  <si>
    <t>Percentage</t>
  </si>
  <si>
    <t>PACKAGE_RULE_CD</t>
  </si>
  <si>
    <t>pkg_rule_cd</t>
  </si>
  <si>
    <t>Packaging Rule</t>
  </si>
  <si>
    <t>mailing_package_rule.cd</t>
  </si>
  <si>
    <t>ANZEIGEART_CD</t>
  </si>
  <si>
    <t>reprod_type_cd</t>
  </si>
  <si>
    <t>Original/Duplicates</t>
  </si>
  <si>
    <t>reprod_type.cd</t>
  </si>
  <si>
    <t>Special instruction</t>
  </si>
  <si>
    <t>GUELTIGAB</t>
  </si>
  <si>
    <t>Message: mailing_package_rule</t>
  </si>
  <si>
    <t>Table: MAILING_PACKAGE_RULE</t>
  </si>
  <si>
    <t>RULE_CD</t>
  </si>
  <si>
    <t>ENVEL_MACHINE_CD</t>
  </si>
  <si>
    <t>envelop_machine</t>
  </si>
  <si>
    <t>Enveloping Machine (J/N)</t>
  </si>
  <si>
    <t>BARCODE_CD</t>
  </si>
  <si>
    <t>print_barcode</t>
  </si>
  <si>
    <t>Print Barcode (J/N)</t>
  </si>
  <si>
    <t>PRINTER_CD</t>
  </si>
  <si>
    <t>printer_mapping_cd</t>
  </si>
  <si>
    <t>Default Printer</t>
  </si>
  <si>
    <t>printer_mapping.cd</t>
  </si>
  <si>
    <t>PRIORITY_CD</t>
  </si>
  <si>
    <t>priority</t>
  </si>
  <si>
    <t>Priority</t>
  </si>
  <si>
    <t>Message: mailing_printer</t>
  </si>
  <si>
    <t>Table: VERSANDDRUCKER</t>
  </si>
  <si>
    <t>VERSANDDRUCKER_CD</t>
  </si>
  <si>
    <t>Apsys Code</t>
  </si>
  <si>
    <t>VERSANDDRUCKER</t>
  </si>
  <si>
    <t>Printer</t>
  </si>
  <si>
    <t>Message: mailing_prio</t>
  </si>
  <si>
    <t>Table: VERSANDPRIORITAET</t>
  </si>
  <si>
    <t>VERSANDPRIORITAET</t>
  </si>
  <si>
    <t>PRIORITAET</t>
  </si>
  <si>
    <t>Message: mailing_tariff_type</t>
  </si>
  <si>
    <t>Table: MAILING_TARIF_TYPE</t>
  </si>
  <si>
    <t>Message: martial_status</t>
  </si>
  <si>
    <t>Table: ZIVILSTAND</t>
  </si>
  <si>
    <t>ZIVILSTAND</t>
  </si>
  <si>
    <t>Civil State</t>
  </si>
  <si>
    <t>Message: mgmt_type</t>
  </si>
  <si>
    <t>Table: MANAGEMENTTYP</t>
  </si>
  <si>
    <t>MANAGEMENTTYP_CD</t>
  </si>
  <si>
    <t>MANAGEMENTTYP</t>
  </si>
  <si>
    <t>Management Type</t>
  </si>
  <si>
    <t>DEF_APSYS_CDCTGPTFIVSTAUTOS</t>
  </si>
  <si>
    <t>dflt_auth_invest_portfolio_cat_cd</t>
  </si>
  <si>
    <t>Default Authorized Invest. Portfolio Category (INA)</t>
  </si>
  <si>
    <t>Message: noga_code</t>
  </si>
  <si>
    <t>Table: NOGACODE_NGATBL_APSYS</t>
  </si>
  <si>
    <t>CDNOGAS</t>
  </si>
  <si>
    <t>Code (CDNOGAS)</t>
  </si>
  <si>
    <t>BESCHREIBUNG</t>
  </si>
  <si>
    <t>Message: output_sub_type</t>
  </si>
  <si>
    <t>Table: BELEGART</t>
  </si>
  <si>
    <t>IDREPS</t>
  </si>
  <si>
    <t>DISCHARGEORDER_CD</t>
  </si>
  <si>
    <t>discharge_order</t>
  </si>
  <si>
    <t>Telephone Discharge Order Receipt</t>
  </si>
  <si>
    <t>ENTLASTUNGBESTAETIGUNG_CD</t>
  </si>
  <si>
    <t>hold_mail_receipt</t>
  </si>
  <si>
    <t>Hold Mail Receipt</t>
  </si>
  <si>
    <t>Individual Level</t>
  </si>
  <si>
    <t>mask_required</t>
  </si>
  <si>
    <t>MANAGED_IN_APSYS_CD</t>
  </si>
  <si>
    <t>output_frey_required</t>
  </si>
  <si>
    <t>Output Frequency required</t>
  </si>
  <si>
    <t>PORTFOLIO_EBENE_CD</t>
  </si>
  <si>
    <t>Portfolio Level</t>
  </si>
  <si>
    <t>PRINT_ON_SUMMARY_HOLDMAIL_CD</t>
  </si>
  <si>
    <t>print_on_summary_hold_mail</t>
  </si>
  <si>
    <t>Print on summary hold mail</t>
  </si>
  <si>
    <t>SCHLIESSFACH_EBENE_CD</t>
  </si>
  <si>
    <t>Safe Level</t>
  </si>
  <si>
    <t>scanned_output_sub_type_cd</t>
  </si>
  <si>
    <t>Output Subtype scanned</t>
  </si>
  <si>
    <t>TAX_STATEMENT_COUNTRY_REQUIRED</t>
  </si>
  <si>
    <t>tax_stmt_country_required</t>
  </si>
  <si>
    <t>Tax statement country required</t>
  </si>
  <si>
    <t>VISIT_REPORT_CD</t>
  </si>
  <si>
    <t>visit_report</t>
  </si>
  <si>
    <t>Visit Report</t>
  </si>
  <si>
    <t>FROMDATE_CD</t>
  </si>
  <si>
    <t>with_from_date</t>
  </si>
  <si>
    <t>With From Date</t>
  </si>
  <si>
    <t>TODATE_CD</t>
  </si>
  <si>
    <t>with_to_date</t>
  </si>
  <si>
    <t>With To Date</t>
  </si>
  <si>
    <t>Message: output_type</t>
  </si>
  <si>
    <t>Table: BELEGGRUPPE</t>
  </si>
  <si>
    <t>IDLSTS</t>
  </si>
  <si>
    <t>apsys_idlsts</t>
  </si>
  <si>
    <t>Apsys IdLsts</t>
  </si>
  <si>
    <t>SCAN_CD</t>
  </si>
  <si>
    <t>is_scan_output_type</t>
  </si>
  <si>
    <t>Scanning Beleggruppe</t>
  </si>
  <si>
    <t>BELEGART_ERFORDERLICH_CD</t>
  </si>
  <si>
    <t>output_sub_type_required</t>
  </si>
  <si>
    <t>Output Subtype mandatory</t>
  </si>
  <si>
    <t>SORTIERREIHENFOLGE</t>
  </si>
  <si>
    <t>Sort order</t>
  </si>
  <si>
    <t>Message: ownership_structure_apsys</t>
  </si>
  <si>
    <t>Table: OWNERSHIPSTRUCTURE_APSYS</t>
  </si>
  <si>
    <t>OWNERSHIPSTRUCTURE_CD</t>
  </si>
  <si>
    <t>OWNERSHIPSTRUCTURE</t>
  </si>
  <si>
    <t>Message: policy</t>
  </si>
  <si>
    <t>Table: POLITIK_APSYS</t>
  </si>
  <si>
    <t>POLITIK_CD</t>
  </si>
  <si>
    <t>POLITIK</t>
  </si>
  <si>
    <t>Message: portfolio</t>
  </si>
  <si>
    <t>Table: PORTFOLIO</t>
  </si>
  <si>
    <t>ANTRAGSORT</t>
  </si>
  <si>
    <t>aaplicat_place</t>
  </si>
  <si>
    <t>STRING(35)</t>
  </si>
  <si>
    <t>Place of Application</t>
  </si>
  <si>
    <t>APSYS_CDCTGPTFALGCPTS</t>
  </si>
  <si>
    <t>acc_algorithm</t>
  </si>
  <si>
    <t>Account Algorithm (ATA)</t>
  </si>
  <si>
    <t>RUBRIK1</t>
  </si>
  <si>
    <t>acc_cat1</t>
  </si>
  <si>
    <t>Category Account No. 1</t>
  </si>
  <si>
    <t>RUBRIK2</t>
  </si>
  <si>
    <t>acc_cat2</t>
  </si>
  <si>
    <t>Category Account No. 2</t>
  </si>
  <si>
    <t>RUBRIK3</t>
  </si>
  <si>
    <t>acc_cat3</t>
  </si>
  <si>
    <t>Category Account No. 3</t>
  </si>
  <si>
    <t>APSYS_CDCTGPTFCOMAGTCPTS</t>
  </si>
  <si>
    <t>acc_commission</t>
  </si>
  <si>
    <t>MANAGER1_CD</t>
  </si>
  <si>
    <t>acc_manager1_cd</t>
  </si>
  <si>
    <t>Acc. Manager 1</t>
  </si>
  <si>
    <t>MANAGER2_CD</t>
  </si>
  <si>
    <t>acc_manager2_cd</t>
  </si>
  <si>
    <t>Acc. Manager 2</t>
  </si>
  <si>
    <t>MANAGER3_CD</t>
  </si>
  <si>
    <t>acc_manager3_cd</t>
  </si>
  <si>
    <t>Acc. Manager 3</t>
  </si>
  <si>
    <t>MANAGER4_CD</t>
  </si>
  <si>
    <t>acc_manager4_cd</t>
  </si>
  <si>
    <t>Acc. Manager 4</t>
  </si>
  <si>
    <t>MANAGER5_CD</t>
  </si>
  <si>
    <t>acc_manager5_cd</t>
  </si>
  <si>
    <t>Acc. Manager 5</t>
  </si>
  <si>
    <t>APSYS_CDCTGPTFGRECPTS</t>
  </si>
  <si>
    <t>acc_mgmt</t>
  </si>
  <si>
    <t>KONTONUMMER1</t>
  </si>
  <si>
    <t>acc_no1</t>
  </si>
  <si>
    <t>Account No. 1</t>
  </si>
  <si>
    <t>KONTONUMMER2</t>
  </si>
  <si>
    <t>acc_no2</t>
  </si>
  <si>
    <t>Account No. 2</t>
  </si>
  <si>
    <t>KONTONUMMER3</t>
  </si>
  <si>
    <t>acc_no3</t>
  </si>
  <si>
    <t>Account No. 3</t>
  </si>
  <si>
    <t>INFOVOLLMACHT</t>
  </si>
  <si>
    <t>additional_info</t>
  </si>
  <si>
    <t>Additional Information</t>
  </si>
  <si>
    <t>VERWALTUNGSMODUS_CD</t>
  </si>
  <si>
    <t>admin_mode_cd</t>
  </si>
  <si>
    <t>Administration Mode</t>
  </si>
  <si>
    <t>portfolio_admin_mode.cd</t>
  </si>
  <si>
    <t>AEOI_CONSISTENCY_STATUS_CD</t>
  </si>
  <si>
    <t>aeoi_consistency_status_cd</t>
  </si>
  <si>
    <t>AEoI Consistency Status</t>
  </si>
  <si>
    <t>AEOI_CONSISTENCY_STATUS.STATUS_CD</t>
  </si>
  <si>
    <t>Values: O, I</t>
  </si>
  <si>
    <t>AEOI_EXEMPTION_CD</t>
  </si>
  <si>
    <t>AEoI Exemption</t>
  </si>
  <si>
    <t>AEOI_FINAL_STATUS_CD</t>
  </si>
  <si>
    <t>aeoi_final_status_cd</t>
  </si>
  <si>
    <t>AEoI Final Status</t>
  </si>
  <si>
    <t>AEOI_REPORTABLE_STATUS.STATUS_CD</t>
  </si>
  <si>
    <t>AEOI_REVIEW_DATE</t>
  </si>
  <si>
    <t>aeoi_review_date</t>
  </si>
  <si>
    <t>AEoI Review Date</t>
  </si>
  <si>
    <t>AEOI_SUB_EXEMPTION_CD</t>
  </si>
  <si>
    <t>aeoi_sub_exemption_cd</t>
  </si>
  <si>
    <t>AEoI Sub Exemption</t>
  </si>
  <si>
    <t>aeoi_sub_exemption.cd</t>
  </si>
  <si>
    <t>VERMITTLER_CD</t>
  </si>
  <si>
    <t>agent</t>
  </si>
  <si>
    <t>GELDVONKONTOINHABER_CD</t>
  </si>
  <si>
    <t>ah_eq_bo_cd</t>
  </si>
  <si>
    <t>Account Holder is AML BO</t>
  </si>
  <si>
    <t>ANTRAGSDATUM</t>
  </si>
  <si>
    <t>applicat_date</t>
  </si>
  <si>
    <t>Date of Application</t>
  </si>
  <si>
    <t>APSYS_FLAGIRSNONACTIFI</t>
  </si>
  <si>
    <t>apsys_dormant_cd</t>
  </si>
  <si>
    <t>Dormant portfolio</t>
  </si>
  <si>
    <t>APSYS_CRITEREUSFATCASTATL</t>
  </si>
  <si>
    <t>apsys_fatca_hit</t>
  </si>
  <si>
    <t>Apsys FatcaHit</t>
  </si>
  <si>
    <t>apsys_long_desc</t>
  </si>
  <si>
    <t>Long Description (Apsys)</t>
  </si>
  <si>
    <t>APSYS_TYPMDCS</t>
  </si>
  <si>
    <t>apsys_ownership_stuct</t>
  </si>
  <si>
    <t>Ownership Structure</t>
  </si>
  <si>
    <t>ownership_structure_apsys.cd</t>
  </si>
  <si>
    <t>APSYS_TYPPTFS</t>
  </si>
  <si>
    <t>apsys_portfolio_type</t>
  </si>
  <si>
    <t>Apsys Portfolio Type</t>
  </si>
  <si>
    <t>portfolio_type_apsys.cd</t>
  </si>
  <si>
    <t>APSYS_CDPCTPARTICTITUEUTAXC</t>
  </si>
  <si>
    <t>apsys_portioning_joint_holder</t>
  </si>
  <si>
    <t>Apsys Portioning of joint holders</t>
  </si>
  <si>
    <t>EU_TAX_VERTEILUNG.EU_TAX_VERTEILUNG_CD</t>
  </si>
  <si>
    <t>Values: A, M, N</t>
  </si>
  <si>
    <t>APSYS_SHLIBPTFS</t>
  </si>
  <si>
    <t>apsys_short_desc</t>
  </si>
  <si>
    <t>Short Description</t>
  </si>
  <si>
    <t>APSYS_POSOSTMANAGC</t>
  </si>
  <si>
    <t>apysy_pos_ca_manager</t>
  </si>
  <si>
    <t>Position CA Manager</t>
  </si>
  <si>
    <t>POSITION_CA_MANAGER.POSITION_CA_MANAGER_POSITION_C</t>
  </si>
  <si>
    <t>APSYS_CDCTGPTFIVSTAUTOS</t>
  </si>
  <si>
    <t>auth_invest_portfolio_cat</t>
  </si>
  <si>
    <t>Authorized Invest. Portfolio Category (INA)</t>
  </si>
  <si>
    <t>AUTOMATISCHE_VERTEILUNG_CD</t>
  </si>
  <si>
    <t>auto_portioning_cd</t>
  </si>
  <si>
    <t>Automatic Portioning of Tax BO</t>
  </si>
  <si>
    <t>APSYS_CDFACBOLC</t>
  </si>
  <si>
    <t>bollo_invoiced</t>
  </si>
  <si>
    <t>Bollo Invoiced</t>
  </si>
  <si>
    <t>WB_IST_NICHT_ZWINGEND_CD</t>
  </si>
  <si>
    <t>bo_not_mandatory_cd</t>
  </si>
  <si>
    <t>BO ist not a known Person</t>
  </si>
  <si>
    <t>FILIAL_CD</t>
  </si>
  <si>
    <t>APSYS_CDCTGPTFSBXPS</t>
  </si>
  <si>
    <t>bxp_cat</t>
  </si>
  <si>
    <t>APSYS_FLAGFORCEPOSOSTMANAGI</t>
  </si>
  <si>
    <t>ca_manager</t>
  </si>
  <si>
    <t>CA Manager</t>
  </si>
  <si>
    <t>RUBRIK</t>
  </si>
  <si>
    <t>cat</t>
  </si>
  <si>
    <t>APSYS_FLAGSIMSI</t>
  </si>
  <si>
    <t>central_mgmt</t>
  </si>
  <si>
    <t>Centralized Management</t>
  </si>
  <si>
    <t>client_category_dflt_code.cd</t>
  </si>
  <si>
    <t>APSYS_CDMOTIFCLOS</t>
  </si>
  <si>
    <t>close_reason_cd</t>
  </si>
  <si>
    <t>Reason for Closing</t>
  </si>
  <si>
    <t>portfolio_close_reason.cd</t>
  </si>
  <si>
    <t>APSYS_DTEVALCLOL</t>
  </si>
  <si>
    <t>close_valuation_date</t>
  </si>
  <si>
    <t>Valuation Date for Closing</t>
  </si>
  <si>
    <t>company_managed_by_bo</t>
  </si>
  <si>
    <t>Company is managed by BO</t>
  </si>
  <si>
    <t>KONTAKT</t>
  </si>
  <si>
    <t>APSYS_CDFATCASTATCALCLOCC</t>
  </si>
  <si>
    <t>core_banking_fatca_status_recommend</t>
  </si>
  <si>
    <t>Core Banking Recommended FATCA Status</t>
  </si>
  <si>
    <t>FATCA_LOC_REC_STATUS.STATUS_CD</t>
  </si>
  <si>
    <t>Values: U, N</t>
  </si>
  <si>
    <t>APSYS_CDCTGPTFCOUS</t>
  </si>
  <si>
    <t>coupon</t>
  </si>
  <si>
    <t>APSYS_CDFATCASTATCALCCRMC</t>
  </si>
  <si>
    <t>crm_fatca_status_recommend</t>
  </si>
  <si>
    <t>CRM Recommended FATCA Status</t>
  </si>
  <si>
    <t>FATCA_CRM_REC_STATUS.STATUS_CD</t>
  </si>
  <si>
    <t>Ref. Currency</t>
  </si>
  <si>
    <t>APSYS_CDEANGRMTCLI1S</t>
  </si>
  <si>
    <t>customer_class1</t>
  </si>
  <si>
    <t>Customer Class 1</t>
  </si>
  <si>
    <t>apsys_customer_class1.cd</t>
  </si>
  <si>
    <t>APSYS_CDEANGRMTCLI2S</t>
  </si>
  <si>
    <t>customer_class2</t>
  </si>
  <si>
    <t>Customer Class 2</t>
  </si>
  <si>
    <t>APSYS_CDCTGPTFTRSFTITS</t>
  </si>
  <si>
    <t>deposit_withdrawal</t>
  </si>
  <si>
    <t>Portfolio Description</t>
  </si>
  <si>
    <t>APSYS_CDCTGPTFSDOCS</t>
  </si>
  <si>
    <t>doc_order_check</t>
  </si>
  <si>
    <t>MISDOMIZIL_CD</t>
  </si>
  <si>
    <t>domic_cd</t>
  </si>
  <si>
    <t>Domicile</t>
  </si>
  <si>
    <t>DORMANT_ACCOUNT_CD</t>
  </si>
  <si>
    <t>dormant_cd</t>
  </si>
  <si>
    <t>Dormant Account</t>
  </si>
  <si>
    <t>FATCA_BASKET_CD</t>
  </si>
  <si>
    <t>fatca_basket_cd</t>
  </si>
  <si>
    <t>FATCA Portfolio Basket</t>
  </si>
  <si>
    <t>fatca_basket.cd</t>
  </si>
  <si>
    <t>APSYS_IDFATCACLAS</t>
  </si>
  <si>
    <t>fatca_classif</t>
  </si>
  <si>
    <t>FATCA Classification</t>
  </si>
  <si>
    <t>APSYS_CDFATCASTATC</t>
  </si>
  <si>
    <t>fatca_status</t>
  </si>
  <si>
    <t>FATCA Status</t>
  </si>
  <si>
    <t>fatca_status.cd</t>
  </si>
  <si>
    <t>APSYS_COMMENTFATCASTATS</t>
  </si>
  <si>
    <t>fatca_status_comment</t>
  </si>
  <si>
    <t>Comment on FATCA Status</t>
  </si>
  <si>
    <t>APSYS_CDFATCAMOTIFPARTS</t>
  </si>
  <si>
    <t>fatca_status_reason</t>
  </si>
  <si>
    <t>FATCA Reason for Status</t>
  </si>
  <si>
    <t>fatca_status_reason.cd</t>
  </si>
  <si>
    <t>APSYS_CDVALIDSTATC</t>
  </si>
  <si>
    <t>fatca_status_valid_cd</t>
  </si>
  <si>
    <t>FATCA Status Validation</t>
  </si>
  <si>
    <t>FATCA_VALIDATION_CODE.CODE_CD</t>
  </si>
  <si>
    <t>Values: P, T, V</t>
  </si>
  <si>
    <t>APSYS_CDFATCATYPC</t>
  </si>
  <si>
    <t>fatca_type</t>
  </si>
  <si>
    <t>FATCA Type</t>
  </si>
  <si>
    <t>FATCA_TYPE.TYPE_CD</t>
  </si>
  <si>
    <t>Values: I, E</t>
  </si>
  <si>
    <t>APSYS_DTVALIDFATCASTATL</t>
  </si>
  <si>
    <t>fatca_valid_date</t>
  </si>
  <si>
    <t>FATCA Validation Date</t>
  </si>
  <si>
    <t>APSYS_HRVALIDFATCASTATL</t>
  </si>
  <si>
    <t>fatca_valid_time</t>
  </si>
  <si>
    <t>TIME</t>
  </si>
  <si>
    <t>FATCA Validation Time</t>
  </si>
  <si>
    <t>APSYS_USERVALIDFATCASTATS</t>
  </si>
  <si>
    <t>fatca_valid_user</t>
  </si>
  <si>
    <t>FATCA Validated by</t>
  </si>
  <si>
    <t>APSYS_CDRNVSTMC</t>
  </si>
  <si>
    <t>fiduciary_renewal</t>
  </si>
  <si>
    <t>Fiduciary Renewal</t>
  </si>
  <si>
    <t>CDRNVSTMC.CDRNVSTMC_CD</t>
  </si>
  <si>
    <t>Values: N, E, I, D, F, G, P</t>
  </si>
  <si>
    <t>APSYS_CDCTGPTFMAFS</t>
  </si>
  <si>
    <t>forex_spread</t>
  </si>
  <si>
    <t>APSYS_CDFATCASTATCALCGLOBC</t>
  </si>
  <si>
    <t>global_fatca_status_recommend</t>
  </si>
  <si>
    <t>Global Recommended FATCA Status</t>
  </si>
  <si>
    <t>FATCA_GLO_REC_STATUS.STATUS_CD</t>
  </si>
  <si>
    <t>BANKLAGERND_CD</t>
  </si>
  <si>
    <t>hold_mail_cd</t>
  </si>
  <si>
    <t>Hold Mail</t>
  </si>
  <si>
    <t>APSYS_CDCTGPTFINTS</t>
  </si>
  <si>
    <t>interest</t>
  </si>
  <si>
    <t>invest_goal</t>
  </si>
  <si>
    <t>invest_goal.cd</t>
  </si>
  <si>
    <t>APSYS_CDCTGPTFTYPPLACS</t>
  </si>
  <si>
    <t>invest_type_accounting</t>
  </si>
  <si>
    <t>APSYS_CDBQERESTC</t>
  </si>
  <si>
    <t>is_hold_mail</t>
  </si>
  <si>
    <t>GEMEINSCHAFTSKONTO_CD</t>
  </si>
  <si>
    <t>is_joint_acco_cd</t>
  </si>
  <si>
    <t>Joint Account</t>
  </si>
  <si>
    <t>APSYS_IDENTFORJURS</t>
  </si>
  <si>
    <t>jurisdict_entity</t>
  </si>
  <si>
    <t>Entity for Jurisdiction</t>
  </si>
  <si>
    <t>APSYS_IDSTRUCFORJURS</t>
  </si>
  <si>
    <t>jurisdict_struct</t>
  </si>
  <si>
    <t>Structure for Jurisdiction</t>
  </si>
  <si>
    <t>APSYS_CDMETHCLOC</t>
  </si>
  <si>
    <t>lot_close_method</t>
  </si>
  <si>
    <t>Lot Closing Method</t>
  </si>
  <si>
    <t>LOT_CLOSING_METHOD.LOT_CLOSING_METHOD_CD</t>
  </si>
  <si>
    <t>Values: X, D, F, L</t>
  </si>
  <si>
    <t>VERSANDHAEUFIG_CD</t>
  </si>
  <si>
    <t>mailing_period_cd</t>
  </si>
  <si>
    <t>Manually</t>
  </si>
  <si>
    <t>mgmt_type_cd</t>
  </si>
  <si>
    <t>mgmt_type.cd</t>
  </si>
  <si>
    <t>APSYS_CDCTGPTFSTMS</t>
  </si>
  <si>
    <t>money_market</t>
  </si>
  <si>
    <t>APSYS_CDCTRNETTC553C</t>
  </si>
  <si>
    <t>netting_contract_cd</t>
  </si>
  <si>
    <t>Netting contract code C553</t>
  </si>
  <si>
    <t>NETTINGVERTRAG.NETTINGVERTRAG_CD</t>
  </si>
  <si>
    <t>Values: 0, 1, 2, 3, 4, 5, 6</t>
  </si>
  <si>
    <t>NR_OF_BO_IN_WHT_STATEMENT</t>
  </si>
  <si>
    <t>no_of_bo_in_wht_stmt</t>
  </si>
  <si>
    <t>NO_TRADING_US_SECURITIES_CD</t>
  </si>
  <si>
    <t>no_us_securities_trade</t>
  </si>
  <si>
    <t>No trading US securities</t>
  </si>
  <si>
    <t>KTOE_AML_PROFIL_CD</t>
  </si>
  <si>
    <t>open_aml_profile_cd</t>
  </si>
  <si>
    <t>Opening with AML Profile</t>
  </si>
  <si>
    <t>OPENING_DOCUMENTS_PROPOSED_CD</t>
  </si>
  <si>
    <t>open_doc_prev_proposed_cd</t>
  </si>
  <si>
    <t>Documents already proposed once</t>
  </si>
  <si>
    <t>APSYS_CDCTGPTFROUTORDS</t>
  </si>
  <si>
    <t>order_routing</t>
  </si>
  <si>
    <t>ANDEREPOSTADRESSE_CD</t>
  </si>
  <si>
    <t>oth_mail_addr</t>
  </si>
  <si>
    <t>Different Mailing Address</t>
  </si>
  <si>
    <t>policy_cd</t>
  </si>
  <si>
    <t>PORTFOLIO_SEGR_ACCOUNT_CD</t>
  </si>
  <si>
    <t>portfolio_seqr_acc_cd</t>
  </si>
  <si>
    <t>PO_EU_TAX_PROZENT</t>
  </si>
  <si>
    <t>principal_owner_share_percent</t>
  </si>
  <si>
    <t>Sharing % (Principal Owner)</t>
  </si>
  <si>
    <t>ERTRAEGNISAUF_CD</t>
  </si>
  <si>
    <t>profi_loss_stmt_cd</t>
  </si>
  <si>
    <t>Profit and Loss Statement</t>
  </si>
  <si>
    <t>APSYS_CDRGLPRLGC</t>
  </si>
  <si>
    <t>prolong_interest</t>
  </si>
  <si>
    <t>Interest paid for Prolongation</t>
  </si>
  <si>
    <t>CDRGLPRLGC.CDRGLPRLGC_CD</t>
  </si>
  <si>
    <t>Values: N, Y, C</t>
  </si>
  <si>
    <t>APSYS_CDTYPREPORTQIC</t>
  </si>
  <si>
    <t>qi_reporting</t>
  </si>
  <si>
    <t>QI Reporting</t>
  </si>
  <si>
    <t>REPORTING_QI_APSYS.REPORTING_QI_CD</t>
  </si>
  <si>
    <t>Values: D, I, U</t>
  </si>
  <si>
    <t>APSYS_CDSTATDUSC</t>
  </si>
  <si>
    <t>qi_status_cd</t>
  </si>
  <si>
    <t>QI Status</t>
  </si>
  <si>
    <t>QI_STATUS_CODE.QI_STATUS_CODE_CD</t>
  </si>
  <si>
    <t>Values: Y, N, I</t>
  </si>
  <si>
    <t>APSYS_CDCTGPTFRISKS</t>
  </si>
  <si>
    <t>risk_limits</t>
  </si>
  <si>
    <t>Risks Limits (RIS)</t>
  </si>
  <si>
    <t>SPEZIALINSTRUKTION</t>
  </si>
  <si>
    <t>STRING(512)</t>
  </si>
  <si>
    <t>Special Instructions</t>
  </si>
  <si>
    <t>APSYS_FLAGIRSREPPARTC</t>
  </si>
  <si>
    <t>spec_irs_reporting</t>
  </si>
  <si>
    <t>Specific IRS Reporting</t>
  </si>
  <si>
    <t>statu_cd</t>
  </si>
  <si>
    <t>APSYS_DTFINPARTL</t>
  </si>
  <si>
    <t>status_cd_end_date</t>
  </si>
  <si>
    <t>End Date for Status Code</t>
  </si>
  <si>
    <t>APSYS_DTDEBPARTL</t>
  </si>
  <si>
    <t>status_code_start_date</t>
  </si>
  <si>
    <t>Start Date for Status Code</t>
  </si>
  <si>
    <t>APSYS_CDCTGPTFSTES</t>
  </si>
  <si>
    <t>stock_exchange</t>
  </si>
  <si>
    <t>APSYS_CDCTGPTFSTEBRUTNETS</t>
  </si>
  <si>
    <t>stock_exchange_price</t>
  </si>
  <si>
    <t>struct_id</t>
  </si>
  <si>
    <t>Identifier of Structure Element</t>
  </si>
  <si>
    <t>APSYS_FLAGTYPTRFPOLC</t>
  </si>
  <si>
    <t>tariff_policiy_type_cd</t>
  </si>
  <si>
    <t>Type of Tariff Policy</t>
  </si>
  <si>
    <t>tariff_policiy_type.cd</t>
  </si>
  <si>
    <t>APSYS_IDTRFPOLS</t>
  </si>
  <si>
    <t>tariff_policy_cd</t>
  </si>
  <si>
    <t>Tariff Policy Code</t>
  </si>
  <si>
    <t>tariff_policy.cd</t>
  </si>
  <si>
    <t>APSYS_CDCTGPTFTAXINTS</t>
  </si>
  <si>
    <t>tax_interest</t>
  </si>
  <si>
    <t>APSYS_CDCTGPTFTRCS</t>
  </si>
  <si>
    <t>trasnfer</t>
  </si>
  <si>
    <t>Is trustee a physical person</t>
  </si>
  <si>
    <t>PORTFOLIOTYP_CD</t>
  </si>
  <si>
    <t>Portfolio Type</t>
  </si>
  <si>
    <t>PORTFOLIOTYP.PORTFOLIOTYP_CD</t>
  </si>
  <si>
    <t>Values: C, L, N, I, G</t>
  </si>
  <si>
    <t>UNDOCUMENTED_ACCOUNT_CD</t>
  </si>
  <si>
    <t>undocummented_acc_cd</t>
  </si>
  <si>
    <t>Undocumented Account</t>
  </si>
  <si>
    <t>IN_APSYS_TEMP_ENTSPERREN_CD</t>
  </si>
  <si>
    <t>unlock_block</t>
  </si>
  <si>
    <t>Temporarily Unlock Blocking Code in Apsys</t>
  </si>
  <si>
    <t>IN_APSYS_TEMP_ENTSP_DATUM</t>
  </si>
  <si>
    <t>unlock_block_date</t>
  </si>
  <si>
    <t>Unlock Blocking Code on</t>
  </si>
  <si>
    <t>IN_APSYS_TEMP_ENTSP_USERID</t>
  </si>
  <si>
    <t>unlock_block_user</t>
  </si>
  <si>
    <t>Unlock Blocking Code User</t>
  </si>
  <si>
    <t>usw_basket_cd</t>
  </si>
  <si>
    <t>US_WHT_START_DATE</t>
  </si>
  <si>
    <t>us_wht_start_date</t>
  </si>
  <si>
    <t>US WHT start date</t>
  </si>
  <si>
    <t>PARTNER_WITH_UNL_LIABILITY_CD</t>
  </si>
  <si>
    <t>with_unl_liab</t>
  </si>
  <si>
    <t>Partner with UNL liability</t>
  </si>
  <si>
    <t>Message: portfolio_admin_mode</t>
  </si>
  <si>
    <t>Table: VERWALTUNGSMODUS</t>
  </si>
  <si>
    <t>VERWALTUNGSMODUS</t>
  </si>
  <si>
    <t>Message: portfolio_close_reason</t>
  </si>
  <si>
    <t>Table: SALDIERUNGSGRUND_TBLCLO_APSYS</t>
  </si>
  <si>
    <t>CDMOTIFCLOS</t>
  </si>
  <si>
    <t>SALDIERUNGSGRUND</t>
  </si>
  <si>
    <t>Reason for closing</t>
  </si>
  <si>
    <t>Message: portfolio_type_apsys</t>
  </si>
  <si>
    <t>Table: PORTFOLIOTYP_TBLTPF_APSYS</t>
  </si>
  <si>
    <t>TYPPTFS</t>
  </si>
  <si>
    <t>Code (TYPPTFS)</t>
  </si>
  <si>
    <t>PORTFOLIOTYP</t>
  </si>
  <si>
    <t>Message: potential</t>
  </si>
  <si>
    <t>Table: POTENTIAL</t>
  </si>
  <si>
    <t>POTENTIAL</t>
  </si>
  <si>
    <t>Message: printer_mapping</t>
  </si>
  <si>
    <t>Table: PRINTER_MAPPING</t>
  </si>
  <si>
    <t>PRINTER_MAPPING_CD</t>
  </si>
  <si>
    <t>PRINTER_MAPPING</t>
  </si>
  <si>
    <t>Printer Port</t>
  </si>
  <si>
    <t>DEFAULT_PRINTER_CD</t>
  </si>
  <si>
    <t>LANDSCAPETRAY</t>
  </si>
  <si>
    <t>landscape_try</t>
  </si>
  <si>
    <t>Landscape Tray</t>
  </si>
  <si>
    <t>OUTPUTBIN</t>
  </si>
  <si>
    <t>output_tray</t>
  </si>
  <si>
    <t>Output Tray</t>
  </si>
  <si>
    <t>PORTRAITTRAY</t>
  </si>
  <si>
    <t>portrait_tray</t>
  </si>
  <si>
    <t>Portrait Tray</t>
  </si>
  <si>
    <t>PRINT_TO_SERVER_CD</t>
  </si>
  <si>
    <t>print_to_server</t>
  </si>
  <si>
    <t>Print to PrintServer</t>
  </si>
  <si>
    <t>Message: profnl_position</t>
  </si>
  <si>
    <t>Table: POSITION</t>
  </si>
  <si>
    <t>POSITION</t>
  </si>
  <si>
    <t>Message: profnl_status</t>
  </si>
  <si>
    <t>Table: ERWERBSSTATUS</t>
  </si>
  <si>
    <t>ERWERBSSTATUS</t>
  </si>
  <si>
    <t>Message: qi_classif</t>
  </si>
  <si>
    <t>Table: PARTNER_QI_CLASSIFICATION</t>
  </si>
  <si>
    <t>QI_CLASSIFICATION</t>
  </si>
  <si>
    <t>DEFAULT_RECIPIENT_TYPE_CD</t>
  </si>
  <si>
    <t>dflt_irs_code_cd</t>
  </si>
  <si>
    <t>Default recipient type</t>
  </si>
  <si>
    <t>individual_general_classif_cd</t>
  </si>
  <si>
    <t>General Classification</t>
  </si>
  <si>
    <t>individual_general_classif.cd</t>
  </si>
  <si>
    <t>EIN_REQUIRED_CD</t>
  </si>
  <si>
    <t>is_ein_required</t>
  </si>
  <si>
    <t>EIN required</t>
  </si>
  <si>
    <t>DEFAULT_QI_REPORTING_CD</t>
  </si>
  <si>
    <t>reporting_qi_pkb_cd</t>
  </si>
  <si>
    <t>Default QI reporting</t>
  </si>
  <si>
    <t>REPORTING_QI.REPORTING_QI_PKB_CD</t>
  </si>
  <si>
    <t>TYPE_QI_REPORTING_CD</t>
  </si>
  <si>
    <t>reporting_qi_type_cd</t>
  </si>
  <si>
    <t>Type of QI reporting</t>
  </si>
  <si>
    <t>REPORTING_QI_TYPE.REPORTING_QI_TYPE_CD</t>
  </si>
  <si>
    <t>SUITABLE_FOR_US_CD</t>
  </si>
  <si>
    <t>Message: real_estate</t>
  </si>
  <si>
    <t>Table: IMMOBILIEN</t>
  </si>
  <si>
    <t>IMMOBILIEN</t>
  </si>
  <si>
    <t>Real Estates</t>
  </si>
  <si>
    <t>Message: relationship</t>
  </si>
  <si>
    <t>Table: KUNDENBEZIEHUNG</t>
  </si>
  <si>
    <t>KUNDENBEZIEHUNGID</t>
  </si>
  <si>
    <t>Client Relationship No.</t>
  </si>
  <si>
    <t>APSYS_FLAGTITUAEOII</t>
  </si>
  <si>
    <t>aeoi_ah</t>
  </si>
  <si>
    <t>AEoI Account Holder</t>
  </si>
  <si>
    <t>APSYS_CDTITUC</t>
  </si>
  <si>
    <t>apsys_relation</t>
  </si>
  <si>
    <t>Apsys Relation</t>
  </si>
  <si>
    <t>CTI_SENDEN_ALS.CTI_SENDEN_ALS_CD</t>
  </si>
  <si>
    <t>Values: B, C, H</t>
  </si>
  <si>
    <t>VOLLMACHTMIT</t>
  </si>
  <si>
    <t>attorny_with</t>
  </si>
  <si>
    <t>Attorney with</t>
  </si>
  <si>
    <t>NUTZNIESSERBEZGEBUEHR_CD</t>
  </si>
  <si>
    <t>benefic_fee_cd</t>
  </si>
  <si>
    <t>Beneficiary Fee</t>
  </si>
  <si>
    <t>KREIS_VON_BEG_BEMERKUNG</t>
  </si>
  <si>
    <t>benefic_grp_note</t>
  </si>
  <si>
    <t>Description (Group of Beneficiaries)</t>
  </si>
  <si>
    <t>NUTZNIESSERPORTFOLIONO</t>
  </si>
  <si>
    <t>benefic_portfolio_id</t>
  </si>
  <si>
    <t>Beneficiary Portfolio No.</t>
  </si>
  <si>
    <t>CONTROLLING_PERSON_OF_A_CD</t>
  </si>
  <si>
    <t>control_person_type_cd</t>
  </si>
  <si>
    <t>Controlling Person of a</t>
  </si>
  <si>
    <t>controlling_person_type.cd</t>
  </si>
  <si>
    <t>Attorney Opened on</t>
  </si>
  <si>
    <t>Attorney Opened by</t>
  </si>
  <si>
    <t>SCHULDNERPORTFOLIONO</t>
  </si>
  <si>
    <t>debtor_portfolio_id</t>
  </si>
  <si>
    <t>Debtor Portfolio No.</t>
  </si>
  <si>
    <t>EUSD_LIABILITY_TREATMENT_CD</t>
  </si>
  <si>
    <t>eusd_liab</t>
  </si>
  <si>
    <t>EUSD Liability Treatment</t>
  </si>
  <si>
    <t>EUSD_LIABILITY_TREATMENT.EUSD_LIABILITY_TREATMENT_CD</t>
  </si>
  <si>
    <t>Values: D, E</t>
  </si>
  <si>
    <t>DET_TAX_BO_EUTAX_CD</t>
  </si>
  <si>
    <t>eutax_det_tax_bo</t>
  </si>
  <si>
    <t>Determined Tax BO (EU Tax)</t>
  </si>
  <si>
    <t>REASON_FOR_EX_EUTAX</t>
  </si>
  <si>
    <t>eutax_except_reason_cd</t>
  </si>
  <si>
    <t>Reason for Tax Exception (Eu Tax)</t>
  </si>
  <si>
    <t>tax_except_reason.cd</t>
  </si>
  <si>
    <t>EU_TAXSHARINGPERCENTAGE</t>
  </si>
  <si>
    <t>eu_tax_share_percent</t>
  </si>
  <si>
    <t>Weight %</t>
  </si>
  <si>
    <t>START_DATE_EUTAX</t>
  </si>
  <si>
    <t>eu_tax_start_date</t>
  </si>
  <si>
    <t>Start Date (EU Tax)</t>
  </si>
  <si>
    <t>eu_tax_status_cd</t>
  </si>
  <si>
    <t>EU Taxstatus</t>
  </si>
  <si>
    <t>eu_taxstatus.cd</t>
  </si>
  <si>
    <t>FATCA Partner Basket</t>
  </si>
  <si>
    <t>DET_TAX_BO_FATCA_CD</t>
  </si>
  <si>
    <t>fatca_det_tax_bo</t>
  </si>
  <si>
    <t>Determined Tax BO (FATCA)</t>
  </si>
  <si>
    <t>fatca_individual_status</t>
  </si>
  <si>
    <t>FATCA Partner Status</t>
  </si>
  <si>
    <t>APSYS_CDFWTOPTREGULFISCFUTC</t>
  </si>
  <si>
    <t>fiscal_regularis_choice_future</t>
  </si>
  <si>
    <t>Choice for fiscal Regularisation for the future</t>
  </si>
  <si>
    <t>CDFWTOPTREGULFISCFUTC.CDFWTOPTREGULFISCFUTC_CD</t>
  </si>
  <si>
    <t>Values: D, T, U, N</t>
  </si>
  <si>
    <t>APSYS_CDFWTOPTREGULFISCANCC</t>
  </si>
  <si>
    <t>fiscal_regularis_choice_past</t>
  </si>
  <si>
    <t>Choice for fiscal Regularisation of the past</t>
  </si>
  <si>
    <t>CDFWTOPTREGULFISCANCC.CDFWTOPTREGULFISCANCC_CD</t>
  </si>
  <si>
    <t>Values: D, P, O, T, U, N</t>
  </si>
  <si>
    <t>APSYS_CDFWTSTATREGULFISCANCC</t>
  </si>
  <si>
    <t>fiscal_regularis_status_past</t>
  </si>
  <si>
    <t>Status for fiscal Regularisation of the past</t>
  </si>
  <si>
    <t>CDFWTSTATREGULFISCANCC.CDFWTSTATREGULFISCANCC_CD</t>
  </si>
  <si>
    <t>Values: R, N, P, A</t>
  </si>
  <si>
    <t>DET_TAX_BO_FWHT_CD</t>
  </si>
  <si>
    <t>fwht_det_tax_bo</t>
  </si>
  <si>
    <t>Determined Tax BO (FWHT)</t>
  </si>
  <si>
    <t>REASON_FOR_EX_FWHT</t>
  </si>
  <si>
    <t>fwht_except_reason_cd</t>
  </si>
  <si>
    <t>Reason for Tax Exception (FWHT)</t>
  </si>
  <si>
    <t>START_DATE_FWHT</t>
  </si>
  <si>
    <t>fwht_start_date</t>
  </si>
  <si>
    <t>Start Date (FWHT)</t>
  </si>
  <si>
    <t>GRANTOR_CD</t>
  </si>
  <si>
    <t>grantor_cd</t>
  </si>
  <si>
    <t>Grantor</t>
  </si>
  <si>
    <t>ACCOUNT_HOLDER_CD</t>
  </si>
  <si>
    <t>is_ah</t>
  </si>
  <si>
    <t>Account Holder</t>
  </si>
  <si>
    <t>AML_BO_CD</t>
  </si>
  <si>
    <t>is_aml_bo</t>
  </si>
  <si>
    <t>AML BO</t>
  </si>
  <si>
    <t>CONTROLLING_PERSON_CD</t>
  </si>
  <si>
    <t>is_control_person_cd</t>
  </si>
  <si>
    <t>Controlling Person</t>
  </si>
  <si>
    <t>APSYS_FLAGDONORDRGUDEFI</t>
  </si>
  <si>
    <t>is_dflt_orderer</t>
  </si>
  <si>
    <t>Default Orderer</t>
  </si>
  <si>
    <t>APSYS_FLAGFATCAI</t>
  </si>
  <si>
    <t>is_fatca_eligible</t>
  </si>
  <si>
    <t>Fatca eligible</t>
  </si>
  <si>
    <t>GENERAL_TAX_BO_CD</t>
  </si>
  <si>
    <t>is_general_bo</t>
  </si>
  <si>
    <t>General Tax BO</t>
  </si>
  <si>
    <t>PARTNERSHIP_PARTNER_CD</t>
  </si>
  <si>
    <t>is_partnership_partner</t>
  </si>
  <si>
    <t>Partnership's Partner</t>
  </si>
  <si>
    <t>APSYS_FLAGPOAI</t>
  </si>
  <si>
    <t>is_power_of_attorny</t>
  </si>
  <si>
    <t>Power of Attorney</t>
  </si>
  <si>
    <t>TAX_BENEFICIAL_OWNER_CD</t>
  </si>
  <si>
    <t>Tax Bo</t>
  </si>
  <si>
    <t>Attorney Modified on</t>
  </si>
  <si>
    <t>Attorney Modified by</t>
  </si>
  <si>
    <t>OUT_OF_SCOPE_FATCA_CD</t>
  </si>
  <si>
    <t>out_of_scope_eu_fatca_cd</t>
  </si>
  <si>
    <t>Out of Scope (US FATCA)</t>
  </si>
  <si>
    <t>OUT_OF_SCOPE_FWHT_CD</t>
  </si>
  <si>
    <t>out_of_scope_eu_fwht_cd</t>
  </si>
  <si>
    <t>Out of Scope (FWHT)</t>
  </si>
  <si>
    <t>OUT_OF_SCOPE_EUTAX_CD</t>
  </si>
  <si>
    <t>out_of_scope_eu_tax_cd</t>
  </si>
  <si>
    <t>Out of Scope (EU Tax)</t>
  </si>
  <si>
    <t>OUT_OF_SCOPE_USWHT_CD</t>
  </si>
  <si>
    <t>out_of_scope_eu_uswht_cd</t>
  </si>
  <si>
    <t>Out of Scope (US WHT)</t>
  </si>
  <si>
    <t>OUT_OF_SCOPE_VAT_CD</t>
  </si>
  <si>
    <t>out_of_scope_eu_vat_cd</t>
  </si>
  <si>
    <t>Out of Scope (VAT)</t>
  </si>
  <si>
    <t>APSYS_FLAGFWTI</t>
  </si>
  <si>
    <t>pays_fwht</t>
  </si>
  <si>
    <t>Final Withholding Tax</t>
  </si>
  <si>
    <t>APSYS_FLAGFWTTAXSPEGEI</t>
  </si>
  <si>
    <t>pays_german_church_tax</t>
  </si>
  <si>
    <t>German Church Tax</t>
  </si>
  <si>
    <t>REPORTING_QI_CD</t>
  </si>
  <si>
    <t>qi_report_cd</t>
  </si>
  <si>
    <t>APSYS_FLAGQII</t>
  </si>
  <si>
    <t>qi_worst_case_eligible</t>
  </si>
  <si>
    <t>QI Worst-Case eligible</t>
  </si>
  <si>
    <t>RELATED_PARTNER_PERSONID</t>
  </si>
  <si>
    <t>related_individual_id</t>
  </si>
  <si>
    <t>Related Partner</t>
  </si>
  <si>
    <t>Include in Risk Index Calculation</t>
  </si>
  <si>
    <t>AKTIENANTEIL_STIMMRECHT</t>
  </si>
  <si>
    <t>shares_vote_percent</t>
  </si>
  <si>
    <t>Company Shares / Voting right %</t>
  </si>
  <si>
    <t>signatory_rights_cd</t>
  </si>
  <si>
    <t>authorization_type.cd</t>
  </si>
  <si>
    <t>STD_EU_TAXSTATUS_CD</t>
  </si>
  <si>
    <t>std_eu_tax_status_cd</t>
  </si>
  <si>
    <t>Standard EU Taxstatus</t>
  </si>
  <si>
    <t>STANDARD_EU_TAX_STATUS.STANDARD_EU_TAX_STATUS_CD</t>
  </si>
  <si>
    <t>Values: L, N</t>
  </si>
  <si>
    <t>STD_APSYS_FLAGFWTI</t>
  </si>
  <si>
    <t>std_fwht</t>
  </si>
  <si>
    <t>Standard Final Withholding Tax</t>
  </si>
  <si>
    <t>STD_APSYS_STATFISCTVAC</t>
  </si>
  <si>
    <t>std_vat_fiscal_status_cd</t>
  </si>
  <si>
    <t>Standard VAT Fiscal Status</t>
  </si>
  <si>
    <t>TRUSTEE_IS_PAYING_AGENT_CD</t>
  </si>
  <si>
    <t>trustee_is_paying_agent</t>
  </si>
  <si>
    <t>Trustee is paying agent</t>
  </si>
  <si>
    <t>Relationship</t>
  </si>
  <si>
    <t>APSYS_FLAGFWTUKNRSDI</t>
  </si>
  <si>
    <t>uk_tax_exempt</t>
  </si>
  <si>
    <t>UK non-domiciled</t>
  </si>
  <si>
    <t>QI Partner Basket</t>
  </si>
  <si>
    <t>DET_TAX_BO_USWHT_CD</t>
  </si>
  <si>
    <t>uswht_det_tax_bo</t>
  </si>
  <si>
    <t>Determined Tax BO (US WHT)</t>
  </si>
  <si>
    <t>valid_since</t>
  </si>
  <si>
    <t>GUELTIGBIS</t>
  </si>
  <si>
    <t>REASON_FOR_EX_VAT</t>
  </si>
  <si>
    <t>vat_ch_except_reason_CD</t>
  </si>
  <si>
    <t>Reason for Tax Exception (Vat CH)</t>
  </si>
  <si>
    <t>START_DATE_VAT_CH</t>
  </si>
  <si>
    <t>vat_ch_start_date</t>
  </si>
  <si>
    <t>Start Date (Vat CH)</t>
  </si>
  <si>
    <t>DET_TAX_BO_VAT_CD</t>
  </si>
  <si>
    <t>vat_det_tax_bo</t>
  </si>
  <si>
    <t>Determined Tax BO (VAT)</t>
  </si>
  <si>
    <t>APSYS_STATFISCTVAC</t>
  </si>
  <si>
    <t>vat_fiscal_status</t>
  </si>
  <si>
    <t>Message: relationship_type</t>
  </si>
  <si>
    <t>Table: KUNDENSTATUS</t>
  </si>
  <si>
    <t>BO_TYPE_CD</t>
  </si>
  <si>
    <t>bo_type_cd</t>
  </si>
  <si>
    <t>Relation Type</t>
  </si>
  <si>
    <t>BO_TYPE.BO_TYPE_CD</t>
  </si>
  <si>
    <t>Values: 1, 2, 3, 4, 5, 6, 7, 8, 9, 10, 11</t>
  </si>
  <si>
    <t>KUNDENSTATUS</t>
  </si>
  <si>
    <t>HOLDER_TYPE_CD</t>
  </si>
  <si>
    <t>holder_type_cd</t>
  </si>
  <si>
    <t>Account Holder Type</t>
  </si>
  <si>
    <t>HOLDER_TYPE.HOLDER_TYPE_CD</t>
  </si>
  <si>
    <t>Values: 1</t>
  </si>
  <si>
    <t>INCLUDE_CRI_DEFAULT</t>
  </si>
  <si>
    <t>include_cri_dflt</t>
  </si>
  <si>
    <t>Default Included CRI</t>
  </si>
  <si>
    <t>CP_TYPE_MANDATORY_CD</t>
  </si>
  <si>
    <t>is_control_person_mandatory</t>
  </si>
  <si>
    <t>'Controlling Person of a' mandatory</t>
  </si>
  <si>
    <t>CP_TYPE_PARAM_CD</t>
  </si>
  <si>
    <t>is_control_person_param</t>
  </si>
  <si>
    <t>'Controlling Person of a' parameterizable</t>
  </si>
  <si>
    <t>RELEVANT_FOR_TAX_COUNTRY_CD</t>
  </si>
  <si>
    <t>is_relevant_for_tax_country</t>
  </si>
  <si>
    <t>AEoI relevant for Tax Residence</t>
  </si>
  <si>
    <t>possibly_control_person</t>
  </si>
  <si>
    <t>possible Controlling Person</t>
  </si>
  <si>
    <t>BEREICH_CD</t>
  </si>
  <si>
    <t>type_range_cd</t>
  </si>
  <si>
    <t>Range</t>
  </si>
  <si>
    <t>KUNDENSTATUSBEREICH.KUNDENSTATUSBEREICH_CD</t>
  </si>
  <si>
    <t>Values: 10, 20, 30, 40, 50, 60</t>
  </si>
  <si>
    <t>Message: relationship_type_aml</t>
  </si>
  <si>
    <t>Table: RELATIONSHIP_TYPE_AML</t>
  </si>
  <si>
    <t>INCLUDE_CRI_CALC</t>
  </si>
  <si>
    <t>include_cri_calc</t>
  </si>
  <si>
    <t>Include in CRI calculation</t>
  </si>
  <si>
    <t>REL_BANKS_CD</t>
  </si>
  <si>
    <t>is_relevant_bank</t>
  </si>
  <si>
    <t>Relevant for Banks</t>
  </si>
  <si>
    <t>REL_CLIENT_CD</t>
  </si>
  <si>
    <t>is_relevant_client</t>
  </si>
  <si>
    <t>Relevant for Client</t>
  </si>
  <si>
    <t>REL_TECH_ACCOUNT_CD</t>
  </si>
  <si>
    <t>is_relevant_technical_acc</t>
  </si>
  <si>
    <t>Relevant for Technical Accounts</t>
  </si>
  <si>
    <t>RISK_INDEX</t>
  </si>
  <si>
    <t>Message: reprod_type</t>
  </si>
  <si>
    <t>Table: ANZEIGEART</t>
  </si>
  <si>
    <t>ANZEIGEART</t>
  </si>
  <si>
    <t>POSTAL_CHARGES</t>
  </si>
  <si>
    <t>postal_mailing_charge</t>
  </si>
  <si>
    <t>Mailing Postal Charges</t>
  </si>
  <si>
    <t>Message: risk_category</t>
  </si>
  <si>
    <t>Table: RISIKOKATEGORIE</t>
  </si>
  <si>
    <t>FLAGCTRLTITUC</t>
  </si>
  <si>
    <t>ctrl_svc_activated</t>
  </si>
  <si>
    <t>Control on services activated</t>
  </si>
  <si>
    <t>RISIKOKATEGORIE</t>
  </si>
  <si>
    <t>MAGERRNBTRNMOISI</t>
  </si>
  <si>
    <t>error_tolerance_trx_count</t>
  </si>
  <si>
    <t>Error Tolerance for the number of transactions in the month (%)</t>
  </si>
  <si>
    <t>NBMOISPERIINITI</t>
  </si>
  <si>
    <t>initial_perdiod_new_money</t>
  </si>
  <si>
    <t>Initial Periode for the new Money Remittances</t>
  </si>
  <si>
    <t>MTLIMXCLUPERIINITD</t>
  </si>
  <si>
    <t>initial_period_amount</t>
  </si>
  <si>
    <t>Amount out of initial Period</t>
  </si>
  <si>
    <t>FLAGPEPC</t>
  </si>
  <si>
    <t>is_pep</t>
  </si>
  <si>
    <t>PEP</t>
  </si>
  <si>
    <t>RISIKO_CD</t>
  </si>
  <si>
    <t>is_risk</t>
  </si>
  <si>
    <t>Risk</t>
  </si>
  <si>
    <t>is_special_cat</t>
  </si>
  <si>
    <t>NBLIMTRNGRSI</t>
  </si>
  <si>
    <t>large_trx_count_limit</t>
  </si>
  <si>
    <t>Limit-number of the count of large transactions</t>
  </si>
  <si>
    <t>MTLIMGRSTDSD</t>
  </si>
  <si>
    <t>large_trx_threshold</t>
  </si>
  <si>
    <t>DOUBLE(,2)</t>
  </si>
  <si>
    <t>Limit-amount defining the large transactions</t>
  </si>
  <si>
    <t>MAXRISIKOINDEX</t>
  </si>
  <si>
    <t>max_risk_index</t>
  </si>
  <si>
    <t>Max. Risk Index</t>
  </si>
  <si>
    <t>MINRISIKOINDEX</t>
  </si>
  <si>
    <t>min_risk_index</t>
  </si>
  <si>
    <t>Min. Risk Index</t>
  </si>
  <si>
    <t>UPDATE_GW_PROFIL_CD</t>
  </si>
  <si>
    <t>update_ml_profile</t>
  </si>
  <si>
    <t>Update Money Laundering Profile</t>
  </si>
  <si>
    <t>Message: risk_region</t>
  </si>
  <si>
    <t>Table: RISIKOREGION</t>
  </si>
  <si>
    <t>RISIKOREGION_CD</t>
  </si>
  <si>
    <t>RISIKOREGION</t>
  </si>
  <si>
    <t>Risk Region</t>
  </si>
  <si>
    <t>Message: salutation</t>
  </si>
  <si>
    <t>Table: ANREDE</t>
  </si>
  <si>
    <t>APSYS_CDDENS</t>
  </si>
  <si>
    <t>apysy_cd</t>
  </si>
  <si>
    <t>German</t>
  </si>
  <si>
    <t>ANREDE_SPRACHE1</t>
  </si>
  <si>
    <t>desc_lang1</t>
  </si>
  <si>
    <t>French</t>
  </si>
  <si>
    <t>ANREDE_SPRACHE2</t>
  </si>
  <si>
    <t>desc_lang2</t>
  </si>
  <si>
    <t>Italian</t>
  </si>
  <si>
    <t>ANREDE_SPRACHE3</t>
  </si>
  <si>
    <t>desc_lang3</t>
  </si>
  <si>
    <t>English</t>
  </si>
  <si>
    <t>ANREDE_SPRACHE4</t>
  </si>
  <si>
    <t>desc_lang4</t>
  </si>
  <si>
    <t>Spanish</t>
  </si>
  <si>
    <t>Message: security_lvl</t>
  </si>
  <si>
    <t>Table: VERTRAULICHKEIT</t>
  </si>
  <si>
    <t>VERTRAULICHKEIT</t>
  </si>
  <si>
    <t>Message: self_cert_type</t>
  </si>
  <si>
    <t>Table: SELF_CERTIFICATION_TYPE</t>
  </si>
  <si>
    <t>TYPE</t>
  </si>
  <si>
    <t>Message: social_position_cd</t>
  </si>
  <si>
    <t>Table: GES_STELLUNG</t>
  </si>
  <si>
    <t>GES_STELLUNG</t>
  </si>
  <si>
    <t>Message: special_instr</t>
  </si>
  <si>
    <t>Table: SONDERINST</t>
  </si>
  <si>
    <t>ADD_ON_CHARGES</t>
  </si>
  <si>
    <t>add_charge</t>
  </si>
  <si>
    <t>Add on Charges</t>
  </si>
  <si>
    <t>SONDERINST</t>
  </si>
  <si>
    <t>Message: special_request</t>
  </si>
  <si>
    <t>Table: SPEZ_WUENSCHE</t>
  </si>
  <si>
    <t>SPEZ_WUENSCHE</t>
  </si>
  <si>
    <t>Special Wishes</t>
  </si>
  <si>
    <t>Message: tariff_policiy_type</t>
  </si>
  <si>
    <t>Table: TARIFPOLITIKART</t>
  </si>
  <si>
    <t>TARIFPOLITIKART_CD</t>
  </si>
  <si>
    <t>TARIFPOLITIKART</t>
  </si>
  <si>
    <t>Message: tariff_policy</t>
  </si>
  <si>
    <t>Table: TARIFPOLITIKCODE</t>
  </si>
  <si>
    <t>TARIFPOLITIKCODE_CD</t>
  </si>
  <si>
    <t>TARIFPOLITIKCODE</t>
  </si>
  <si>
    <t>Message: tax_except_reason</t>
  </si>
  <si>
    <t>Table: REASON_FOR_TAX_EXCEPTION</t>
  </si>
  <si>
    <t>CODE</t>
  </si>
  <si>
    <t>Exception</t>
  </si>
  <si>
    <t>EUTAX_CD</t>
  </si>
  <si>
    <t>eutax</t>
  </si>
  <si>
    <t>EU Tax</t>
  </si>
  <si>
    <t>FWHT_CD</t>
  </si>
  <si>
    <t>fwht</t>
  </si>
  <si>
    <t>FWHT</t>
  </si>
  <si>
    <t>VAT_CH_CD</t>
  </si>
  <si>
    <t>vat_ch</t>
  </si>
  <si>
    <t>Vat CH</t>
  </si>
  <si>
    <t>Message: total_assets</t>
  </si>
  <si>
    <t>Table: GESAMTVERMOEGEN</t>
  </si>
  <si>
    <t>GelÃ¶scht</t>
  </si>
  <si>
    <t>GelÃ¶scht am</t>
  </si>
  <si>
    <t>GelÃ¶scht durch</t>
  </si>
  <si>
    <t>ErÃ¶ffnet am</t>
  </si>
  <si>
    <t>ErÃ¶ffnet durch</t>
  </si>
  <si>
    <t>GESAMTVERMOEGEN</t>
  </si>
  <si>
    <t>GesamtvermÃ¶gen</t>
  </si>
  <si>
    <t>GeÃ¤ndert am</t>
  </si>
  <si>
    <t>GeÃ¤ndert durch</t>
  </si>
  <si>
    <t>Message: unit</t>
  </si>
  <si>
    <t>Table: UNIT</t>
  </si>
  <si>
    <t>UNIT</t>
  </si>
  <si>
    <t>TEAMLEADER</t>
  </si>
  <si>
    <t>team_leader</t>
  </si>
  <si>
    <t>Team Leader</t>
  </si>
  <si>
    <t>Message: user</t>
  </si>
  <si>
    <t>Table: MITARBEITER</t>
  </si>
  <si>
    <t>ADMINTAB_SPRACHE_CD</t>
  </si>
  <si>
    <t>admin_tab_lang_cd</t>
  </si>
  <si>
    <t>APPROVAL_USER</t>
  </si>
  <si>
    <t>approv_user</t>
  </si>
  <si>
    <t>Approval by</t>
  </si>
  <si>
    <t>APPROVAL_DATE</t>
  </si>
  <si>
    <t>aprov_date</t>
  </si>
  <si>
    <t>Approval on</t>
  </si>
  <si>
    <t>APPROVAL_DOCUMENTNR</t>
  </si>
  <si>
    <t>aprov_doc_id</t>
  </si>
  <si>
    <t>Approval document number</t>
  </si>
  <si>
    <t>archive.id</t>
  </si>
  <si>
    <t>APPROVALNR</t>
  </si>
  <si>
    <t>aprov_no</t>
  </si>
  <si>
    <t>Approval number</t>
  </si>
  <si>
    <t>APSYSUSERID</t>
  </si>
  <si>
    <t>apsys_userid</t>
  </si>
  <si>
    <t>Host User</t>
  </si>
  <si>
    <t>BRTG_STEP1_CD</t>
  </si>
  <si>
    <t>ar_approv_step1</t>
  </si>
  <si>
    <t>Approval Step 1</t>
  </si>
  <si>
    <t>BRTG_STEP2_CD</t>
  </si>
  <si>
    <t>ar_approv_step2</t>
  </si>
  <si>
    <t>Approval Step 2</t>
  </si>
  <si>
    <t>BRTG_STEP3_CD</t>
  </si>
  <si>
    <t>ar_approv_step3</t>
  </si>
  <si>
    <t>Approval Step 3</t>
  </si>
  <si>
    <t>BRTG_STEP4_CD</t>
  </si>
  <si>
    <t>ar_approv_step4</t>
  </si>
  <si>
    <t>Approval Step 4</t>
  </si>
  <si>
    <t>BRTG_STEP5_CD</t>
  </si>
  <si>
    <t>ar_approv_step5</t>
  </si>
  <si>
    <t>Approval Step 5</t>
  </si>
  <si>
    <t>BRTG_BERECHNENRISIKOPROFIL_CD</t>
  </si>
  <si>
    <t>ar_calc_risk_index</t>
  </si>
  <si>
    <t>Privilege to calculate Risk Index</t>
  </si>
  <si>
    <t>BRTG_EDITADMIN_CD</t>
  </si>
  <si>
    <t>ar_edit_table_data</t>
  </si>
  <si>
    <t>Privilege to Edit Table Data</t>
  </si>
  <si>
    <t>BRTG_EDITMITARBEITER_CD</t>
  </si>
  <si>
    <t>ar_edit_user</t>
  </si>
  <si>
    <t>Privilege to Edit User Data</t>
  </si>
  <si>
    <t>BRTG_MANUELLEHITS_CD</t>
  </si>
  <si>
    <t>ar_open_manual_aml_hits</t>
  </si>
  <si>
    <t>Privilege to to open manually AML-Hits</t>
  </si>
  <si>
    <t>BRTG_ROLLE_CD</t>
  </si>
  <si>
    <t>ar_permanent_role</t>
  </si>
  <si>
    <t>Permanent Role</t>
  </si>
  <si>
    <t>BRTG_RISIKOPROFIL_CD</t>
  </si>
  <si>
    <t>ar_risk_profile</t>
  </si>
  <si>
    <t>Privilege to edit Risk Profile</t>
  </si>
  <si>
    <t>BRTG_SCANARCHIVDOKUMENTE_CD</t>
  </si>
  <si>
    <t>ar_scan_output</t>
  </si>
  <si>
    <t>Scan Output</t>
  </si>
  <si>
    <t>User Closed</t>
  </si>
  <si>
    <t>User Closed on</t>
  </si>
  <si>
    <t>User Opened on</t>
  </si>
  <si>
    <t>User Opened by</t>
  </si>
  <si>
    <t>EMAIL</t>
  </si>
  <si>
    <t>email</t>
  </si>
  <si>
    <t>E-Mail</t>
  </si>
  <si>
    <t>GRUPPEID</t>
  </si>
  <si>
    <t>group_id</t>
  </si>
  <si>
    <t>Group</t>
  </si>
  <si>
    <t>user_group.id</t>
  </si>
  <si>
    <t>AML_KONTROLLSTELLE_CD</t>
  </si>
  <si>
    <t>is_aml_control_position</t>
  </si>
  <si>
    <t>AML Board of control</t>
  </si>
  <si>
    <t>WC_KONTROLLSTELLE_CD</t>
  </si>
  <si>
    <t>is_name_check_compliance_officer</t>
  </si>
  <si>
    <t>Name Check Compliance Officer</t>
  </si>
  <si>
    <t>LDAP_USERID</t>
  </si>
  <si>
    <t>ldap_userid</t>
  </si>
  <si>
    <t>LDAP UserId</t>
  </si>
  <si>
    <t>User Modified on</t>
  </si>
  <si>
    <t>User Modified by</t>
  </si>
  <si>
    <t>User Name</t>
  </si>
  <si>
    <t>SUBGROUP_ID</t>
  </si>
  <si>
    <t>sub_group_id</t>
  </si>
  <si>
    <t>Subgroup</t>
  </si>
  <si>
    <t>user_sub_group.id</t>
  </si>
  <si>
    <t>APPROVAL_CD</t>
  </si>
  <si>
    <t>user_approv_status_cd</t>
  </si>
  <si>
    <t>Approval status</t>
  </si>
  <si>
    <t>USER_APPROVAL_STATUS.STATUS_CD</t>
  </si>
  <si>
    <t>Message: user_group</t>
  </si>
  <si>
    <t>Table: MITARBEITER_GRUPPE</t>
  </si>
  <si>
    <t>GroupId</t>
  </si>
  <si>
    <t>approv_date</t>
  </si>
  <si>
    <t>BRTG_ADMIN_CERT_CD</t>
  </si>
  <si>
    <t>ar_admin_certificates</t>
  </si>
  <si>
    <t>Administrate certificates</t>
  </si>
  <si>
    <t>BRTG_CRYPTO_ADMIN_CD</t>
  </si>
  <si>
    <t>ar_admin_crypto_settings</t>
  </si>
  <si>
    <t>Manage crypto settings</t>
  </si>
  <si>
    <t>BRTG_ADMINJAVASERVICES_CD</t>
  </si>
  <si>
    <t>ar_admin_java_services</t>
  </si>
  <si>
    <t>Setup Java Services</t>
  </si>
  <si>
    <t>BRTG_SIGN_SETUP_CD</t>
  </si>
  <si>
    <t>ar_admin_signatures</t>
  </si>
  <si>
    <t>Setup signatures</t>
  </si>
  <si>
    <t>Risikoindex berechnen</t>
  </si>
  <si>
    <t>BRTG_PRTSCR_CD</t>
  </si>
  <si>
    <t>ar_capture_screen</t>
  </si>
  <si>
    <t>Capture Screen</t>
  </si>
  <si>
    <t>BRTG_SALDIEREN_CD</t>
  </si>
  <si>
    <t>ar_close_client_portfolio</t>
  </si>
  <si>
    <t>Close Client / Portfolio</t>
  </si>
  <si>
    <t>BRTG_DELETECLOSEOPENING_CD</t>
  </si>
  <si>
    <t>ar_close_del_client_opening</t>
  </si>
  <si>
    <t>Delete/Close Client Opening</t>
  </si>
  <si>
    <t>BRTG_BESTAETIGENAEOIHITS_CD</t>
  </si>
  <si>
    <t>ar_confirm_aeoi_rule_hits</t>
  </si>
  <si>
    <t>Confirm AEoI Rule Hits</t>
  </si>
  <si>
    <t>BRTG_BESTAETIGENHITS_CD</t>
  </si>
  <si>
    <t>ar_confirm_aml_hits</t>
  </si>
  <si>
    <t>Confirm AML-Hits</t>
  </si>
  <si>
    <t>BRTG_BESTAETIGENFATCAHITS_CD</t>
  </si>
  <si>
    <t>ar_confirm_fatca_rule_hits</t>
  </si>
  <si>
    <t>Confirm Fatca Rule Hits</t>
  </si>
  <si>
    <t>BRTG_BEST_MAN_AEOIHITS_CD</t>
  </si>
  <si>
    <t>ar_confirm_manula_aeoi_hits</t>
  </si>
  <si>
    <t>Confirm manually AEoI Hits</t>
  </si>
  <si>
    <t>BRTG_BESTAETIGENWCHITS_CD</t>
  </si>
  <si>
    <t>ar_confirm_name_check_hits</t>
  </si>
  <si>
    <t>Name Check Confirm Hits</t>
  </si>
  <si>
    <t>BRTG_TAGESVERSAND_CD</t>
  </si>
  <si>
    <t>ar_daily_mailing</t>
  </si>
  <si>
    <t>Daily Mailing</t>
  </si>
  <si>
    <t>BRTG_DEFICIENCES_LIST_CD</t>
  </si>
  <si>
    <t>ar_defic_list</t>
  </si>
  <si>
    <t>Deficiency List</t>
  </si>
  <si>
    <t>BRTG_DIF_REC_FINAL_STATUS_CD</t>
  </si>
  <si>
    <t>ar_dif_rec_final_status</t>
  </si>
  <si>
    <t>Flag 'Difference accepted' between Recommended and Final Status</t>
  </si>
  <si>
    <t>BRTG_ADRESSE_CD</t>
  </si>
  <si>
    <t>ar_edit_addr</t>
  </si>
  <si>
    <t>Create / Edit Addresses</t>
  </si>
  <si>
    <t>BRTG_EDTADMIN_CD</t>
  </si>
  <si>
    <t>ar_edit_admin</t>
  </si>
  <si>
    <t>Edit Administrator</t>
  </si>
  <si>
    <t>BRTG_EDIT_AEOI_STATUS_CD</t>
  </si>
  <si>
    <t>ar_edit_aeoi_statuts</t>
  </si>
  <si>
    <t>Edit AEoI Status</t>
  </si>
  <si>
    <t>BRTG_EDTKUNDE_CD</t>
  </si>
  <si>
    <t>ar_edit_client</t>
  </si>
  <si>
    <t>Edit Client / Portfolio</t>
  </si>
  <si>
    <t>BRTG_KUNDENSTICHWORT_CD</t>
  </si>
  <si>
    <t>ar_edit_client_keyword</t>
  </si>
  <si>
    <t>Create Client Keyword</t>
  </si>
  <si>
    <t>BRTG_CONFIGACCLISTE_CD</t>
  </si>
  <si>
    <t>ar_edit_client_list</t>
  </si>
  <si>
    <t>Edit Client List</t>
  </si>
  <si>
    <t>BRTG_KAKTENNOTIZEN_CD</t>
  </si>
  <si>
    <t>ar_edit_client_notes</t>
  </si>
  <si>
    <t>Create Client Notes</t>
  </si>
  <si>
    <t>BRTG_ERFASSEN_KTOE_CD</t>
  </si>
  <si>
    <t>ar_edit_client_opening</t>
  </si>
  <si>
    <t>Create / Edit Client Opening</t>
  </si>
  <si>
    <t>BRTG_EDTKPROFIL_CD</t>
  </si>
  <si>
    <t>ar_edit_client_profile</t>
  </si>
  <si>
    <t>Edit Client Profile</t>
  </si>
  <si>
    <t>BRTG_KOMMUNIKATION_CD</t>
  </si>
  <si>
    <t>ar_edit_communication</t>
  </si>
  <si>
    <t>Create / Edit Communication No.</t>
  </si>
  <si>
    <t>BRTG_KORRESPONDENZ_CD</t>
  </si>
  <si>
    <t>ar_edit_correspondence</t>
  </si>
  <si>
    <t>Create / Edit Correspondence</t>
  </si>
  <si>
    <t>BRTG_PARTNERDATEN_CD</t>
  </si>
  <si>
    <t>ar_edit_individual_data</t>
  </si>
  <si>
    <t>Create / Edit Individual Data</t>
  </si>
  <si>
    <t>BRTG_PARTNERDOKUMENTE_CD</t>
  </si>
  <si>
    <t>ar_edit_individual_doc</t>
  </si>
  <si>
    <t>Create / Edit Individual Document</t>
  </si>
  <si>
    <t>BRTG_PARTNERSTICHWORT_CD</t>
  </si>
  <si>
    <t>ar_edit_individual_keyword</t>
  </si>
  <si>
    <t>Create Individual Keyword</t>
  </si>
  <si>
    <t>BRTG_CONFIGPARLISTE_CD</t>
  </si>
  <si>
    <t>ar_edit_individual_list</t>
  </si>
  <si>
    <t>Edit Individual List</t>
  </si>
  <si>
    <t>BRTG_PAKTENNOTIZEN_CD</t>
  </si>
  <si>
    <t>ar_edit_individual_notes</t>
  </si>
  <si>
    <t>Create Individual Notes</t>
  </si>
  <si>
    <t>BRTG_PARTNERPROFIL_CD</t>
  </si>
  <si>
    <t>ar_edit_individual_profile</t>
  </si>
  <si>
    <t>Edit Individual Profile</t>
  </si>
  <si>
    <t>BRTG_PBEZIEHUNGEN_CD</t>
  </si>
  <si>
    <t>ar_edit_individual_relationship</t>
  </si>
  <si>
    <t>Create / Edit Individual Relationship</t>
  </si>
  <si>
    <t>BRTG_KDOKUMENTE_CD</t>
  </si>
  <si>
    <t>ar_edit_legal_doc</t>
  </si>
  <si>
    <t>Create / Edit Legal Document</t>
  </si>
  <si>
    <t>BRTG_VERSANDINSTR_CD</t>
  </si>
  <si>
    <t>ar_edit_mailing_instruction</t>
  </si>
  <si>
    <t>Edit Mailing Instruction</t>
  </si>
  <si>
    <t>BRTG_EDIT_MISLISTE_CD</t>
  </si>
  <si>
    <t>ar_edit_mis_list</t>
  </si>
  <si>
    <t>Edit MIS Lists</t>
  </si>
  <si>
    <t>BRTG_PORTFSPERREN_CD</t>
  </si>
  <si>
    <t>ar_edit_portfolio_blocking</t>
  </si>
  <si>
    <t>Edit Portfolio Blocking</t>
  </si>
  <si>
    <t>BRTG_KUNDENBEZIEHUNGEN_CD</t>
  </si>
  <si>
    <t>ar_edit_relationship</t>
  </si>
  <si>
    <t>Create / Edit Client Relationship</t>
  </si>
  <si>
    <t>ar_edit_risk_profile</t>
  </si>
  <si>
    <t>Risikoprofil bearbeiten</t>
  </si>
  <si>
    <t>BRTG_SCHLIESSFACH_CD</t>
  </si>
  <si>
    <t>ar_edit_safe_box</t>
  </si>
  <si>
    <t>Create / Edit Safe Deposit Box Data</t>
  </si>
  <si>
    <t>BRTG_MODIFYSPECIALINST_CD</t>
  </si>
  <si>
    <t>ar_edit_special_instr</t>
  </si>
  <si>
    <t>Modify Special Instructions</t>
  </si>
  <si>
    <t>BRTG_EDIT_SUPERSQL_MISLISTE_CD</t>
  </si>
  <si>
    <t>ar_edit_super_sql_mis_list</t>
  </si>
  <si>
    <t>Edit SuperSQL MIS Lists</t>
  </si>
  <si>
    <t>BRTG_EDTMITARBEITER_GRUPPE_CD</t>
  </si>
  <si>
    <t>ar_edit_user_group</t>
  </si>
  <si>
    <t>Edit Users Group</t>
  </si>
  <si>
    <t>BRTG_EDIT_WORLDCHECK_CD</t>
  </si>
  <si>
    <t>ar_edit_world_check_data</t>
  </si>
  <si>
    <t>Edit World-Check Data</t>
  </si>
  <si>
    <t>BRTG_SCHLIESSENHITS_CD</t>
  </si>
  <si>
    <t>ar_exclude_aml_hits</t>
  </si>
  <si>
    <t>Exclude AML-Hits</t>
  </si>
  <si>
    <t>BRTG_USE_GXRULES_CD</t>
  </si>
  <si>
    <t>ar_execute_rules</t>
  </si>
  <si>
    <t>Execute Rules</t>
  </si>
  <si>
    <t>BRTG_GEN_AEOIHITS_CD</t>
  </si>
  <si>
    <t>ar_generate_aeoi_hits</t>
  </si>
  <si>
    <t>Generate AEoI Hits</t>
  </si>
  <si>
    <t>BRTG_GEN_FATCAHITS_CD</t>
  </si>
  <si>
    <t>ar_generate_fatca_hits</t>
  </si>
  <si>
    <t>Generate Fatca Hits</t>
  </si>
  <si>
    <t>BRTG_BEGRUENDENAEOIHITS_CD</t>
  </si>
  <si>
    <t>ar_justify_aeoi_rule_hits</t>
  </si>
  <si>
    <t>Justify AEoI Rule Hits</t>
  </si>
  <si>
    <t>BRTG_BEGRUENDENHITS_CD</t>
  </si>
  <si>
    <t>ar_justify_aml_hits</t>
  </si>
  <si>
    <t>Justify AML-Hits</t>
  </si>
  <si>
    <t>BRTG_BEG_MAN_FATCAHITS_CD</t>
  </si>
  <si>
    <t>ar_justify_fatca_manual_hits</t>
  </si>
  <si>
    <t>Justify manually Fatca Hits</t>
  </si>
  <si>
    <t>BRTG_BEGRUENDENFATCAHITS_CD</t>
  </si>
  <si>
    <t>ar_justify_fatca_rule_hits</t>
  </si>
  <si>
    <t>Justify Fatca Rule Hits</t>
  </si>
  <si>
    <t>BRTG_BEG_MAN_AEOIHITS_CD</t>
  </si>
  <si>
    <t>ar_justify_manual_aeoi_manual_hits</t>
  </si>
  <si>
    <t>Justify manually AEoI Hits</t>
  </si>
  <si>
    <t>BRTG_BEGRUENDENWCHITS_CD</t>
  </si>
  <si>
    <t>ar_justify_name_check_hits</t>
  </si>
  <si>
    <t>Name Check Justify Hits</t>
  </si>
  <si>
    <t>BRTG_ABGELEHNTWCHITS_CD</t>
  </si>
  <si>
    <t>ar_justify_reject_name_check_hits</t>
  </si>
  <si>
    <t>BRTG_EUTAXREPORTING_CD</t>
  </si>
  <si>
    <t>ar_load_eu_tax_report_data</t>
  </si>
  <si>
    <t>Load EU-Tax Reporting Data</t>
  </si>
  <si>
    <t>BRTG_SERIENBRIEF_CD</t>
  </si>
  <si>
    <t>ar_mail_merge</t>
  </si>
  <si>
    <t>Create Mail Merge</t>
  </si>
  <si>
    <t>BRTG_MGMT_DEFICIENCES_CR_CD</t>
  </si>
  <si>
    <t>ar_manage_defic_central_registry</t>
  </si>
  <si>
    <t>Manage Deficiencies - Central Registry</t>
  </si>
  <si>
    <t>BRTG_MGMT_DEFICIENCES_CP_CD</t>
  </si>
  <si>
    <t>ar_manage_defic_compliance</t>
  </si>
  <si>
    <t>Manage Deficiencies - Compliance</t>
  </si>
  <si>
    <t>BRTG_MGMT_DEFICIENCES_RM_CD</t>
  </si>
  <si>
    <t>ar_manage_defic_rm</t>
  </si>
  <si>
    <t>Manage Deficiencies - Relationship Manager</t>
  </si>
  <si>
    <t>BRTG_EDIT_PORTFOLIONO_CD</t>
  </si>
  <si>
    <t>ar_manual_edit_portfolio_id</t>
  </si>
  <si>
    <t>Open Portfolio No. / Client No. manually</t>
  </si>
  <si>
    <t>BRTG_WORLDCHECK_CD</t>
  </si>
  <si>
    <t>ar_name_check</t>
  </si>
  <si>
    <t>World-Check</t>
  </si>
  <si>
    <t>BRTG_MANUELLEKTOE_CD</t>
  </si>
  <si>
    <t>ar_open_client</t>
  </si>
  <si>
    <t>Open Client / Portfolio</t>
  </si>
  <si>
    <t>BRTG_EROE_MAN_AEOIHITS_CD</t>
  </si>
  <si>
    <t>ar_open_manual_aeoi_hits</t>
  </si>
  <si>
    <t>Open manually AEoI Hits</t>
  </si>
  <si>
    <t>Enter manual AML-Hits</t>
  </si>
  <si>
    <t>BRTG_EROE_MAN_FATCAHITS_CD</t>
  </si>
  <si>
    <t>ar_open_manual_fatca_hits</t>
  </si>
  <si>
    <t>Open manually Fatca Hits</t>
  </si>
  <si>
    <t>BRTG_ERFASSEN_PROSPECT_CD</t>
  </si>
  <si>
    <t>ar_open_prospects</t>
  </si>
  <si>
    <t>Open Prospects</t>
  </si>
  <si>
    <t>BRTG_BANKPOST_CD</t>
  </si>
  <si>
    <t>ar_order_hold_mail</t>
  </si>
  <si>
    <t>Order Hold-Mail</t>
  </si>
  <si>
    <t>BRTG_BESTELLEN_WEB_CD</t>
  </si>
  <si>
    <t>ar_order_web_archive_output</t>
  </si>
  <si>
    <t>Order Output for Web Archive</t>
  </si>
  <si>
    <t>BRTG_DRUCKENADRESSEN_CD</t>
  </si>
  <si>
    <t>ar_print_addr</t>
  </si>
  <si>
    <t>Print Addresses</t>
  </si>
  <si>
    <t>BRTG_DRUCKEN_CD</t>
  </si>
  <si>
    <t>ar_print_addr_list</t>
  </si>
  <si>
    <t>Print Addresses / Lists</t>
  </si>
  <si>
    <t>BRTG_DRUCKENBELEG_CD</t>
  </si>
  <si>
    <t>ar_print_advice</t>
  </si>
  <si>
    <t>Print Advices</t>
  </si>
  <si>
    <t>BRTG_DRUCKENBELEGPDF_CD</t>
  </si>
  <si>
    <t>ar_print_advice_acrobat</t>
  </si>
  <si>
    <t>Print Advices from Acrobat</t>
  </si>
  <si>
    <t>BRTG_DRUCKEN_KLISTE_CD</t>
  </si>
  <si>
    <t>ar_print_client_list</t>
  </si>
  <si>
    <t>Print Client List</t>
  </si>
  <si>
    <t>BRTG_DRUCKENKAKTENNOTIZEN_CD</t>
  </si>
  <si>
    <t>ar_print_client_notes</t>
  </si>
  <si>
    <t>Print Client Notes</t>
  </si>
  <si>
    <t>BRTG_DRUCKEN_KTOE_CD</t>
  </si>
  <si>
    <t>ar_print_client_opening</t>
  </si>
  <si>
    <t>Print Client Opening</t>
  </si>
  <si>
    <t>BRTG_DRUCKENKPROFIL_CD</t>
  </si>
  <si>
    <t>ar_print_client_profile</t>
  </si>
  <si>
    <t>Print Client Profile</t>
  </si>
  <si>
    <t>BRTG_DPARTNERDOKUMENTE_CD</t>
  </si>
  <si>
    <t>ar_print_individual_doc</t>
  </si>
  <si>
    <t>Print Individual Document</t>
  </si>
  <si>
    <t>BRTG_DRUCKEN_PLISTE_CD</t>
  </si>
  <si>
    <t>ar_print_individual_list</t>
  </si>
  <si>
    <t>Print Individual List</t>
  </si>
  <si>
    <t>BRTG_DRUCKENPAKTENNOTIZEN_CD</t>
  </si>
  <si>
    <t>ar_print_individual_notes</t>
  </si>
  <si>
    <t>Print Individual Notes</t>
  </si>
  <si>
    <t>BRTG_DKDOKUMENTE_CD</t>
  </si>
  <si>
    <t>ar_print_legal_doc</t>
  </si>
  <si>
    <t>Print Legal Document</t>
  </si>
  <si>
    <t>BRTG_DKSCANNINGDECKBLATT_CD</t>
  </si>
  <si>
    <t>ar_print_scan_cover_sheet</t>
  </si>
  <si>
    <t>Print Scanning Cover Sheet</t>
  </si>
  <si>
    <t>BRTG_PRINT_SENSITIVE_DATA_CD</t>
  </si>
  <si>
    <t>ar_print_sensitive_data</t>
  </si>
  <si>
    <t>Print Sensitive Data</t>
  </si>
  <si>
    <t>BRTG_SPARTNERDOKUMENTE_CD</t>
  </si>
  <si>
    <t>ar_scan_individual_documents</t>
  </si>
  <si>
    <t>Scan Individual Document</t>
  </si>
  <si>
    <t>BRTG_SKDOKUMENTE_CD</t>
  </si>
  <si>
    <t>ar_scan_legal_documents</t>
  </si>
  <si>
    <t>Scan Legal Document</t>
  </si>
  <si>
    <t>BRTG_UNTERSCHRIFT_CD</t>
  </si>
  <si>
    <t>ar_scan_signatures</t>
  </si>
  <si>
    <t>Scan Signatures</t>
  </si>
  <si>
    <t>BRTG_ENC_SETUP_CD</t>
  </si>
  <si>
    <t>ar_select_crypto_fields</t>
  </si>
  <si>
    <t>Select crypto fields</t>
  </si>
  <si>
    <t>BRTG_EMAILBELEG_CD</t>
  </si>
  <si>
    <t>ar_send_advice_email</t>
  </si>
  <si>
    <t>Send Output by E-Mail</t>
  </si>
  <si>
    <t>BRTG_VERSANDAUSARCHIV_CD</t>
  </si>
  <si>
    <t>ar_send_from_archive</t>
  </si>
  <si>
    <t>Mail out of Archive</t>
  </si>
  <si>
    <t>BRTG_ENCRYPT_FIELD_CD</t>
  </si>
  <si>
    <t>ar_start_crypto</t>
  </si>
  <si>
    <t>Start crypto actions</t>
  </si>
  <si>
    <t>BRTG_TRANSFEROUT_CD</t>
  </si>
  <si>
    <t>ar_transfer_out</t>
  </si>
  <si>
    <t>Online / Fax / E-Mail Monitor</t>
  </si>
  <si>
    <t>BRTG_USE_ACROBAT_READER_CD</t>
  </si>
  <si>
    <t>ar_use_acrobat_reader_cd</t>
  </si>
  <si>
    <t>Use Acrobat Reader as PDF-Viewer</t>
  </si>
  <si>
    <t>BRTG_PARTNERDUBLETTEN_CD</t>
  </si>
  <si>
    <t>ar_use_duplicate_finder</t>
  </si>
  <si>
    <t>Use partner duplicate finder</t>
  </si>
  <si>
    <t>BRTG_USE_INTERNER_VIEWER_CD</t>
  </si>
  <si>
    <t>ar_use_internal_viewer</t>
  </si>
  <si>
    <t>Use internal Text-Viewer</t>
  </si>
  <si>
    <t>BRTG_VALIDIEREN_CD</t>
  </si>
  <si>
    <t>ar_validation</t>
  </si>
  <si>
    <t>Validate Data</t>
  </si>
  <si>
    <t>BRTG_VERIFIKATION_CD</t>
  </si>
  <si>
    <t>ar_verification</t>
  </si>
  <si>
    <t>Verification</t>
  </si>
  <si>
    <t>BRTG_ALLTABLES_CD</t>
  </si>
  <si>
    <t>ar_view_all_table</t>
  </si>
  <si>
    <t>All Tables visible</t>
  </si>
  <si>
    <t>Group Closed</t>
  </si>
  <si>
    <t>Group Closed on</t>
  </si>
  <si>
    <t>Group Deleted by</t>
  </si>
  <si>
    <t>Group Opened on</t>
  </si>
  <si>
    <t>Group Opened by</t>
  </si>
  <si>
    <t>BRTG_PARTNERPARTNER_CD</t>
  </si>
  <si>
    <t>edit_individual_relationships</t>
  </si>
  <si>
    <t>Create / Edit Individual Relationship to Individual</t>
  </si>
  <si>
    <t>BACKOFFICEUSER_CD</t>
  </si>
  <si>
    <t>is_backoffice_user</t>
  </si>
  <si>
    <t>Back-Office User</t>
  </si>
  <si>
    <t>SUPERUSER_CD</t>
  </si>
  <si>
    <t>is_super_user</t>
  </si>
  <si>
    <t>Superuser</t>
  </si>
  <si>
    <t>Group Modified on</t>
  </si>
  <si>
    <t>Group Modified by</t>
  </si>
  <si>
    <t>GRUPPE_NAME</t>
  </si>
  <si>
    <t>Message: user_sub_group</t>
  </si>
  <si>
    <t>Table: MITARBEITER_SUBGROUP</t>
  </si>
  <si>
    <t>Subgroup Id</t>
  </si>
  <si>
    <t>Subgroup Closed</t>
  </si>
  <si>
    <t>Subgroup Closed on</t>
  </si>
  <si>
    <t>Subgroup Deleted by</t>
  </si>
  <si>
    <t>Subgroup Opened on</t>
  </si>
  <si>
    <t>Subgroup Opened by</t>
  </si>
  <si>
    <t>Group Id</t>
  </si>
  <si>
    <t>IS_DEFAULT</t>
  </si>
  <si>
    <t>Default Subgroup</t>
  </si>
  <si>
    <t>Subgroup Modified on</t>
  </si>
  <si>
    <t>Subgroup Modified by</t>
  </si>
  <si>
    <t>Message: usw_basket</t>
  </si>
  <si>
    <t>Table: USWBASKET</t>
  </si>
  <si>
    <t>USWBASKET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</si>
</sst>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theme" Target="theme/theme1.xml"/><Relationship Id="rId131" Type="http://schemas.openxmlformats.org/officeDocument/2006/relationships/styles" Target="styles.xml"/><Relationship Id="rId1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cols>
    <col min="1" max="1" width="23.5703125" customWidth="1"/>
    <col min="2" max="2" width="4.28515625" customWidth="1"/>
    <col min="3" max="3" width="15.140625" customWidth="1"/>
    <col min="4" max="4" width="23.570312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0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0</v>
      </c>
    </row>
    <row r="2" spans="1:13">
      <c r="A2" s="1" t="s">
        <v>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16</v>
      </c>
      <c r="D6" t="s">
        <v>17</v>
      </c>
      <c r="H6" t="s">
        <v>13</v>
      </c>
      <c r="K6">
        <f t="array" ref="K6">CONCATENATE("update msg_out_fld_config set msg_fld_name = '",A6,"' where cd = '497D4A44266FBDE7FFD73FD7E99E14E1';")</f>
        <v>0</v>
      </c>
      <c r="M6">
        <f t="array" ref="M6">CONCATENATE("update msg_out_fld set description = '",D6,"' where tab_name = 'SACHBEARB' and fld_name = 'SACHBEARB_CD';")</f>
        <v>0</v>
      </c>
    </row>
    <row r="7" spans="1:13">
      <c r="A7" t="s">
        <v>19</v>
      </c>
      <c r="C7" t="s">
        <v>20</v>
      </c>
      <c r="D7" t="s">
        <v>21</v>
      </c>
      <c r="E7" t="s">
        <v>22</v>
      </c>
      <c r="F7" t="s">
        <v>23</v>
      </c>
      <c r="H7" t="s">
        <v>18</v>
      </c>
      <c r="K7">
        <f t="array" ref="K7">CONCATENATE("update msg_out_fld_config set msg_fld_name = '",A7,"' where cd = '7CF4A533028045AB404E043D75C28DF9';")</f>
        <v>0</v>
      </c>
      <c r="M7">
        <f t="array" ref="M7">CONCATENATE("update msg_out_fld set description = '",D7,"' where tab_name = 'SACHBEARB' and fld_name = 'FILIALE_CD';")</f>
        <v>0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'FD75BF7CD9AE698F0A355B0CAD419BFF';")</f>
        <v>0</v>
      </c>
      <c r="M8">
        <f t="array" ref="M8">CONCATENATE("update msg_out_fld set description = '",D8,"' where tab_name = 'SACHBEARB' and fld_name = 'LOESCH_CD';")</f>
        <v>0</v>
      </c>
    </row>
    <row r="9" spans="1:13">
      <c r="A9" t="s">
        <v>32</v>
      </c>
      <c r="C9" t="s">
        <v>33</v>
      </c>
      <c r="D9" t="s">
        <v>34</v>
      </c>
      <c r="H9" t="s">
        <v>31</v>
      </c>
      <c r="K9">
        <f t="array" ref="K9">CONCATENATE("update msg_out_fld_config set msg_fld_name = '",A9,"' where cd = '0EDB4435D4CF7AAE5C4AD9393FDC5904';")</f>
        <v>0</v>
      </c>
      <c r="M9">
        <f t="array" ref="M9">CONCATENATE("update msg_out_fld set description = '",D9,"' where tab_name = 'SACHBEARB' and fld_name = 'LOESCHDATUM';")</f>
        <v>0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'D18B2637BCDE146EC844725EE520AEED';")</f>
        <v>0</v>
      </c>
      <c r="M10">
        <f t="array" ref="M10">CONCATENATE("update msg_out_fld set description = '",D10,"' where tab_name = 'SACHBEARB' and fld_name = 'LOESCHUSER';")</f>
        <v>0</v>
      </c>
    </row>
    <row r="11" spans="1:13">
      <c r="A11" t="s">
        <v>41</v>
      </c>
      <c r="C11" t="s">
        <v>42</v>
      </c>
      <c r="D11" t="s">
        <v>43</v>
      </c>
      <c r="H11" t="s">
        <v>40</v>
      </c>
      <c r="K11">
        <f t="array" ref="K11">CONCATENATE("update msg_out_fld_config set msg_fld_name = '",A11,"' where cd = 'EC73C6FC2650502B5A485F52FD40ACC8';")</f>
        <v>0</v>
      </c>
      <c r="M11">
        <f t="array" ref="M11">CONCATENATE("update msg_out_fld set description = '",D11,"' where tab_name = 'SACHBEARB' and fld_name = 'KORRESPNAME';")</f>
        <v>0</v>
      </c>
    </row>
    <row r="12" spans="1:13">
      <c r="A12" t="s">
        <v>45</v>
      </c>
      <c r="C12" t="s">
        <v>33</v>
      </c>
      <c r="D12" t="s">
        <v>46</v>
      </c>
      <c r="H12" t="s">
        <v>44</v>
      </c>
      <c r="K12">
        <f t="array" ref="K12">CONCATENATE("update msg_out_fld_config set msg_fld_name = '",A12,"' where cd = '38A2C0EE63FEA4BBDCC52DBBAE70ED96';")</f>
        <v>0</v>
      </c>
      <c r="M12">
        <f t="array" ref="M12">CONCATENATE("update msg_out_fld set description = '",D12,"' where tab_name = 'SACHBEARB' and fld_name = 'CRTDATUM';")</f>
        <v>0</v>
      </c>
    </row>
    <row r="13" spans="1:13">
      <c r="A13" t="s">
        <v>48</v>
      </c>
      <c r="C13" t="s">
        <v>37</v>
      </c>
      <c r="D13" t="s">
        <v>49</v>
      </c>
      <c r="E13" t="s">
        <v>39</v>
      </c>
      <c r="F13" t="s">
        <v>23</v>
      </c>
      <c r="H13" t="s">
        <v>47</v>
      </c>
      <c r="K13">
        <f t="array" ref="K13">CONCATENATE("update msg_out_fld_config set msg_fld_name = '",A13,"' where cd = 'A1F2D3E2E118C8CA7EF94AE3417C6D7E';")</f>
        <v>0</v>
      </c>
      <c r="M13">
        <f t="array" ref="M13">CONCATENATE("update msg_out_fld set description = '",D13,"' where tab_name = 'SACHBEARB' and fld_name = 'CRTUSER';")</f>
        <v>0</v>
      </c>
    </row>
    <row r="14" spans="1:13">
      <c r="A14" t="s">
        <v>51</v>
      </c>
      <c r="C14" t="s">
        <v>20</v>
      </c>
      <c r="D14" t="s">
        <v>52</v>
      </c>
      <c r="E14" t="s">
        <v>53</v>
      </c>
      <c r="F14" t="s">
        <v>23</v>
      </c>
      <c r="H14" t="s">
        <v>50</v>
      </c>
      <c r="K14">
        <f t="array" ref="K14">CONCATENATE("update msg_out_fld_config set msg_fld_name = '",A14,"' where cd = '6D1E5E04AB7CF98D0C37D6FB7B298888';")</f>
        <v>0</v>
      </c>
      <c r="M14">
        <f t="array" ref="M14">CONCATENATE("update msg_out_fld set description = '",D14,"' where tab_name = 'SACHBEARB' and fld_name = 'ABTEILUNG_CD';")</f>
        <v>0</v>
      </c>
    </row>
    <row r="15" spans="1:13">
      <c r="A15" t="s">
        <v>55</v>
      </c>
      <c r="C15" t="s">
        <v>37</v>
      </c>
      <c r="D15" t="s">
        <v>56</v>
      </c>
      <c r="H15" t="s">
        <v>54</v>
      </c>
      <c r="K15">
        <f t="array" ref="K15">CONCATENATE("update msg_out_fld_config set msg_fld_name = '",A15,"' where cd = '8D375952F67E1108DDBBA5093C6B6726';")</f>
        <v>0</v>
      </c>
      <c r="M15">
        <f t="array" ref="M15">CONCATENATE("update msg_out_fld set description = '",D15,"' where tab_name = 'SACHBEARB' and fld_name = 'SACHBEARB';")</f>
        <v>0</v>
      </c>
    </row>
    <row r="16" spans="1:13">
      <c r="A16" t="s">
        <v>58</v>
      </c>
      <c r="C16" t="s">
        <v>33</v>
      </c>
      <c r="D16" t="s">
        <v>59</v>
      </c>
      <c r="H16" t="s">
        <v>57</v>
      </c>
      <c r="K16">
        <f t="array" ref="K16">CONCATENATE("update msg_out_fld_config set msg_fld_name = '",A16,"' where cd = '4E8ACDF29B46DF609ECB5FCEF3C286D5';")</f>
        <v>0</v>
      </c>
      <c r="M16">
        <f t="array" ref="M16">CONCATENATE("update msg_out_fld set description = '",D16,"' where tab_name = 'SACHBEARB' and fld_name = 'MUTDATUM';")</f>
        <v>0</v>
      </c>
    </row>
    <row r="17" spans="1:13">
      <c r="A17" t="s">
        <v>61</v>
      </c>
      <c r="C17" t="s">
        <v>37</v>
      </c>
      <c r="D17" t="s">
        <v>62</v>
      </c>
      <c r="E17" t="s">
        <v>39</v>
      </c>
      <c r="F17" t="s">
        <v>23</v>
      </c>
      <c r="H17" t="s">
        <v>60</v>
      </c>
      <c r="K17">
        <f t="array" ref="K17">CONCATENATE("update msg_out_fld_config set msg_fld_name = '",A17,"' where cd = '3303675069ECBD873950B6CE3773054B';")</f>
        <v>0</v>
      </c>
      <c r="M17">
        <f t="array" ref="M17">CONCATENATE("update msg_out_fld set description = '",D17,"' where tab_name = 'SACHBEARB' and fld_name = 'MUTUSER';")</f>
        <v>0</v>
      </c>
    </row>
    <row r="18" spans="1:13">
      <c r="A18" t="s">
        <v>64</v>
      </c>
      <c r="C18" t="s">
        <v>37</v>
      </c>
      <c r="D18" t="s">
        <v>65</v>
      </c>
      <c r="H18" t="s">
        <v>63</v>
      </c>
      <c r="K18">
        <f t="array" ref="K18">CONCATENATE("update msg_out_fld_config set msg_fld_name = '",A18,"' where cd = '078BD818BB2AF84B212D0B47A84C6D48';")</f>
        <v>0</v>
      </c>
      <c r="M18">
        <f t="array" ref="M18">CONCATENATE("update msg_out_fld set description = '",D18,"' where tab_name = 'SACHBEARB' and fld_name = 'TELEFONNUMMER';")</f>
        <v>0</v>
      </c>
    </row>
    <row r="19" spans="1:13">
      <c r="A19" t="s">
        <v>67</v>
      </c>
      <c r="C19" t="s">
        <v>68</v>
      </c>
      <c r="D19" t="s">
        <v>69</v>
      </c>
      <c r="E19" t="s">
        <v>70</v>
      </c>
      <c r="F19" t="s">
        <v>23</v>
      </c>
      <c r="H19" t="s">
        <v>66</v>
      </c>
      <c r="K19">
        <f t="array" ref="K19">CONCATENATE("update msg_out_fld_config set msg_fld_name = '",A19,"' where cd = 'DD6D2473B442CBA3BAFC41B4E8420E12';")</f>
        <v>0</v>
      </c>
      <c r="M19">
        <f t="array" ref="M19">CONCATENATE("update msg_out_fld set description = '",D19,"' where tab_name = 'SACHBEARB' and fld_name = 'UNIT_CD';")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24.7109375" customWidth="1"/>
    <col min="5" max="5" width="48.7109375" customWidth="1"/>
    <col min="6" max="6" width="10.28515625" customWidth="1"/>
    <col min="7" max="7" width="18.7109375" customWidth="1"/>
    <col min="8" max="8" width="27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2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71</v>
      </c>
    </row>
    <row r="2" spans="1:13">
      <c r="A2" s="1" t="s">
        <v>72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73</v>
      </c>
      <c r="K6">
        <f t="array" ref="K6">CONCATENATE("update msg_out_fld_config set msg_fld_name = '",A6,"' where cd = '7BCFF7A7D5CEE5C7E41A23EF043C19F0';")</f>
        <v>0</v>
      </c>
      <c r="M6">
        <f t="array" ref="M6">CONCATENATE("update msg_out_fld set description = '",D6,"' where tab_name = 'KONTOEROEFFNUNGSART' and fld_name = 'KONTOEROEFFNUNGSART_CD';")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'2999A47D4E937D12CF47936FEF00D181';")</f>
        <v>0</v>
      </c>
      <c r="M7">
        <f t="array" ref="M7">CONCATENATE("update msg_out_fld set description = '",D7,"' where tab_name = 'KONTOEROEFFNUNGSART'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'0D47587495027534C18E12775E70F228';")</f>
        <v>0</v>
      </c>
      <c r="M8">
        <f t="array" ref="M8">CONCATENATE("update msg_out_fld set description = '",D8,"' where tab_name = 'KONTOEROEFFNUNGSART'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'EB2F8618E5015CADD850B01B11CBDA04';")</f>
        <v>0</v>
      </c>
      <c r="M9">
        <f t="array" ref="M9">CONCATENATE("update msg_out_fld set description = '",D9,"' where tab_name = 'KONTOEROEFFNUNGSART'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'63C8A8FF9303AC4B6F1A5293455A2B56';")</f>
        <v>0</v>
      </c>
      <c r="M10">
        <f t="array" ref="M10">CONCATENATE("update msg_out_fld set description = '",D10,"' where tab_name = 'KONTOEROEFFNUNGSART'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'FA2E32A34DA600E9630E94E3176B93F1';")</f>
        <v>0</v>
      </c>
      <c r="M11">
        <f t="array" ref="M11">CONCATENATE("update msg_out_fld set description = '",D11,"' where tab_name = 'KONTOEROEFFNUNGSART' and fld_name = 'CRTUSER';")</f>
        <v>0</v>
      </c>
    </row>
    <row r="12" spans="1:13">
      <c r="A12" t="s">
        <v>55</v>
      </c>
      <c r="C12" t="s">
        <v>75</v>
      </c>
      <c r="D12" t="s">
        <v>76</v>
      </c>
      <c r="H12" t="s">
        <v>74</v>
      </c>
      <c r="K12">
        <f t="array" ref="K12">CONCATENATE("update msg_out_fld_config set msg_fld_name = '",A12,"' where cd = '19325A07F5874B463521E13E2C6D1BB6';")</f>
        <v>0</v>
      </c>
      <c r="M12">
        <f t="array" ref="M12">CONCATENATE("update msg_out_fld set description = '",D12,"' where tab_name = 'KONTOEROEFFNUNGSART' and fld_name = 'KONTOEROEFFNUNGSART';")</f>
        <v>0</v>
      </c>
    </row>
    <row r="13" spans="1:13">
      <c r="A13" t="s">
        <v>78</v>
      </c>
      <c r="C13" t="s">
        <v>20</v>
      </c>
      <c r="D13" t="s">
        <v>79</v>
      </c>
      <c r="E13" t="s">
        <v>80</v>
      </c>
      <c r="F13" t="s">
        <v>29</v>
      </c>
      <c r="G13" t="s">
        <v>81</v>
      </c>
      <c r="H13" t="s">
        <v>77</v>
      </c>
      <c r="K13">
        <f t="array" ref="K13">CONCATENATE("update msg_out_fld_config set msg_fld_name = '",A13,"' where cd = '854A40415807F15B209683F57DDF014D';")</f>
        <v>0</v>
      </c>
      <c r="M13">
        <f t="array" ref="M13">CONCATENATE("update msg_out_fld set description = '",D13,"' where tab_name = 'KONTOEROEFFNUNGSART' and fld_name = 'IDENTIFIKATIONSART_CD';")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'E91F15ECC9BB650163AFD13C94C97782';")</f>
        <v>0</v>
      </c>
      <c r="M14">
        <f t="array" ref="M14">CONCATENATE("update msg_out_fld set description = '",D14,"' where tab_name = 'KONTOEROEFFNUNGSART'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'18D9BE3E1E4703FB2719C1089394EDE2';")</f>
        <v>0</v>
      </c>
      <c r="M15">
        <f t="array" ref="M15">CONCATENATE("update msg_out_fld set description = '",D15,"' where tab_name = 'KONTOEROEFFNUNGSART' and fld_name = 'MUTUSER';")</f>
        <v>0</v>
      </c>
    </row>
    <row r="16" spans="1:13">
      <c r="A16" t="s">
        <v>83</v>
      </c>
      <c r="C16" t="s">
        <v>84</v>
      </c>
      <c r="D16" t="s">
        <v>85</v>
      </c>
      <c r="H16" t="s">
        <v>82</v>
      </c>
      <c r="K16">
        <f t="array" ref="K16">CONCATENATE("update msg_out_fld_config set msg_fld_name = '",A16,"' where cd = 'A9CB39DCEC2C505EF186D7B73F16DE90';")</f>
        <v>0</v>
      </c>
      <c r="M16">
        <f t="array" ref="M16">CONCATENATE("update msg_out_fld set description = '",D16,"' where tab_name = 'KONTOEROEFFNUNGSART' and fld_name = 'RISKINDEX';")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cols>
    <col min="1" max="1" width="24.7109375" customWidth="1"/>
    <col min="2" max="2" width="4.28515625" customWidth="1"/>
    <col min="3" max="3" width="16.28515625" customWidth="1"/>
    <col min="4" max="4" width="29.5703125" customWidth="1"/>
    <col min="5" max="5" width="34.28515625" customWidth="1"/>
    <col min="6" max="6" width="10.28515625" customWidth="1"/>
    <col min="7" max="7" width="29.5703125" customWidth="1"/>
    <col min="8" max="8" width="24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6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86</v>
      </c>
    </row>
    <row r="2" spans="1:13">
      <c r="A2" s="1" t="s">
        <v>87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91</v>
      </c>
      <c r="H6" t="s">
        <v>88</v>
      </c>
      <c r="K6">
        <f t="array" ref="K6">CONCATENATE("update msg_out_fld_config set msg_fld_name = '",A6,"' where cd = '05A9D111E8CE3883AAA96DDEAD6EC613';")</f>
        <v>0</v>
      </c>
      <c r="M6">
        <f t="array" ref="M6">CONCATENATE("update msg_out_fld set description = '",D6,"' where tab_name = 'ADRESSE' and fld_name = 'ADRESSID';")</f>
        <v>0</v>
      </c>
    </row>
    <row r="7" spans="1:13">
      <c r="A7" t="s">
        <v>93</v>
      </c>
      <c r="C7" t="s">
        <v>90</v>
      </c>
      <c r="D7" t="s">
        <v>94</v>
      </c>
      <c r="H7" t="s">
        <v>92</v>
      </c>
      <c r="K7">
        <f t="array" ref="K7">CONCATENATE("update msg_out_fld_config set msg_fld_name = '",A7,"' where cd = '4B9970896894431B8C9057D824E0EDA0';")</f>
        <v>0</v>
      </c>
      <c r="M7">
        <f t="array" ref="M7">CONCATENATE("update msg_out_fld set description = '",D7,"' where tab_name = 'ADRESSE' and fld_name = 'AKTID';")</f>
        <v>0</v>
      </c>
    </row>
    <row r="8" spans="1:13">
      <c r="A8" t="s">
        <v>96</v>
      </c>
      <c r="C8" t="s">
        <v>68</v>
      </c>
      <c r="D8" t="s">
        <v>97</v>
      </c>
      <c r="E8" t="s">
        <v>98</v>
      </c>
      <c r="F8" t="s">
        <v>23</v>
      </c>
      <c r="H8" t="s">
        <v>95</v>
      </c>
      <c r="K8">
        <f t="array" ref="K8">CONCATENATE("update msg_out_fld_config set msg_fld_name = '",A8,"' where cd = '076939C9688B518438D5B215A8235193';")</f>
        <v>0</v>
      </c>
      <c r="M8">
        <f t="array" ref="M8">CONCATENATE("update msg_out_fld set description = '",D8,"' where tab_name = 'ADRESSE' and fld_name = 'ADRESSSTAMM_CD';")</f>
        <v>0</v>
      </c>
    </row>
    <row r="9" spans="1:13">
      <c r="A9" t="s">
        <v>100</v>
      </c>
      <c r="C9" t="s">
        <v>68</v>
      </c>
      <c r="D9" t="s">
        <v>101</v>
      </c>
      <c r="E9" t="s">
        <v>102</v>
      </c>
      <c r="F9" t="s">
        <v>23</v>
      </c>
      <c r="H9" t="s">
        <v>99</v>
      </c>
      <c r="K9">
        <f t="array" ref="K9">CONCATENATE("update msg_out_fld_config set msg_fld_name = '",A9,"' where cd = 'B48D3BE112037A542B406C7952B6FC0B';")</f>
        <v>0</v>
      </c>
      <c r="M9">
        <f t="array" ref="M9">CONCATENATE("update msg_out_fld set description = '",D9,"' where tab_name = 'ADRESSE' and fld_name = 'ADRESSART_CD';")</f>
        <v>0</v>
      </c>
    </row>
    <row r="10" spans="1:13">
      <c r="A10" t="s">
        <v>25</v>
      </c>
      <c r="C10" t="s">
        <v>26</v>
      </c>
      <c r="D10" t="s">
        <v>103</v>
      </c>
      <c r="E10" t="s">
        <v>28</v>
      </c>
      <c r="F10" t="s">
        <v>29</v>
      </c>
      <c r="G10" t="s">
        <v>30</v>
      </c>
      <c r="H10" t="s">
        <v>24</v>
      </c>
      <c r="K10">
        <f t="array" ref="K10">CONCATENATE("update msg_out_fld_config set msg_fld_name = '",A10,"' where cd = 'F10DD3D8F8BB0D6556364D1C962EE86C';")</f>
        <v>0</v>
      </c>
      <c r="M10">
        <f t="array" ref="M10">CONCATENATE("update msg_out_fld set description = '",D10,"' where tab_name = 'ADRESSE' and fld_name = 'LOESCH_CD';")</f>
        <v>0</v>
      </c>
    </row>
    <row r="11" spans="1:13">
      <c r="A11" t="s">
        <v>32</v>
      </c>
      <c r="C11" t="s">
        <v>104</v>
      </c>
      <c r="D11" t="s">
        <v>105</v>
      </c>
      <c r="H11" t="s">
        <v>31</v>
      </c>
      <c r="K11">
        <f t="array" ref="K11">CONCATENATE("update msg_out_fld_config set msg_fld_name = '",A11,"' where cd = 'E9B640547E173E1FAA275F1F8BF29B19';")</f>
        <v>0</v>
      </c>
      <c r="M11">
        <f t="array" ref="M11">CONCATENATE("update msg_out_fld set description = '",D11,"' where tab_name = 'ADRESSE' and fld_name = 'LOESCHDATUM';")</f>
        <v>0</v>
      </c>
    </row>
    <row r="12" spans="1:13">
      <c r="A12" t="s">
        <v>107</v>
      </c>
      <c r="C12" t="s">
        <v>42</v>
      </c>
      <c r="D12" t="s">
        <v>108</v>
      </c>
      <c r="H12" t="s">
        <v>106</v>
      </c>
      <c r="K12">
        <f t="array" ref="K12">CONCATENATE("update msg_out_fld_config set msg_fld_name = '",A12,"' where cd = '30858F20EB93DBCBB0D5096DD1BB3B7F';")</f>
        <v>0</v>
      </c>
      <c r="M12">
        <f t="array" ref="M12">CONCATENATE("update msg_out_fld set description = '",D12,"' where tab_name = 'ADRESSE' and fld_name = 'FIRMA';")</f>
        <v>0</v>
      </c>
    </row>
    <row r="13" spans="1:13">
      <c r="A13" t="s">
        <v>110</v>
      </c>
      <c r="C13" t="s">
        <v>20</v>
      </c>
      <c r="D13" t="s">
        <v>111</v>
      </c>
      <c r="E13" t="s">
        <v>112</v>
      </c>
      <c r="F13" t="s">
        <v>23</v>
      </c>
      <c r="H13" t="s">
        <v>109</v>
      </c>
      <c r="K13">
        <f t="array" ref="K13">CONCATENATE("update msg_out_fld_config set msg_fld_name = '",A13,"' where cd = 'BD0C816B9C7D3430C5A2DF21BE71DA6D';")</f>
        <v>0</v>
      </c>
      <c r="M13">
        <f t="array" ref="M13">CONCATENATE("update msg_out_fld set description = '",D13,"' where tab_name = 'ADRESSE' and fld_name = 'LAND_CD';")</f>
        <v>0</v>
      </c>
    </row>
    <row r="14" spans="1:13">
      <c r="A14" t="s">
        <v>114</v>
      </c>
      <c r="C14" t="s">
        <v>16</v>
      </c>
      <c r="D14" t="s">
        <v>115</v>
      </c>
      <c r="E14" t="s">
        <v>116</v>
      </c>
      <c r="F14" t="s">
        <v>23</v>
      </c>
      <c r="H14" t="s">
        <v>113</v>
      </c>
      <c r="K14">
        <f t="array" ref="K14">CONCATENATE("update msg_out_fld_config set msg_fld_name = '",A14,"' where cd = 'A63A599D11F210284BBEFC3E97604689';")</f>
        <v>0</v>
      </c>
      <c r="M14">
        <f t="array" ref="M14">CONCATENATE("update msg_out_fld set description = '",D14,"' where tab_name = 'ADRESSE' and fld_name = 'LANDAUFTEILUNG_CD';")</f>
        <v>0</v>
      </c>
    </row>
    <row r="15" spans="1:13">
      <c r="A15" t="s">
        <v>45</v>
      </c>
      <c r="C15" t="s">
        <v>33</v>
      </c>
      <c r="D15" t="s">
        <v>117</v>
      </c>
      <c r="H15" t="s">
        <v>44</v>
      </c>
      <c r="K15">
        <f t="array" ref="K15">CONCATENATE("update msg_out_fld_config set msg_fld_name = '",A15,"' where cd = '65DD4AC32597A0B58CB2005389636A5D';")</f>
        <v>0</v>
      </c>
      <c r="M15">
        <f t="array" ref="M15">CONCATENATE("update msg_out_fld set description = '",D15,"' where tab_name = 'ADRESSE' and fld_name = 'CRTDATUM';")</f>
        <v>0</v>
      </c>
    </row>
    <row r="16" spans="1:13">
      <c r="A16" t="s">
        <v>48</v>
      </c>
      <c r="C16" t="s">
        <v>37</v>
      </c>
      <c r="D16" t="s">
        <v>118</v>
      </c>
      <c r="E16" t="s">
        <v>39</v>
      </c>
      <c r="F16" t="s">
        <v>23</v>
      </c>
      <c r="H16" t="s">
        <v>47</v>
      </c>
      <c r="K16">
        <f t="array" ref="K16">CONCATENATE("update msg_out_fld_config set msg_fld_name = '",A16,"' where cd = '83EA8D58EF19DEB7F2283E699F2590D6';")</f>
        <v>0</v>
      </c>
      <c r="M16">
        <f t="array" ref="M16">CONCATENATE("update msg_out_fld set description = '",D16,"' where tab_name = 'ADRESSE' and fld_name = 'CRTUSER';")</f>
        <v>0</v>
      </c>
    </row>
    <row r="17" spans="1:13">
      <c r="A17" t="s">
        <v>120</v>
      </c>
      <c r="C17" t="s">
        <v>37</v>
      </c>
      <c r="D17" t="s">
        <v>121</v>
      </c>
      <c r="H17" t="s">
        <v>119</v>
      </c>
      <c r="K17">
        <f t="array" ref="K17">CONCATENATE("update msg_out_fld_config set msg_fld_name = '",A17,"' where cd = '4A7F19D09AF8F1C0E266DDAEC7F3223D';")</f>
        <v>0</v>
      </c>
      <c r="M17">
        <f t="array" ref="M17">CONCATENATE("update msg_out_fld set description = '",D17,"' where tab_name = 'ADRESSE' and fld_name = 'VORNAME';")</f>
        <v>0</v>
      </c>
    </row>
    <row r="18" spans="1:13">
      <c r="A18" t="s">
        <v>123</v>
      </c>
      <c r="C18" t="s">
        <v>90</v>
      </c>
      <c r="D18" t="s">
        <v>124</v>
      </c>
      <c r="H18" t="s">
        <v>122</v>
      </c>
      <c r="K18">
        <f t="array" ref="K18">CONCATENATE("update msg_out_fld_config set msg_fld_name = '",A18,"' where cd = 'AD5C423B80BC0BA389ABF14283670461';")</f>
        <v>0</v>
      </c>
      <c r="M18">
        <f t="array" ref="M18">CONCATENATE("update msg_out_fld set description = '",D18,"' where tab_name = 'ADRESSE' and fld_name = 'APSYS_IDADRL';")</f>
        <v>0</v>
      </c>
    </row>
    <row r="19" spans="1:13">
      <c r="A19" t="s">
        <v>126</v>
      </c>
      <c r="C19" t="s">
        <v>90</v>
      </c>
      <c r="D19" t="s">
        <v>127</v>
      </c>
      <c r="E19" t="s">
        <v>128</v>
      </c>
      <c r="H19" t="s">
        <v>125</v>
      </c>
      <c r="K19">
        <f t="array" ref="K19">CONCATENATE("update msg_out_fld_config set msg_fld_name = '",A19,"' where cd = '1016FF918F9B21B6687E6B72C95A8602';")</f>
        <v>0</v>
      </c>
      <c r="M19">
        <f t="array" ref="M19">CONCATENATE("update msg_out_fld set description = '",D19,"' where tab_name = 'ADRESSE' and fld_name = 'PERSONID';")</f>
        <v>0</v>
      </c>
    </row>
    <row r="20" spans="1:13">
      <c r="A20" t="s">
        <v>130</v>
      </c>
      <c r="C20" t="s">
        <v>26</v>
      </c>
      <c r="D20" t="s">
        <v>131</v>
      </c>
      <c r="E20" t="s">
        <v>28</v>
      </c>
      <c r="F20" t="s">
        <v>29</v>
      </c>
      <c r="G20" t="s">
        <v>30</v>
      </c>
      <c r="H20" t="s">
        <v>129</v>
      </c>
      <c r="K20">
        <f t="array" ref="K20">CONCATENATE("update msg_out_fld_config set msg_fld_name = '",A20,"' where cd = '222811963EA6B9C9DC64E9186BA73300';")</f>
        <v>0</v>
      </c>
      <c r="M20">
        <f t="array" ref="M20">CONCATENATE("update msg_out_fld set description = '",D20,"' where tab_name = 'ADRESSE' and fld_name = 'VERSANDADRESSE_CD';")</f>
        <v>0</v>
      </c>
    </row>
    <row r="21" spans="1:13">
      <c r="A21" t="s">
        <v>133</v>
      </c>
      <c r="C21" t="s">
        <v>68</v>
      </c>
      <c r="D21" t="s">
        <v>134</v>
      </c>
      <c r="E21" t="s">
        <v>135</v>
      </c>
      <c r="F21" t="s">
        <v>23</v>
      </c>
      <c r="H21" t="s">
        <v>132</v>
      </c>
      <c r="K21">
        <f t="array" ref="K21">CONCATENATE("update msg_out_fld_config set msg_fld_name = '",A21,"' where cd = '925454208973A2DF7D5FAA6ACD53D7AA';")</f>
        <v>0</v>
      </c>
      <c r="M21">
        <f t="array" ref="M21">CONCATENATE("update msg_out_fld set description = '",D21,"' where tab_name = 'ADRESSE' and fld_name = 'LABELFORMAT_CD';")</f>
        <v>0</v>
      </c>
    </row>
    <row r="22" spans="1:13">
      <c r="A22" t="s">
        <v>137</v>
      </c>
      <c r="C22" t="s">
        <v>37</v>
      </c>
      <c r="D22" t="s">
        <v>138</v>
      </c>
      <c r="H22" t="s">
        <v>136</v>
      </c>
      <c r="K22">
        <f t="array" ref="K22">CONCATENATE("update msg_out_fld_config set msg_fld_name = '",A22,"' where cd = '2D763D02DC49C39EE61E829562A17406';")</f>
        <v>0</v>
      </c>
      <c r="M22">
        <f t="array" ref="M22">CONCATENATE("update msg_out_fld set description = '",D22,"' where tab_name = 'ADRESSE' and fld_name = 'ETIKETTENINFO';")</f>
        <v>0</v>
      </c>
    </row>
    <row r="23" spans="1:13">
      <c r="A23" t="s">
        <v>140</v>
      </c>
      <c r="C23" t="s">
        <v>42</v>
      </c>
      <c r="D23" t="s">
        <v>141</v>
      </c>
      <c r="H23" t="s">
        <v>139</v>
      </c>
      <c r="K23">
        <f t="array" ref="K23">CONCATENATE("update msg_out_fld_config set msg_fld_name = '",A23,"' where cd = '25C2257C3FC24A482DFC07F1DCCCF412';")</f>
        <v>0</v>
      </c>
      <c r="M23">
        <f t="array" ref="M23">CONCATENATE("update msg_out_fld set description = '",D23,"' where tab_name = 'ADRESSE' and fld_name = 'BRIEFANREDE_CD';")</f>
        <v>0</v>
      </c>
    </row>
    <row r="24" spans="1:13">
      <c r="A24" t="s">
        <v>143</v>
      </c>
      <c r="C24" t="s">
        <v>42</v>
      </c>
      <c r="D24" t="s">
        <v>144</v>
      </c>
      <c r="H24" t="s">
        <v>142</v>
      </c>
      <c r="K24">
        <f t="array" ref="K24">CONCATENATE("update msg_out_fld_config set msg_fld_name = '",A24,"' where cd = 'E4B3C713ADBE5468B7F8CEBF58ED8EB6';")</f>
        <v>0</v>
      </c>
      <c r="M24">
        <f t="array" ref="M24">CONCATENATE("update msg_out_fld set description = '",D24,"' where tab_name = 'ADRESSE' and fld_name = 'BRIEFANREDE2';")</f>
        <v>0</v>
      </c>
    </row>
    <row r="25" spans="1:13">
      <c r="A25" t="s">
        <v>146</v>
      </c>
      <c r="C25" t="s">
        <v>42</v>
      </c>
      <c r="D25" t="s">
        <v>147</v>
      </c>
      <c r="H25" t="s">
        <v>145</v>
      </c>
      <c r="K25">
        <f t="array" ref="K25">CONCATENATE("update msg_out_fld_config set msg_fld_name = '",A25,"' where cd = '26C4C466F0D611601AEA3482B5677F23';")</f>
        <v>0</v>
      </c>
      <c r="M25">
        <f t="array" ref="M25">CONCATENATE("update msg_out_fld set description = '",D25,"' where tab_name = 'ADRESSE' and fld_name = 'LINE1';")</f>
        <v>0</v>
      </c>
    </row>
    <row r="26" spans="1:13">
      <c r="A26" t="s">
        <v>149</v>
      </c>
      <c r="C26" t="s">
        <v>42</v>
      </c>
      <c r="D26" t="s">
        <v>150</v>
      </c>
      <c r="H26" t="s">
        <v>148</v>
      </c>
      <c r="K26">
        <f t="array" ref="K26">CONCATENATE("update msg_out_fld_config set msg_fld_name = '",A26,"' where cd = '11EC35EB6A45CEC3A7F2CD1FD2D8AB87';")</f>
        <v>0</v>
      </c>
      <c r="M26">
        <f t="array" ref="M26">CONCATENATE("update msg_out_fld set description = '",D26,"' where tab_name = 'ADRESSE' and fld_name = 'LINE2';")</f>
        <v>0</v>
      </c>
    </row>
    <row r="27" spans="1:13">
      <c r="A27" t="s">
        <v>152</v>
      </c>
      <c r="C27" t="s">
        <v>153</v>
      </c>
      <c r="D27" t="s">
        <v>154</v>
      </c>
      <c r="H27" t="s">
        <v>151</v>
      </c>
      <c r="K27">
        <f t="array" ref="K27">CONCATENATE("update msg_out_fld_config set msg_fld_name = '",A27,"' where cd = '56E675D4DF2CD1DFEF446AA5DE5337A9';")</f>
        <v>0</v>
      </c>
      <c r="M27">
        <f t="array" ref="M27">CONCATENATE("update msg_out_fld set description = '",D27,"' where tab_name = 'ADRESSE' and fld_name = 'LINE3';")</f>
        <v>0</v>
      </c>
    </row>
    <row r="28" spans="1:13">
      <c r="A28" t="s">
        <v>156</v>
      </c>
      <c r="C28" t="s">
        <v>68</v>
      </c>
      <c r="D28" t="s">
        <v>157</v>
      </c>
      <c r="E28" t="s">
        <v>158</v>
      </c>
      <c r="F28" t="s">
        <v>23</v>
      </c>
      <c r="H28" t="s">
        <v>155</v>
      </c>
      <c r="K28">
        <f t="array" ref="K28">CONCATENATE("update msg_out_fld_config set msg_fld_name = '",A28,"' where cd = '2CD953C41B58BA762E1645BD4B9A34CA';")</f>
        <v>0</v>
      </c>
      <c r="M28">
        <f t="array" ref="M28">CONCATENATE("update msg_out_fld set description = '",D28,"' where tab_name = 'ADRESSE' and fld_name = 'VERSANDPRIORITAET_CD';")</f>
        <v>0</v>
      </c>
    </row>
    <row r="29" spans="1:13">
      <c r="A29" t="s">
        <v>160</v>
      </c>
      <c r="C29" t="s">
        <v>90</v>
      </c>
      <c r="D29" t="s">
        <v>161</v>
      </c>
      <c r="E29" t="s">
        <v>162</v>
      </c>
      <c r="H29" t="s">
        <v>159</v>
      </c>
      <c r="K29">
        <f t="array" ref="K29">CONCATENATE("update msg_out_fld_config set msg_fld_name = '",A29,"' where cd = '4DBD55B482C5BDA3AE18D15E8AE8F34B';")</f>
        <v>0</v>
      </c>
      <c r="M29">
        <f t="array" ref="M29">CONCATENATE("update msg_out_fld set description = '",D29,"' where tab_name = 'ADRESSE' and fld_name = 'MASTERADRESSID';")</f>
        <v>0</v>
      </c>
    </row>
    <row r="30" spans="1:13">
      <c r="A30" t="s">
        <v>58</v>
      </c>
      <c r="C30" t="s">
        <v>33</v>
      </c>
      <c r="D30" t="s">
        <v>164</v>
      </c>
      <c r="H30" t="s">
        <v>163</v>
      </c>
      <c r="K30">
        <f t="array" ref="K30">CONCATENATE("update msg_out_fld_config set msg_fld_name = '",A30,"' where cd = '3C7C54C91AF45EE90AB389284046B0D7';")</f>
        <v>0</v>
      </c>
      <c r="M30">
        <f t="array" ref="M30">CONCATENATE("update msg_out_fld set description = '",D30,"' where tab_name = 'ADRESSE' and fld_name = 'MUTDAT';")</f>
        <v>0</v>
      </c>
    </row>
    <row r="31" spans="1:13">
      <c r="A31" t="s">
        <v>61</v>
      </c>
      <c r="C31" t="s">
        <v>37</v>
      </c>
      <c r="D31" t="s">
        <v>165</v>
      </c>
      <c r="E31" t="s">
        <v>39</v>
      </c>
      <c r="F31" t="s">
        <v>23</v>
      </c>
      <c r="H31" t="s">
        <v>60</v>
      </c>
      <c r="K31">
        <f t="array" ref="K31">CONCATENATE("update msg_out_fld_config set msg_fld_name = '",A31,"' where cd = '3D0532CBC1E6E5E5897F85B249820353';")</f>
        <v>0</v>
      </c>
      <c r="M31">
        <f t="array" ref="M31">CONCATENATE("update msg_out_fld set description = '",D31,"' where tab_name = 'ADRESSE' and fld_name = 'MUTUSER';")</f>
        <v>0</v>
      </c>
    </row>
    <row r="32" spans="1:13">
      <c r="A32" t="s">
        <v>167</v>
      </c>
      <c r="C32" t="s">
        <v>75</v>
      </c>
      <c r="D32" t="s">
        <v>168</v>
      </c>
      <c r="H32" t="s">
        <v>166</v>
      </c>
      <c r="K32">
        <f t="array" ref="K32">CONCATENATE("update msg_out_fld_config set msg_fld_name = '",A32,"' where cd = 'F77795ADD05E860C0885334EB517C514';")</f>
        <v>0</v>
      </c>
      <c r="M32">
        <f t="array" ref="M32">CONCATENATE("update msg_out_fld set description = '",D32,"' where tab_name = 'ADRESSE' and fld_name = 'NAME';")</f>
        <v>0</v>
      </c>
    </row>
    <row r="33" spans="1:13">
      <c r="A33" t="s">
        <v>170</v>
      </c>
      <c r="C33" t="s">
        <v>171</v>
      </c>
      <c r="D33" t="s">
        <v>10</v>
      </c>
      <c r="H33" t="s">
        <v>169</v>
      </c>
      <c r="K33">
        <f t="array" ref="K33">CONCATENATE("update msg_out_fld_config set msg_fld_name = '",A33,"' where cd = 'FE94A9D36366DCFB799B5D9A6557641E';")</f>
        <v>0</v>
      </c>
      <c r="M33">
        <f t="array" ref="M33">CONCATENATE("update msg_out_fld set description = '",D33,"' where tab_name = 'ADRESSE' and fld_name = 'BEMERKUNG';")</f>
        <v>0</v>
      </c>
    </row>
    <row r="34" spans="1:13">
      <c r="A34" t="s">
        <v>173</v>
      </c>
      <c r="C34" t="s">
        <v>174</v>
      </c>
      <c r="D34" t="s">
        <v>175</v>
      </c>
      <c r="H34" t="s">
        <v>172</v>
      </c>
      <c r="K34">
        <f t="array" ref="K34">CONCATENATE("update msg_out_fld_config set msg_fld_name = '",A34,"' where cd = '6A00DC76BC3E1A0448C8F546FAC89DAB';")</f>
        <v>0</v>
      </c>
      <c r="M34">
        <f t="array" ref="M34">CONCATENATE("update msg_out_fld set description = '",D34,"' where tab_name = 'ADRESSE' and fld_name = 'ORT';")</f>
        <v>0</v>
      </c>
    </row>
    <row r="35" spans="1:13">
      <c r="A35" t="s">
        <v>177</v>
      </c>
      <c r="C35" t="s">
        <v>37</v>
      </c>
      <c r="D35" t="s">
        <v>178</v>
      </c>
      <c r="H35" t="s">
        <v>176</v>
      </c>
      <c r="K35">
        <f t="array" ref="K35">CONCATENATE("update msg_out_fld_config set msg_fld_name = '",A35,"' where cd = 'FE9A3363CDB4CB442168A207F509EC8C';")</f>
        <v>0</v>
      </c>
      <c r="M35">
        <f t="array" ref="M35">CONCATENATE("update msg_out_fld set description = '",D35,"' where tab_name = 'ADRESSE' and fld_name = 'ANREDE_CD';")</f>
        <v>0</v>
      </c>
    </row>
    <row r="36" spans="1:13">
      <c r="A36" t="s">
        <v>180</v>
      </c>
      <c r="C36" t="s">
        <v>37</v>
      </c>
      <c r="D36" t="s">
        <v>181</v>
      </c>
      <c r="H36" t="s">
        <v>179</v>
      </c>
      <c r="K36">
        <f t="array" ref="K36">CONCATENATE("update msg_out_fld_config set msg_fld_name = '",A36,"' where cd = 'CD0D94E4F8EAD17ADC05D19D60BD1195';")</f>
        <v>0</v>
      </c>
      <c r="M36">
        <f t="array" ref="M36">CONCATENATE("update msg_out_fld set description = '",D36,"' where tab_name = 'ADRESSE' and fld_name = 'TITEL';")</f>
        <v>0</v>
      </c>
    </row>
    <row r="37" spans="1:13">
      <c r="A37" t="s">
        <v>183</v>
      </c>
      <c r="C37" t="s">
        <v>68</v>
      </c>
      <c r="D37" t="s">
        <v>184</v>
      </c>
      <c r="E37" t="s">
        <v>185</v>
      </c>
      <c r="F37" t="s">
        <v>23</v>
      </c>
      <c r="H37" t="s">
        <v>182</v>
      </c>
      <c r="K37">
        <f t="array" ref="K37">CONCATENATE("update msg_out_fld_config set msg_fld_name = '",A37,"' where cd = '1A0BADE9C0AB0E7685FF4AB1AD83D33F';")</f>
        <v>0</v>
      </c>
      <c r="M37">
        <f t="array" ref="M37">CONCATENATE("update msg_out_fld set description = '",D37,"' where tab_name = 'ADRESSE' and fld_name = 'SONDERINST_CD';")</f>
        <v>0</v>
      </c>
    </row>
    <row r="38" spans="1:13">
      <c r="A38" t="s">
        <v>187</v>
      </c>
      <c r="C38" t="s">
        <v>68</v>
      </c>
      <c r="D38" t="s">
        <v>188</v>
      </c>
      <c r="H38" t="s">
        <v>186</v>
      </c>
      <c r="K38">
        <f t="array" ref="K38">CONCATENATE("update msg_out_fld_config set msg_fld_name = '",A38,"' where cd = '4E2DBB09E52B195EBE76971C22E9FA00';")</f>
        <v>0</v>
      </c>
      <c r="M38">
        <f t="array" ref="M38">CONCATENATE("update msg_out_fld set description = '",D38,"' where tab_name = 'ADRESSE' and fld_name = 'APSYS_CDNORMI';")</f>
        <v>0</v>
      </c>
    </row>
    <row r="39" spans="1:13">
      <c r="A39" t="s">
        <v>190</v>
      </c>
      <c r="C39" t="s">
        <v>37</v>
      </c>
      <c r="D39" t="s">
        <v>191</v>
      </c>
      <c r="E39" t="s">
        <v>39</v>
      </c>
      <c r="F39" t="s">
        <v>23</v>
      </c>
      <c r="H39" t="s">
        <v>189</v>
      </c>
      <c r="K39">
        <f t="array" ref="K39">CONCATENATE("update msg_out_fld_config set msg_fld_name = '",A39,"' where cd = 'B9B00C950B3045511171F7EC03663FB7';")</f>
        <v>0</v>
      </c>
      <c r="M39">
        <f t="array" ref="M39">CONCATENATE("update msg_out_fld set description = '",D39,"' where tab_name = 'ADRESSE' and fld_name = 'USERID';")</f>
        <v>0</v>
      </c>
    </row>
    <row r="40" spans="1:13">
      <c r="A40" t="s">
        <v>193</v>
      </c>
      <c r="C40" t="s">
        <v>26</v>
      </c>
      <c r="D40" t="s">
        <v>194</v>
      </c>
      <c r="E40" t="s">
        <v>195</v>
      </c>
      <c r="F40" t="s">
        <v>29</v>
      </c>
      <c r="G40" t="s">
        <v>196</v>
      </c>
      <c r="H40" t="s">
        <v>192</v>
      </c>
      <c r="K40">
        <f t="array" ref="K40">CONCATENATE("update msg_out_fld_config set msg_fld_name = '",A40,"' where cd = 'CA82B65143176292B39DCEF43BD92DA4';")</f>
        <v>0</v>
      </c>
      <c r="M40">
        <f t="array" ref="M40">CONCATENATE("update msg_out_fld set description = '",D40,"' where tab_name = 'ADRESSE' and fld_name = 'VALID_CD';")</f>
        <v>0</v>
      </c>
    </row>
    <row r="41" spans="1:13">
      <c r="A41" t="s">
        <v>198</v>
      </c>
      <c r="C41" t="s">
        <v>104</v>
      </c>
      <c r="D41" t="s">
        <v>199</v>
      </c>
      <c r="H41" t="s">
        <v>197</v>
      </c>
      <c r="K41">
        <f t="array" ref="K41">CONCATENATE("update msg_out_fld_config set msg_fld_name = '",A41,"' where cd = '873EAAA120F6A5C39C1B1714CB9E0300';")</f>
        <v>0</v>
      </c>
      <c r="M41">
        <f t="array" ref="M41">CONCATENATE("update msg_out_fld set description = '",D41,"' where tab_name = 'ADRESSE' and fld_name = 'APSYS_DTDEBL';")</f>
        <v>0</v>
      </c>
    </row>
    <row r="42" spans="1:13">
      <c r="A42" t="s">
        <v>201</v>
      </c>
      <c r="C42" t="s">
        <v>90</v>
      </c>
      <c r="D42" t="s">
        <v>202</v>
      </c>
      <c r="H42" t="s">
        <v>200</v>
      </c>
      <c r="K42">
        <f t="array" ref="K42">CONCATENATE("update msg_out_fld_config set msg_fld_name = '",A42,"' where cd = '85E462039400B47979D1A69F382397EC';")</f>
        <v>0</v>
      </c>
      <c r="M42">
        <f t="array" ref="M42">CONCATENATE("update msg_out_fld set description = '",D42,"' where tab_name = 'ADRESSE' and fld_name = 'VALIDID';")</f>
        <v>0</v>
      </c>
    </row>
    <row r="43" spans="1:13">
      <c r="A43" t="s">
        <v>204</v>
      </c>
      <c r="C43" t="s">
        <v>104</v>
      </c>
      <c r="D43" t="s">
        <v>205</v>
      </c>
      <c r="H43" t="s">
        <v>203</v>
      </c>
      <c r="K43">
        <f t="array" ref="K43">CONCATENATE("update msg_out_fld_config set msg_fld_name = '",A43,"' where cd = 'D03009B18C1A7446C10633A408077E83';")</f>
        <v>0</v>
      </c>
      <c r="M43">
        <f t="array" ref="M43">CONCATENATE("update msg_out_fld set description = '",D43,"' where tab_name = 'ADRESSE' and fld_name = 'APSYS_DTFINL';")</f>
        <v>0</v>
      </c>
    </row>
    <row r="44" spans="1:13">
      <c r="A44" t="s">
        <v>207</v>
      </c>
      <c r="C44" t="s">
        <v>37</v>
      </c>
      <c r="D44" t="s">
        <v>208</v>
      </c>
      <c r="E44" t="s">
        <v>39</v>
      </c>
      <c r="F44" t="s">
        <v>23</v>
      </c>
      <c r="H44" t="s">
        <v>206</v>
      </c>
      <c r="K44">
        <f t="array" ref="K44">CONCATENATE("update msg_out_fld_config set msg_fld_name = '",A44,"' where cd = '433D51A00CFEC2C3211CE4B118F373F9';")</f>
        <v>0</v>
      </c>
      <c r="M44">
        <f t="array" ref="M44">CONCATENATE("update msg_out_fld set description = '",D44,"' where tab_name = 'ADRESSE' and fld_name = 'VALIDUSER';")</f>
        <v>0</v>
      </c>
    </row>
    <row r="45" spans="1:13">
      <c r="A45" t="s">
        <v>210</v>
      </c>
      <c r="C45" t="s">
        <v>211</v>
      </c>
      <c r="D45" t="s">
        <v>212</v>
      </c>
      <c r="H45" t="s">
        <v>209</v>
      </c>
      <c r="K45">
        <f t="array" ref="K45">CONCATENATE("update msg_out_fld_config set msg_fld_name = '",A45,"' where cd = '98B9AC2B31D3F89651CC6D20133EA53E';")</f>
        <v>0</v>
      </c>
      <c r="M45">
        <f t="array" ref="M45">CONCATENATE("update msg_out_fld set description = '",D45,"' where tab_name = 'ADRESSE' and fld_name = 'PLZ';")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5.140625" customWidth="1"/>
    <col min="5" max="5" width="34.28515625" customWidth="1"/>
    <col min="6" max="6" width="10.28515625" customWidth="1"/>
    <col min="7" max="7" width="15.140625" customWidth="1"/>
    <col min="8" max="8" width="17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3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213</v>
      </c>
    </row>
    <row r="2" spans="1:13">
      <c r="A2" s="1" t="s">
        <v>214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95</v>
      </c>
      <c r="K6">
        <f t="array" ref="K6">CONCATENATE("update msg_out_fld_config set msg_fld_name = '",A6,"' where cd = '17E06C37F387D47A90635C62E55873D0';")</f>
        <v>0</v>
      </c>
      <c r="M6">
        <f t="array" ref="M6">CONCATENATE("update msg_out_fld set description = '",D6,"' where tab_name = 'ADRESSSTAMM' and fld_name = 'ADRESSSTAMM_CD';")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'ED552419660295B98FE0A86778B24758';")</f>
        <v>0</v>
      </c>
      <c r="M7">
        <f t="array" ref="M7">CONCATENATE("update msg_out_fld set description = '",D7,"' where tab_name = 'ADRESSSTAMM'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'1E8C863E0E9D58137C7432FE486514ED';")</f>
        <v>0</v>
      </c>
      <c r="M8">
        <f t="array" ref="M8">CONCATENATE("update msg_out_fld set description = '",D8,"' where tab_name = 'ADRESSSTAMM'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'0C746461A376F85CF7924B5C68D35BE2';")</f>
        <v>0</v>
      </c>
      <c r="M9">
        <f t="array" ref="M9">CONCATENATE("update msg_out_fld set description = '",D9,"' where tab_name = 'ADRESSSTAMM'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'518923D3A76D3091C76DBEA491C4F996';")</f>
        <v>0</v>
      </c>
      <c r="M10">
        <f t="array" ref="M10">CONCATENATE("update msg_out_fld set description = '",D10,"' where tab_name = 'ADRESSSTAMM'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'DA1898D4771BEA8675EB493F12EE0AAA';")</f>
        <v>0</v>
      </c>
      <c r="M11">
        <f t="array" ref="M11">CONCATENATE("update msg_out_fld set description = '",D11,"' where tab_name = 'ADRESSSTAMM' and fld_name = 'CRTUSER';")</f>
        <v>0</v>
      </c>
    </row>
    <row r="12" spans="1:13">
      <c r="A12" t="s">
        <v>55</v>
      </c>
      <c r="C12" t="s">
        <v>211</v>
      </c>
      <c r="D12" t="s">
        <v>97</v>
      </c>
      <c r="H12" t="s">
        <v>215</v>
      </c>
      <c r="K12">
        <f t="array" ref="K12">CONCATENATE("update msg_out_fld_config set msg_fld_name = '",A12,"' where cd = '36D7FA08D126A06423D89BC5107DF7C2';")</f>
        <v>0</v>
      </c>
      <c r="M12">
        <f t="array" ref="M12">CONCATENATE("update msg_out_fld set description = '",D12,"' where tab_name = 'ADRESSSTAMM' and fld_name = 'ADRESSSTAMM';")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'14C11824FB84D4398F918FD8B017DE9F';")</f>
        <v>0</v>
      </c>
      <c r="M13">
        <f t="array" ref="M13">CONCATENATE("update msg_out_fld set description = '",D13,"' where tab_name = 'ADRESSSTAMM'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'AEBCED72A9AD51237C13D0D877C6C0DC';")</f>
        <v>0</v>
      </c>
      <c r="M14">
        <f t="array" ref="M14">CONCATENATE("update msg_out_fld set description = '",D14,"' where tab_name = 'ADRESSSTAMM' and fld_name = 'MUTUSER';")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8.7109375" customWidth="1"/>
    <col min="2" max="2" width="4.28515625" customWidth="1"/>
    <col min="3" max="3" width="15.140625" customWidth="1"/>
    <col min="4" max="4" width="18.7109375" customWidth="1"/>
    <col min="5" max="5" width="34.28515625" customWidth="1"/>
    <col min="6" max="6" width="10.28515625" customWidth="1"/>
    <col min="7" max="7" width="22.28515625" customWidth="1"/>
    <col min="8" max="8" width="18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1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216</v>
      </c>
    </row>
    <row r="2" spans="1:13">
      <c r="A2" s="1" t="s">
        <v>217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99</v>
      </c>
      <c r="K6">
        <f t="array" ref="K6">CONCATENATE("update msg_out_fld_config set msg_fld_name = '",A6,"' where cd = '06F627474978DB9A46A0C33429FAEF82';")</f>
        <v>0</v>
      </c>
      <c r="M6">
        <f t="array" ref="M6">CONCATENATE("update msg_out_fld set description = '",D6,"' where tab_name = 'ADRESSART' and fld_name = 'ADRESSART_CD';")</f>
        <v>0</v>
      </c>
    </row>
    <row r="7" spans="1:13">
      <c r="A7" t="s">
        <v>219</v>
      </c>
      <c r="C7" t="s">
        <v>26</v>
      </c>
      <c r="D7" t="s">
        <v>220</v>
      </c>
      <c r="E7" t="s">
        <v>221</v>
      </c>
      <c r="F7" t="s">
        <v>29</v>
      </c>
      <c r="G7" t="s">
        <v>222</v>
      </c>
      <c r="H7" t="s">
        <v>218</v>
      </c>
      <c r="K7">
        <f t="array" ref="K7">CONCATENATE("update msg_out_fld_config set msg_fld_name = '",A7,"' where cd = '86548AEF0E383857EE3CD77B32D6FA3D';")</f>
        <v>0</v>
      </c>
      <c r="M7">
        <f t="array" ref="M7">CONCATENATE("update msg_out_fld set description = '",D7,"' where tab_name = 'ADRESSART' and fld_name = 'APSYS_CDTYPADRC';")</f>
        <v>0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'D77C2A45ECBE718D8CAE20344B801014';")</f>
        <v>0</v>
      </c>
      <c r="M8">
        <f t="array" ref="M8">CONCATENATE("update msg_out_fld set description = '",D8,"' where tab_name = 'ADRESSART' and fld_name = 'LOESCH_CD';")</f>
        <v>0</v>
      </c>
    </row>
    <row r="9" spans="1:13">
      <c r="A9" t="s">
        <v>32</v>
      </c>
      <c r="C9" t="s">
        <v>33</v>
      </c>
      <c r="D9" t="s">
        <v>34</v>
      </c>
      <c r="H9" t="s">
        <v>31</v>
      </c>
      <c r="K9">
        <f t="array" ref="K9">CONCATENATE("update msg_out_fld_config set msg_fld_name = '",A9,"' where cd = 'FB5991C2B5A170A0F184FF1ED4C043DB';")</f>
        <v>0</v>
      </c>
      <c r="M9">
        <f t="array" ref="M9">CONCATENATE("update msg_out_fld set description = '",D9,"' where tab_name = 'ADRESSART' and fld_name = 'LOESCHDATUM';")</f>
        <v>0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'54A4E19BE520B58C04675635DEE6B217';")</f>
        <v>0</v>
      </c>
      <c r="M10">
        <f t="array" ref="M10">CONCATENATE("update msg_out_fld set description = '",D10,"' where tab_name = 'ADRESSART' and fld_name = 'LOESCHUSER';")</f>
        <v>0</v>
      </c>
    </row>
    <row r="11" spans="1:13">
      <c r="A11" t="s">
        <v>45</v>
      </c>
      <c r="C11" t="s">
        <v>33</v>
      </c>
      <c r="D11" t="s">
        <v>46</v>
      </c>
      <c r="H11" t="s">
        <v>44</v>
      </c>
      <c r="K11">
        <f t="array" ref="K11">CONCATENATE("update msg_out_fld_config set msg_fld_name = '",A11,"' where cd = '449867D4D5ADE7234206B08B57B27E9C';")</f>
        <v>0</v>
      </c>
      <c r="M11">
        <f t="array" ref="M11">CONCATENATE("update msg_out_fld set description = '",D11,"' where tab_name = 'ADRESSART' and fld_name = 'CRTDATUM';")</f>
        <v>0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  <c r="K12">
        <f t="array" ref="K12">CONCATENATE("update msg_out_fld_config set msg_fld_name = '",A12,"' where cd = 'EB50272A9605F5EDCEB78469DD4937FD';")</f>
        <v>0</v>
      </c>
      <c r="M12">
        <f t="array" ref="M12">CONCATENATE("update msg_out_fld set description = '",D12,"' where tab_name = 'ADRESSART' and fld_name = 'CRTUSER';")</f>
        <v>0</v>
      </c>
    </row>
    <row r="13" spans="1:13">
      <c r="A13" t="s">
        <v>55</v>
      </c>
      <c r="C13" t="s">
        <v>211</v>
      </c>
      <c r="D13" t="s">
        <v>101</v>
      </c>
      <c r="H13" t="s">
        <v>223</v>
      </c>
      <c r="K13">
        <f t="array" ref="K13">CONCATENATE("update msg_out_fld_config set msg_fld_name = '",A13,"' where cd = '8262A25A71DF89931477DE9C4557CA94';")</f>
        <v>0</v>
      </c>
      <c r="M13">
        <f t="array" ref="M13">CONCATENATE("update msg_out_fld set description = '",D13,"' where tab_name = 'ADRESSART' and fld_name = 'ADRESSART';")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'648C3C80B5F308C66A7D7E9E988A1135';")</f>
        <v>0</v>
      </c>
      <c r="M14">
        <f t="array" ref="M14">CONCATENATE("update msg_out_fld set description = '",D14,"' where tab_name = 'ADRESSART'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'A4F9C9767BAB4092D7B2DFCAFB9956E9';")</f>
        <v>0</v>
      </c>
      <c r="M15">
        <f t="array" ref="M15">CONCATENATE("update msg_out_fld set description = '",D15,"' where tab_name = 'ADRESSART' and fld_name = 'MUTUSER';")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24.7109375" customWidth="1"/>
    <col min="5" max="5" width="34.28515625" customWidth="1"/>
    <col min="6" max="6" width="10.28515625" customWidth="1"/>
    <col min="7" max="7" width="15.140625" customWidth="1"/>
    <col min="8" max="8" width="24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3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224</v>
      </c>
    </row>
    <row r="2" spans="1:13">
      <c r="A2" s="1" t="s">
        <v>225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226</v>
      </c>
      <c r="K6">
        <f t="array" ref="K6">CONCATENATE("update msg_out_fld_config set msg_fld_name = '",A6,"' where cd = 'E35EC2405F7E1C87A9C1A5C5FD8BD16A';")</f>
        <v>0</v>
      </c>
      <c r="M6">
        <f t="array" ref="M6">CONCATENATE("update msg_out_fld set description = '",D6,"' where tab_name = 'AEOI_ASSET_VALUE_TIER' and fld_name = 'CODE_CD';")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'98BE97F9717AF4ECB649D833C1CA4E8F';")</f>
        <v>0</v>
      </c>
      <c r="M7">
        <f t="array" ref="M7">CONCATENATE("update msg_out_fld set description = '",D7,"' where tab_name = 'AEOI_ASSET_VALUE_TIER'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'8DC671D0FEFE7B18496CBF3211D81B2D';")</f>
        <v>0</v>
      </c>
      <c r="M8">
        <f t="array" ref="M8">CONCATENATE("update msg_out_fld set description = '",D8,"' where tab_name = 'AEOI_ASSET_VALUE_TIER'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'87A7797CD8025B69738B9ABEBCDE7CEE';")</f>
        <v>0</v>
      </c>
      <c r="M9">
        <f t="array" ref="M9">CONCATENATE("update msg_out_fld set description = '",D9,"' where tab_name = 'AEOI_ASSET_VALUE_TIER' and fld_name = 'LOESCHUSER';")</f>
        <v>0</v>
      </c>
    </row>
    <row r="10" spans="1:13">
      <c r="A10" t="s">
        <v>45</v>
      </c>
      <c r="C10" t="s">
        <v>33</v>
      </c>
      <c r="D10" t="s">
        <v>227</v>
      </c>
      <c r="H10" t="s">
        <v>44</v>
      </c>
      <c r="K10">
        <f t="array" ref="K10">CONCATENATE("update msg_out_fld_config set msg_fld_name = '",A10,"' where cd = '0C03C345347AEE2838E550893EA3EE03';")</f>
        <v>0</v>
      </c>
      <c r="M10">
        <f t="array" ref="M10">CONCATENATE("update msg_out_fld set description = '",D10,"' where tab_name = 'AEOI_ASSET_VALUE_TIER' and fld_name = 'CRTDATUM';")</f>
        <v>0</v>
      </c>
    </row>
    <row r="11" spans="1:13">
      <c r="A11" t="s">
        <v>48</v>
      </c>
      <c r="C11" t="s">
        <v>37</v>
      </c>
      <c r="D11" t="s">
        <v>228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'9187F7F254BAA3375CD27B5D791AA3F3';")</f>
        <v>0</v>
      </c>
      <c r="M11">
        <f t="array" ref="M11">CONCATENATE("update msg_out_fld set description = '",D11,"' where tab_name = 'AEOI_ASSET_VALUE_TIER' and fld_name = 'CRTUSER';")</f>
        <v>0</v>
      </c>
    </row>
    <row r="12" spans="1:13">
      <c r="A12" t="s">
        <v>55</v>
      </c>
      <c r="C12" t="s">
        <v>230</v>
      </c>
      <c r="D12" t="s">
        <v>7</v>
      </c>
      <c r="H12" t="s">
        <v>229</v>
      </c>
      <c r="K12">
        <f t="array" ref="K12">CONCATENATE("update msg_out_fld_config set msg_fld_name = '",A12,"' where cd = '332E1E1297E812A4F47C7A4A2F399029';")</f>
        <v>0</v>
      </c>
      <c r="M12">
        <f t="array" ref="M12">CONCATENATE("update msg_out_fld set description = '",D12,"' where tab_name = 'AEOI_ASSET_VALUE_TIER' and fld_name = 'DESCRIPTION';")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'0076DE39B245EF9468C242417AEA76DE';")</f>
        <v>0</v>
      </c>
      <c r="M13">
        <f t="array" ref="M13">CONCATENATE("update msg_out_fld set description = '",D13,"' where tab_name = 'AEOI_ASSET_VALUE_TIER'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'0CC027AF311BF7526556220775C00D02';")</f>
        <v>0</v>
      </c>
      <c r="M14">
        <f t="array" ref="M14">CONCATENATE("update msg_out_fld set description = '",D14,"' where tab_name = 'AEOI_ASSET_VALUE_TIER' and fld_name = 'MUTUSER';")</f>
        <v>0</v>
      </c>
    </row>
    <row r="15" spans="1:13">
      <c r="C15" t="s">
        <v>68</v>
      </c>
      <c r="D15" t="s">
        <v>232</v>
      </c>
      <c r="H15" t="s">
        <v>231</v>
      </c>
      <c r="K15">
        <f t="array" ref="K15">CONCATENATE("update msg_out_fld_config set msg_fld_name = '",A15,"' where cd = '6B35A2EF7F7C3BD06A98BF2D2D85F462';")</f>
        <v>0</v>
      </c>
      <c r="M15">
        <f t="array" ref="M15">CONCATENATE("update msg_out_fld set description = '",D15,"' where tab_name = 'AEOI_ASSET_VALUE_TIER' and fld_name = 'ORDER_HIGH_WATERMARK';")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33.140625" customWidth="1"/>
    <col min="2" max="2" width="4.28515625" customWidth="1"/>
    <col min="3" max="3" width="13.85546875" customWidth="1"/>
    <col min="4" max="4" width="39.140625" customWidth="1"/>
    <col min="5" max="5" width="34.28515625" customWidth="1"/>
    <col min="6" max="6" width="10.28515625" customWidth="1"/>
    <col min="7" max="7" width="15.140625" customWidth="1"/>
    <col min="8" max="8" width="34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80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233</v>
      </c>
    </row>
    <row r="2" spans="1:13">
      <c r="A2" s="1" t="s">
        <v>234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235</v>
      </c>
      <c r="K6">
        <f t="array" ref="K6">CONCATENATE("update msg_out_fld_config set msg_fld_name = '",A6,"' where cd = 'F4918CEADE8ED560D01DE42FC0718812';")</f>
        <v>0</v>
      </c>
      <c r="M6">
        <f t="array" ref="M6">CONCATENATE("update msg_out_fld set description = '",D6,"' where tab_name = 'AEOI_CLASSIFICATION' and fld_name = 'CLASSIFICATION_CD';")</f>
        <v>0</v>
      </c>
    </row>
    <row r="7" spans="1:13">
      <c r="A7" t="s">
        <v>237</v>
      </c>
      <c r="C7" t="s">
        <v>26</v>
      </c>
      <c r="D7" t="s">
        <v>238</v>
      </c>
      <c r="E7" t="s">
        <v>28</v>
      </c>
      <c r="F7" t="s">
        <v>29</v>
      </c>
      <c r="G7" t="s">
        <v>30</v>
      </c>
      <c r="H7" t="s">
        <v>236</v>
      </c>
      <c r="K7">
        <f t="array" ref="K7">CONCATENATE("update msg_out_fld_config set msg_fld_name = '",A7,"' where cd = '2566DEB05F8229C13730EE0567994C6B';")</f>
        <v>0</v>
      </c>
      <c r="M7">
        <f t="array" ref="M7">CONCATENATE("update msg_out_fld set description = '",D7,"' where tab_name = 'AEOI_CLASSIFICATION' and fld_name = 'REPORTABLE_CD';")</f>
        <v>0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'B8C4BB233CF4A3C7117CABD8896BA963';")</f>
        <v>0</v>
      </c>
      <c r="M8">
        <f t="array" ref="M8">CONCATENATE("update msg_out_fld set description = '",D8,"' where tab_name = 'AEOI_CLASSIFICATION' and fld_name = 'LOESCH_CD';")</f>
        <v>0</v>
      </c>
    </row>
    <row r="9" spans="1:13">
      <c r="A9" t="s">
        <v>32</v>
      </c>
      <c r="C9" t="s">
        <v>33</v>
      </c>
      <c r="D9" t="s">
        <v>34</v>
      </c>
      <c r="H9" t="s">
        <v>31</v>
      </c>
      <c r="K9">
        <f t="array" ref="K9">CONCATENATE("update msg_out_fld_config set msg_fld_name = '",A9,"' where cd = 'D17CD0347EDD3EEC97D7285A85ED7A33';")</f>
        <v>0</v>
      </c>
      <c r="M9">
        <f t="array" ref="M9">CONCATENATE("update msg_out_fld set description = '",D9,"' where tab_name = 'AEOI_CLASSIFICATION' and fld_name = 'LOESCHDATUM';")</f>
        <v>0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'6D2185E05DC34E7ADF2EA454E27F11DE';")</f>
        <v>0</v>
      </c>
      <c r="M10">
        <f t="array" ref="M10">CONCATENATE("update msg_out_fld set description = '",D10,"' where tab_name = 'AEOI_CLASSIFICATION' and fld_name = 'LOESCHUSER';")</f>
        <v>0</v>
      </c>
    </row>
    <row r="11" spans="1:13">
      <c r="A11" t="s">
        <v>240</v>
      </c>
      <c r="C11" t="s">
        <v>26</v>
      </c>
      <c r="D11" t="s">
        <v>241</v>
      </c>
      <c r="E11" t="s">
        <v>28</v>
      </c>
      <c r="F11" t="s">
        <v>29</v>
      </c>
      <c r="G11" t="s">
        <v>30</v>
      </c>
      <c r="H11" t="s">
        <v>239</v>
      </c>
      <c r="K11">
        <f t="array" ref="K11">CONCATENATE("update msg_out_fld_config set msg_fld_name = '",A11,"' where cd = '7EC388781CB4D3C9AD191EF4B538E35F';")</f>
        <v>0</v>
      </c>
      <c r="M11">
        <f t="array" ref="M11">CONCATENATE("update msg_out_fld set description = '",D11,"' where tab_name = 'AEOI_CLASSIFICATION' and fld_name = 'CONTROLLING_PERSON_NEEDED_CD';")</f>
        <v>0</v>
      </c>
    </row>
    <row r="12" spans="1:13">
      <c r="A12" t="s">
        <v>243</v>
      </c>
      <c r="C12" t="s">
        <v>26</v>
      </c>
      <c r="D12" t="s">
        <v>244</v>
      </c>
      <c r="E12" t="s">
        <v>28</v>
      </c>
      <c r="F12" t="s">
        <v>29</v>
      </c>
      <c r="G12" t="s">
        <v>30</v>
      </c>
      <c r="H12" t="s">
        <v>242</v>
      </c>
      <c r="K12">
        <f t="array" ref="K12">CONCATENATE("update msg_out_fld_config set msg_fld_name = '",A12,"' where cd = '361DA013D4C86A543911FFD767FF07DB';")</f>
        <v>0</v>
      </c>
      <c r="M12">
        <f t="array" ref="M12">CONCATENATE("update msg_out_fld set description = '",D12,"' where tab_name = 'AEOI_CLASSIFICATION' and fld_name = 'CP_NEEDED_VSB16_CD';")</f>
        <v>0</v>
      </c>
    </row>
    <row r="13" spans="1:13">
      <c r="A13" t="s">
        <v>45</v>
      </c>
      <c r="C13" t="s">
        <v>33</v>
      </c>
      <c r="D13" t="s">
        <v>227</v>
      </c>
      <c r="H13" t="s">
        <v>44</v>
      </c>
      <c r="K13">
        <f t="array" ref="K13">CONCATENATE("update msg_out_fld_config set msg_fld_name = '",A13,"' where cd = '4575EA98D687C009959FFB6BB796FE27';")</f>
        <v>0</v>
      </c>
      <c r="M13">
        <f t="array" ref="M13">CONCATENATE("update msg_out_fld set description = '",D13,"' where tab_name = 'AEOI_CLASSIFICATION' and fld_name = 'CRTDATUM';")</f>
        <v>0</v>
      </c>
    </row>
    <row r="14" spans="1:13">
      <c r="A14" t="s">
        <v>48</v>
      </c>
      <c r="C14" t="s">
        <v>37</v>
      </c>
      <c r="D14" t="s">
        <v>228</v>
      </c>
      <c r="E14" t="s">
        <v>39</v>
      </c>
      <c r="F14" t="s">
        <v>23</v>
      </c>
      <c r="H14" t="s">
        <v>47</v>
      </c>
      <c r="K14">
        <f t="array" ref="K14">CONCATENATE("update msg_out_fld_config set msg_fld_name = '",A14,"' where cd = '2E4DC3F5D3E3769FF81592841AE5763C';")</f>
        <v>0</v>
      </c>
      <c r="M14">
        <f t="array" ref="M14">CONCATENATE("update msg_out_fld set description = '",D14,"' where tab_name = 'AEOI_CLASSIFICATION' and fld_name = 'CRTUSER';")</f>
        <v>0</v>
      </c>
    </row>
    <row r="15" spans="1:13">
      <c r="A15" t="s">
        <v>55</v>
      </c>
      <c r="C15" t="s">
        <v>230</v>
      </c>
      <c r="D15" t="s">
        <v>246</v>
      </c>
      <c r="H15" t="s">
        <v>245</v>
      </c>
      <c r="K15">
        <f t="array" ref="K15">CONCATENATE("update msg_out_fld_config set msg_fld_name = '",A15,"' where cd = '792F27F736F189B9D86DFEE1F55A90FF';")</f>
        <v>0</v>
      </c>
      <c r="M15">
        <f t="array" ref="M15">CONCATENATE("update msg_out_fld set description = '",D15,"' where tab_name = 'AEOI_CLASSIFICATION' and fld_name = 'CLASSIFICATION';")</f>
        <v>0</v>
      </c>
    </row>
    <row r="16" spans="1:13">
      <c r="A16" t="s">
        <v>248</v>
      </c>
      <c r="C16" t="s">
        <v>26</v>
      </c>
      <c r="D16" t="s">
        <v>249</v>
      </c>
      <c r="E16" t="s">
        <v>28</v>
      </c>
      <c r="F16" t="s">
        <v>29</v>
      </c>
      <c r="G16" t="s">
        <v>30</v>
      </c>
      <c r="H16" t="s">
        <v>247</v>
      </c>
      <c r="K16">
        <f t="array" ref="K16">CONCATENATE("update msg_out_fld_config set msg_fld_name = '",A16,"' where cd = '7A1FAB80C1964B1960B0521A4DB188A2';")</f>
        <v>0</v>
      </c>
      <c r="M16">
        <f t="array" ref="M16">CONCATENATE("update msg_out_fld set description = '",D16,"' where tab_name = 'AEOI_CLASSIFICATION' and fld_name = 'FOR_ENTITY_CD';")</f>
        <v>0</v>
      </c>
    </row>
    <row r="17" spans="1:13">
      <c r="A17" t="s">
        <v>251</v>
      </c>
      <c r="C17" t="s">
        <v>26</v>
      </c>
      <c r="D17" t="s">
        <v>252</v>
      </c>
      <c r="E17" t="s">
        <v>28</v>
      </c>
      <c r="F17" t="s">
        <v>29</v>
      </c>
      <c r="G17" t="s">
        <v>30</v>
      </c>
      <c r="H17" t="s">
        <v>250</v>
      </c>
      <c r="K17">
        <f t="array" ref="K17">CONCATENATE("update msg_out_fld_config set msg_fld_name = '",A17,"' where cd = '36186244E4563C688D3328654BC9AEE7';")</f>
        <v>0</v>
      </c>
      <c r="M17">
        <f t="array" ref="M17">CONCATENATE("update msg_out_fld set description = '",D17,"' where tab_name = 'AEOI_CLASSIFICATION' and fld_name = 'FOR_INDIVIDUAL_CD';")</f>
        <v>0</v>
      </c>
    </row>
    <row r="18" spans="1:13">
      <c r="A18" t="s">
        <v>58</v>
      </c>
      <c r="C18" t="s">
        <v>33</v>
      </c>
      <c r="D18" t="s">
        <v>59</v>
      </c>
      <c r="H18" t="s">
        <v>57</v>
      </c>
      <c r="K18">
        <f t="array" ref="K18">CONCATENATE("update msg_out_fld_config set msg_fld_name = '",A18,"' where cd = 'B20D47C82CE68BA2D78224922B50BEB6';")</f>
        <v>0</v>
      </c>
      <c r="M18">
        <f t="array" ref="M18">CONCATENATE("update msg_out_fld set description = '",D18,"' where tab_name = 'AEOI_CLASSIFICATION' and fld_name = 'MUTDATUM';")</f>
        <v>0</v>
      </c>
    </row>
    <row r="19" spans="1:13">
      <c r="A19" t="s">
        <v>61</v>
      </c>
      <c r="C19" t="s">
        <v>37</v>
      </c>
      <c r="D19" t="s">
        <v>62</v>
      </c>
      <c r="E19" t="s">
        <v>39</v>
      </c>
      <c r="F19" t="s">
        <v>23</v>
      </c>
      <c r="H19" t="s">
        <v>60</v>
      </c>
      <c r="K19">
        <f t="array" ref="K19">CONCATENATE("update msg_out_fld_config set msg_fld_name = '",A19,"' where cd = '6DA96783F24285F21BF572A02A472147';")</f>
        <v>0</v>
      </c>
      <c r="M19">
        <f t="array" ref="M19">CONCATENATE("update msg_out_fld set description = '",D19,"' where tab_name = 'AEOI_CLASSIFICATION' and fld_name = 'MUTUSER';")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4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253</v>
      </c>
    </row>
    <row r="2" spans="1:13">
      <c r="A2" s="1" t="s">
        <v>254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255</v>
      </c>
      <c r="K6">
        <f t="array" ref="K6">CONCATENATE("update msg_out_fld_config set msg_fld_name = '",A6,"' where cd = 'F6450AC1EE94D80ABE7C4C0C6CF9102C';")</f>
        <v>0</v>
      </c>
      <c r="M6">
        <f t="array" ref="M6">CONCATENATE("update msg_out_fld set description = '",D6,"' where tab_name = 'AEOI_EXEMPTION' and fld_name = 'EXEMPTION_CD';")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'15ECAC415260DC242967C7643210B236';")</f>
        <v>0</v>
      </c>
      <c r="M7">
        <f t="array" ref="M7">CONCATENATE("update msg_out_fld set description = '",D7,"' where tab_name = 'AEOI_EXEMPTION'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'6985A29B94131983291C1D660AF90CB0';")</f>
        <v>0</v>
      </c>
      <c r="M8">
        <f t="array" ref="M8">CONCATENATE("update msg_out_fld set description = '",D8,"' where tab_name = 'AEOI_EXEMPTION'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'D993547BDD194F930DF0B3E6889738BB';")</f>
        <v>0</v>
      </c>
      <c r="M9">
        <f t="array" ref="M9">CONCATENATE("update msg_out_fld set description = '",D9,"' where tab_name = 'AEOI_EXEMPTION' and fld_name = 'LOESCHUSER';")</f>
        <v>0</v>
      </c>
    </row>
    <row r="10" spans="1:13">
      <c r="A10" t="s">
        <v>45</v>
      </c>
      <c r="C10" t="s">
        <v>33</v>
      </c>
      <c r="D10" t="s">
        <v>227</v>
      </c>
      <c r="H10" t="s">
        <v>44</v>
      </c>
      <c r="K10">
        <f t="array" ref="K10">CONCATENATE("update msg_out_fld_config set msg_fld_name = '",A10,"' where cd = 'EBD26058504542694D835A07513F3B73';")</f>
        <v>0</v>
      </c>
      <c r="M10">
        <f t="array" ref="M10">CONCATENATE("update msg_out_fld set description = '",D10,"' where tab_name = 'AEOI_EXEMPTION' and fld_name = 'CRTDATUM';")</f>
        <v>0</v>
      </c>
    </row>
    <row r="11" spans="1:13">
      <c r="A11" t="s">
        <v>48</v>
      </c>
      <c r="C11" t="s">
        <v>37</v>
      </c>
      <c r="D11" t="s">
        <v>228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'5B0F66FDB6E1A3B8F3468913EF8BBE13';")</f>
        <v>0</v>
      </c>
      <c r="M11">
        <f t="array" ref="M11">CONCATENATE("update msg_out_fld set description = '",D11,"' where tab_name = 'AEOI_EXEMPTION' and fld_name = 'CRTUSER';")</f>
        <v>0</v>
      </c>
    </row>
    <row r="12" spans="1:13">
      <c r="A12" t="s">
        <v>55</v>
      </c>
      <c r="C12" t="s">
        <v>230</v>
      </c>
      <c r="D12" t="s">
        <v>257</v>
      </c>
      <c r="H12" t="s">
        <v>256</v>
      </c>
      <c r="K12">
        <f t="array" ref="K12">CONCATENATE("update msg_out_fld_config set msg_fld_name = '",A12,"' where cd = '30F54974FD07B96CF04F20809CCA1A2D';")</f>
        <v>0</v>
      </c>
      <c r="M12">
        <f t="array" ref="M12">CONCATENATE("update msg_out_fld set description = '",D12,"' where tab_name = 'AEOI_EXEMPTION' and fld_name = 'EXEMPTION';")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'0B30B481624F63F079BF3AEB0C4E6AAF';")</f>
        <v>0</v>
      </c>
      <c r="M13">
        <f t="array" ref="M13">CONCATENATE("update msg_out_fld set description = '",D13,"' where tab_name = 'AEOI_EXEMPTION'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'488756C24959D179240D11F0051B9040';")</f>
        <v>0</v>
      </c>
      <c r="M14">
        <f t="array" ref="M14">CONCATENATE("update msg_out_fld set description = '",D14,"' where tab_name = 'AEOI_EXEMPTION' and fld_name = 'MUTUSER';")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8.7109375" customWidth="1"/>
    <col min="2" max="2" width="4.28515625" customWidth="1"/>
    <col min="3" max="3" width="13.85546875" customWidth="1"/>
    <col min="4" max="4" width="22.28515625" customWidth="1"/>
    <col min="5" max="5" width="34.28515625" customWidth="1"/>
    <col min="6" max="6" width="10.28515625" customWidth="1"/>
    <col min="7" max="7" width="15.140625" customWidth="1"/>
    <col min="8" max="8" width="25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5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258</v>
      </c>
    </row>
    <row r="2" spans="1:13">
      <c r="A2" s="1" t="s">
        <v>259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260</v>
      </c>
      <c r="K6">
        <f t="array" ref="K6">CONCATENATE("update msg_out_fld_config set msg_fld_name = '",A6,"' where cd = '54570C0E64DAE7A3699C6DDBC58B62C1';")</f>
        <v>0</v>
      </c>
      <c r="M6">
        <f t="array" ref="M6">CONCATENATE("update msg_out_fld set description = '",D6,"' where tab_name = 'AEOI_SUB_CLASSIFICATION' and fld_name = 'SUB_CLASSIFICATION_CD';")</f>
        <v>0</v>
      </c>
    </row>
    <row r="7" spans="1:13">
      <c r="A7" t="s">
        <v>261</v>
      </c>
      <c r="C7" t="s">
        <v>26</v>
      </c>
      <c r="D7" t="s">
        <v>246</v>
      </c>
      <c r="E7" t="s">
        <v>262</v>
      </c>
      <c r="F7" t="s">
        <v>23</v>
      </c>
      <c r="H7" t="s">
        <v>235</v>
      </c>
      <c r="K7">
        <f t="array" ref="K7">CONCATENATE("update msg_out_fld_config set msg_fld_name = '",A7,"' where cd = '793491A1A9CB12DB03D333494A19D4E1';")</f>
        <v>0</v>
      </c>
      <c r="M7">
        <f t="array" ref="M7">CONCATENATE("update msg_out_fld set description = '",D7,"' where tab_name = 'AEOI_SUB_CLASSIFICATION' and fld_name = 'CLASSIFICATION_CD';")</f>
        <v>0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'749A53BEDF8D1BAB436D46CC2FCA7085';")</f>
        <v>0</v>
      </c>
      <c r="M8">
        <f t="array" ref="M8">CONCATENATE("update msg_out_fld set description = '",D8,"' where tab_name = 'AEOI_SUB_CLASSIFICATION' and fld_name = 'LOESCH_CD';")</f>
        <v>0</v>
      </c>
    </row>
    <row r="9" spans="1:13">
      <c r="A9" t="s">
        <v>32</v>
      </c>
      <c r="C9" t="s">
        <v>33</v>
      </c>
      <c r="D9" t="s">
        <v>34</v>
      </c>
      <c r="H9" t="s">
        <v>31</v>
      </c>
      <c r="K9">
        <f t="array" ref="K9">CONCATENATE("update msg_out_fld_config set msg_fld_name = '",A9,"' where cd = 'D96849148C913F5EBF30ED6113F494E1';")</f>
        <v>0</v>
      </c>
      <c r="M9">
        <f t="array" ref="M9">CONCATENATE("update msg_out_fld set description = '",D9,"' where tab_name = 'AEOI_SUB_CLASSIFICATION' and fld_name = 'LOESCHDATUM';")</f>
        <v>0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'61ABCB15E1131206B261A5EA1BE7B69A';")</f>
        <v>0</v>
      </c>
      <c r="M10">
        <f t="array" ref="M10">CONCATENATE("update msg_out_fld set description = '",D10,"' where tab_name = 'AEOI_SUB_CLASSIFICATION' and fld_name = 'LOESCHUSER';")</f>
        <v>0</v>
      </c>
    </row>
    <row r="11" spans="1:13">
      <c r="A11" t="s">
        <v>45</v>
      </c>
      <c r="C11" t="s">
        <v>33</v>
      </c>
      <c r="D11" t="s">
        <v>227</v>
      </c>
      <c r="H11" t="s">
        <v>44</v>
      </c>
      <c r="K11">
        <f t="array" ref="K11">CONCATENATE("update msg_out_fld_config set msg_fld_name = '",A11,"' where cd = '4B7CCC949F548FD01A5805C9021CE359';")</f>
        <v>0</v>
      </c>
      <c r="M11">
        <f t="array" ref="M11">CONCATENATE("update msg_out_fld set description = '",D11,"' where tab_name = 'AEOI_SUB_CLASSIFICATION' and fld_name = 'CRTDATUM';")</f>
        <v>0</v>
      </c>
    </row>
    <row r="12" spans="1:13">
      <c r="A12" t="s">
        <v>48</v>
      </c>
      <c r="C12" t="s">
        <v>37</v>
      </c>
      <c r="D12" t="s">
        <v>228</v>
      </c>
      <c r="E12" t="s">
        <v>39</v>
      </c>
      <c r="F12" t="s">
        <v>23</v>
      </c>
      <c r="H12" t="s">
        <v>47</v>
      </c>
      <c r="K12">
        <f t="array" ref="K12">CONCATENATE("update msg_out_fld_config set msg_fld_name = '",A12,"' where cd = '0F0EA12A3F6711D723F933937635FDAA';")</f>
        <v>0</v>
      </c>
      <c r="M12">
        <f t="array" ref="M12">CONCATENATE("update msg_out_fld set description = '",D12,"' where tab_name = 'AEOI_SUB_CLASSIFICATION' and fld_name = 'CRTUSER';")</f>
        <v>0</v>
      </c>
    </row>
    <row r="13" spans="1:13">
      <c r="A13" t="s">
        <v>55</v>
      </c>
      <c r="C13" t="s">
        <v>230</v>
      </c>
      <c r="D13" t="s">
        <v>264</v>
      </c>
      <c r="H13" t="s">
        <v>263</v>
      </c>
      <c r="K13">
        <f t="array" ref="K13">CONCATENATE("update msg_out_fld_config set msg_fld_name = '",A13,"' where cd = 'BA4A3DED355AE92DF0AF903C7F0F1704';")</f>
        <v>0</v>
      </c>
      <c r="M13">
        <f t="array" ref="M13">CONCATENATE("update msg_out_fld set description = '",D13,"' where tab_name = 'AEOI_SUB_CLASSIFICATION' and fld_name = 'SUB_CLASSIFICATION';")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'FE004F16E95B3A00BB170FAB5DE33AE0';")</f>
        <v>0</v>
      </c>
      <c r="M14">
        <f t="array" ref="M14">CONCATENATE("update msg_out_fld set description = '",D14,"' where tab_name = 'AEOI_SUB_CLASSIFICATION'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'AF35DEF5C700776AC881A95ACFB4097F';")</f>
        <v>0</v>
      </c>
      <c r="M15">
        <f t="array" ref="M15">CONCATENATE("update msg_out_fld set description = '",D15,"' where tab_name = 'AEOI_SUB_CLASSIFICATION' and fld_name = 'MUTUSER';")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1.140625" customWidth="1"/>
    <col min="2" max="2" width="4.28515625" customWidth="1"/>
    <col min="3" max="3" width="13.855468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9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3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265</v>
      </c>
    </row>
    <row r="2" spans="1:13">
      <c r="A2" s="1" t="s">
        <v>266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267</v>
      </c>
      <c r="K6">
        <f t="array" ref="K6">CONCATENATE("update msg_out_fld_config set msg_fld_name = '",A6,"' where cd = '349154C8AA94EF6E871E338887F1534C';")</f>
        <v>0</v>
      </c>
      <c r="M6">
        <f t="array" ref="M6">CONCATENATE("update msg_out_fld set description = '",D6,"' where tab_name = 'AEOI_SUB_EXEMPTION' and fld_name = 'SUB_EXEMPTION_CD';")</f>
        <v>0</v>
      </c>
    </row>
    <row r="7" spans="1:13">
      <c r="A7" t="s">
        <v>268</v>
      </c>
      <c r="C7" t="s">
        <v>26</v>
      </c>
      <c r="D7" t="s">
        <v>257</v>
      </c>
      <c r="E7" t="s">
        <v>269</v>
      </c>
      <c r="F7" t="s">
        <v>23</v>
      </c>
      <c r="H7" t="s">
        <v>255</v>
      </c>
      <c r="K7">
        <f t="array" ref="K7">CONCATENATE("update msg_out_fld_config set msg_fld_name = '",A7,"' where cd = 'E01677F9CFE1E3D08BA537612D065D1E';")</f>
        <v>0</v>
      </c>
      <c r="M7">
        <f t="array" ref="M7">CONCATENATE("update msg_out_fld set description = '",D7,"' where tab_name = 'AEOI_SUB_EXEMPTION' and fld_name = 'EXEMPTION_CD';")</f>
        <v>0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'5BBB6B016EEFCCD28BC0BB5F3A666DA9';")</f>
        <v>0</v>
      </c>
      <c r="M8">
        <f t="array" ref="M8">CONCATENATE("update msg_out_fld set description = '",D8,"' where tab_name = 'AEOI_SUB_EXEMPTION' and fld_name = 'LOESCH_CD';")</f>
        <v>0</v>
      </c>
    </row>
    <row r="9" spans="1:13">
      <c r="A9" t="s">
        <v>32</v>
      </c>
      <c r="C9" t="s">
        <v>33</v>
      </c>
      <c r="D9" t="s">
        <v>34</v>
      </c>
      <c r="H9" t="s">
        <v>31</v>
      </c>
      <c r="K9">
        <f t="array" ref="K9">CONCATENATE("update msg_out_fld_config set msg_fld_name = '",A9,"' where cd = 'E2C5DAE0097EF9E06D37F4E3C5A35AF1';")</f>
        <v>0</v>
      </c>
      <c r="M9">
        <f t="array" ref="M9">CONCATENATE("update msg_out_fld set description = '",D9,"' where tab_name = 'AEOI_SUB_EXEMPTION' and fld_name = 'LOESCHDATUM';")</f>
        <v>0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'BD93C662DFC96F39EE5C542EB1F1E820';")</f>
        <v>0</v>
      </c>
      <c r="M10">
        <f t="array" ref="M10">CONCATENATE("update msg_out_fld set description = '",D10,"' where tab_name = 'AEOI_SUB_EXEMPTION' and fld_name = 'LOESCHUSER';")</f>
        <v>0</v>
      </c>
    </row>
    <row r="11" spans="1:13">
      <c r="A11" t="s">
        <v>45</v>
      </c>
      <c r="C11" t="s">
        <v>33</v>
      </c>
      <c r="D11" t="s">
        <v>227</v>
      </c>
      <c r="H11" t="s">
        <v>44</v>
      </c>
      <c r="K11">
        <f t="array" ref="K11">CONCATENATE("update msg_out_fld_config set msg_fld_name = '",A11,"' where cd = '00D4EBCA1A4A0CC32A97A5FCA407064A';")</f>
        <v>0</v>
      </c>
      <c r="M11">
        <f t="array" ref="M11">CONCATENATE("update msg_out_fld set description = '",D11,"' where tab_name = 'AEOI_SUB_EXEMPTION' and fld_name = 'CRTDATUM';")</f>
        <v>0</v>
      </c>
    </row>
    <row r="12" spans="1:13">
      <c r="A12" t="s">
        <v>48</v>
      </c>
      <c r="C12" t="s">
        <v>37</v>
      </c>
      <c r="D12" t="s">
        <v>228</v>
      </c>
      <c r="E12" t="s">
        <v>39</v>
      </c>
      <c r="F12" t="s">
        <v>23</v>
      </c>
      <c r="H12" t="s">
        <v>47</v>
      </c>
      <c r="K12">
        <f t="array" ref="K12">CONCATENATE("update msg_out_fld_config set msg_fld_name = '",A12,"' where cd = '9BB4E8D5462596AFF8320218A44B377E';")</f>
        <v>0</v>
      </c>
      <c r="M12">
        <f t="array" ref="M12">CONCATENATE("update msg_out_fld set description = '",D12,"' where tab_name = 'AEOI_SUB_EXEMPTION' and fld_name = 'CRTUSER';")</f>
        <v>0</v>
      </c>
    </row>
    <row r="13" spans="1:13">
      <c r="A13" t="s">
        <v>55</v>
      </c>
      <c r="C13" t="s">
        <v>230</v>
      </c>
      <c r="D13" t="s">
        <v>271</v>
      </c>
      <c r="H13" t="s">
        <v>270</v>
      </c>
      <c r="K13">
        <f t="array" ref="K13">CONCATENATE("update msg_out_fld_config set msg_fld_name = '",A13,"' where cd = '285F0BE0237654AA383FCDBBF3F725D9';")</f>
        <v>0</v>
      </c>
      <c r="M13">
        <f t="array" ref="M13">CONCATENATE("update msg_out_fld set description = '",D13,"' where tab_name = 'AEOI_SUB_EXEMPTION' and fld_name = 'SUB_EXEMPTION';")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'B9367EF9390364A24B89654469265375';")</f>
        <v>0</v>
      </c>
      <c r="M14">
        <f t="array" ref="M14">CONCATENATE("update msg_out_fld set description = '",D14,"' where tab_name = 'AEOI_SUB_EXEMPTION'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'B1F335F75C6AA6B33046BBA6E235D368';")</f>
        <v>0</v>
      </c>
      <c r="M15">
        <f t="array" ref="M15">CONCATENATE("update msg_out_fld set description = '",D15,"' where tab_name = 'AEOI_SUB_EXEMPTION' and fld_name = 'MUTUSER';")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24.7109375" customWidth="1"/>
    <col min="5" max="5" width="34.28515625" customWidth="1"/>
    <col min="6" max="6" width="10.28515625" customWidth="1"/>
    <col min="7" max="7" width="15.140625" customWidth="1"/>
    <col min="8" max="8" width="19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2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272</v>
      </c>
    </row>
    <row r="2" spans="1:13">
      <c r="A2" s="1" t="s">
        <v>273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275</v>
      </c>
      <c r="D6" t="s">
        <v>17</v>
      </c>
      <c r="H6" t="s">
        <v>274</v>
      </c>
      <c r="K6">
        <f t="array" ref="K6">CONCATENATE("update msg_out_fld_config set msg_fld_name = '",A6,"' where cd = '8283A199BC060BF042D15CAF68DCC141';")</f>
        <v>0</v>
      </c>
      <c r="M6">
        <f t="array" ref="M6">CONCATENATE("update msg_out_fld set description = '",D6,"' where tab_name = 'AGENT_CLASS_TBLEAN_APSYS' and fld_name = 'AGENT_CLASS_CD';")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'643DCD30808680C3E45256552BED93A8';")</f>
        <v>0</v>
      </c>
      <c r="M7">
        <f t="array" ref="M7">CONCATENATE("update msg_out_fld set description = '",D7,"' where tab_name = 'AGENT_CLASS_TBLEAN_APSYS' and fld_name = 'LOESCH_CD';")</f>
        <v>0</v>
      </c>
    </row>
    <row r="8" spans="1:13">
      <c r="A8" t="s">
        <v>32</v>
      </c>
      <c r="C8" t="s">
        <v>104</v>
      </c>
      <c r="D8" t="s">
        <v>34</v>
      </c>
      <c r="H8" t="s">
        <v>31</v>
      </c>
      <c r="K8">
        <f t="array" ref="K8">CONCATENATE("update msg_out_fld_config set msg_fld_name = '",A8,"' where cd = 'F7B6895445B6558CAEAEE1158909607C';")</f>
        <v>0</v>
      </c>
      <c r="M8">
        <f t="array" ref="M8">CONCATENATE("update msg_out_fld set description = '",D8,"' where tab_name = 'AGENT_CLASS_TBLEAN_APSYS'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'5FEEA33D8EDB0288ED872D763DB32F78';")</f>
        <v>0</v>
      </c>
      <c r="M9">
        <f t="array" ref="M9">CONCATENATE("update msg_out_fld set description = '",D9,"' where tab_name = 'AGENT_CLASS_TBLEAN_APSYS' and fld_name = 'LOESCHUSER';")</f>
        <v>0</v>
      </c>
    </row>
    <row r="10" spans="1:13">
      <c r="A10" t="s">
        <v>45</v>
      </c>
      <c r="C10" t="s">
        <v>104</v>
      </c>
      <c r="D10" t="s">
        <v>46</v>
      </c>
      <c r="H10" t="s">
        <v>44</v>
      </c>
      <c r="K10">
        <f t="array" ref="K10">CONCATENATE("update msg_out_fld_config set msg_fld_name = '",A10,"' where cd = '0D9D0DEA3B937FE22B783B14EFDA77C1';")</f>
        <v>0</v>
      </c>
      <c r="M10">
        <f t="array" ref="M10">CONCATENATE("update msg_out_fld set description = '",D10,"' where tab_name = 'AGENT_CLASS_TBLEAN_APSYS'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'5F0020F5E81809F9C62F6F04EE9B1133';")</f>
        <v>0</v>
      </c>
      <c r="M11">
        <f t="array" ref="M11">CONCATENATE("update msg_out_fld set description = '",D11,"' where tab_name = 'AGENT_CLASS_TBLEAN_APSYS' and fld_name = 'CRTUSER';")</f>
        <v>0</v>
      </c>
    </row>
    <row r="12" spans="1:13">
      <c r="A12" t="s">
        <v>55</v>
      </c>
      <c r="C12" t="s">
        <v>277</v>
      </c>
      <c r="D12" t="s">
        <v>278</v>
      </c>
      <c r="H12" t="s">
        <v>276</v>
      </c>
      <c r="K12">
        <f t="array" ref="K12">CONCATENATE("update msg_out_fld_config set msg_fld_name = '",A12,"' where cd = 'B2BF5256BDD73EFECBE8970B9D58077D';")</f>
        <v>0</v>
      </c>
      <c r="M12">
        <f t="array" ref="M12">CONCATENATE("update msg_out_fld set description = '",D12,"' where tab_name = 'AGENT_CLASS_TBLEAN_APSYS' and fld_name = 'AGENT_CLASS_DESC';")</f>
        <v>0</v>
      </c>
    </row>
    <row r="13" spans="1:13">
      <c r="A13" t="s">
        <v>58</v>
      </c>
      <c r="C13" t="s">
        <v>104</v>
      </c>
      <c r="D13" t="s">
        <v>59</v>
      </c>
      <c r="H13" t="s">
        <v>57</v>
      </c>
      <c r="K13">
        <f t="array" ref="K13">CONCATENATE("update msg_out_fld_config set msg_fld_name = '",A13,"' where cd = '4B1F03D2EDB8E9706FB5DE9805C10FC9';")</f>
        <v>0</v>
      </c>
      <c r="M13">
        <f t="array" ref="M13">CONCATENATE("update msg_out_fld set description = '",D13,"' where tab_name = 'AGENT_CLASS_TBLEAN_APSYS'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'ACF8547672941CE29C869CAA4B027D26';")</f>
        <v>0</v>
      </c>
      <c r="M14">
        <f t="array" ref="M14">CONCATENATE("update msg_out_fld set description = '",D14,"' where tab_name = 'AGENT_CLASS_TBLEAN_APSYS' and fld_name = 'MUTUSER';")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8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279</v>
      </c>
    </row>
    <row r="2" spans="1:13">
      <c r="A2" s="1" t="s">
        <v>280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281</v>
      </c>
      <c r="K6">
        <f t="array" ref="K6">CONCATENATE("update msg_out_fld_config set msg_fld_name = '",A6,"' where cd = '4544AF69A4D7E8476E945AF0B130E54A';")</f>
        <v>0</v>
      </c>
      <c r="M6">
        <f t="array" ref="M6">CONCATENATE("update msg_out_fld set description = '",D6,"' where tab_name = 'APPROVAL_ASSESSMENT_STEP1' and fld_name = 'ASSESSMENT_CD';")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'5BB950A44158ACBD7E04712E95EE6925';")</f>
        <v>0</v>
      </c>
      <c r="M7">
        <f t="array" ref="M7">CONCATENATE("update msg_out_fld set description = '",D7,"' where tab_name = 'APPROVAL_ASSESSMENT_STEP1'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'293673BB2F7B9C0675CC8B64FFF0C98A';")</f>
        <v>0</v>
      </c>
      <c r="M8">
        <f t="array" ref="M8">CONCATENATE("update msg_out_fld set description = '",D8,"' where tab_name = 'APPROVAL_ASSESSMENT_STEP1'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'062E2D68D6E806B131FF1C9DE8982AB0';")</f>
        <v>0</v>
      </c>
      <c r="M9">
        <f t="array" ref="M9">CONCATENATE("update msg_out_fld set description = '",D9,"' where tab_name = 'APPROVAL_ASSESSMENT_STEP1'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'12AF24E8CA51CD523EE81BF8577D2D7F';")</f>
        <v>0</v>
      </c>
      <c r="M10">
        <f t="array" ref="M10">CONCATENATE("update msg_out_fld set description = '",D10,"' where tab_name = 'APPROVAL_ASSESSMENT_STEP1'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'82C3FC26D94B6F10DA9DCA5BC4719B33';")</f>
        <v>0</v>
      </c>
      <c r="M11">
        <f t="array" ref="M11">CONCATENATE("update msg_out_fld set description = '",D11,"' where tab_name = 'APPROVAL_ASSESSMENT_STEP1' and fld_name = 'CRTUSER';")</f>
        <v>0</v>
      </c>
    </row>
    <row r="12" spans="1:13">
      <c r="A12" t="s">
        <v>55</v>
      </c>
      <c r="C12" t="s">
        <v>230</v>
      </c>
      <c r="D12" t="s">
        <v>283</v>
      </c>
      <c r="H12" t="s">
        <v>282</v>
      </c>
      <c r="K12">
        <f t="array" ref="K12">CONCATENATE("update msg_out_fld_config set msg_fld_name = '",A12,"' where cd = 'B3F8A679C58FC4E2D7484B92FD3E1345';")</f>
        <v>0</v>
      </c>
      <c r="M12">
        <f t="array" ref="M12">CONCATENATE("update msg_out_fld set description = '",D12,"' where tab_name = 'APPROVAL_ASSESSMENT_STEP1' and fld_name = 'ASSESSMENT';")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'0DB7D1F8F87C6C4B39099DF30F73D24C';")</f>
        <v>0</v>
      </c>
      <c r="M13">
        <f t="array" ref="M13">CONCATENATE("update msg_out_fld set description = '",D13,"' where tab_name = 'APPROVAL_ASSESSMENT_STEP1'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'47E4CEBD75B7C5652953BC49DDE5BB29';")</f>
        <v>0</v>
      </c>
      <c r="M14">
        <f t="array" ref="M14">CONCATENATE("update msg_out_fld set description = '",D14,"' where tab_name = 'APPROVAL_ASSESSMENT_STEP1' and fld_name = 'MUTUSER';")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8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284</v>
      </c>
    </row>
    <row r="2" spans="1:13">
      <c r="A2" s="1" t="s">
        <v>285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281</v>
      </c>
      <c r="K6">
        <f t="array" ref="K6">CONCATENATE("update msg_out_fld_config set msg_fld_name = '",A6,"' where cd = '7A4A6F703EB9C012C971AC5163346A06';")</f>
        <v>0</v>
      </c>
      <c r="M6">
        <f t="array" ref="M6">CONCATENATE("update msg_out_fld set description = '",D6,"' where tab_name = 'APPROVAL_ASSESSMENT_STEP2' and fld_name = 'ASSESSMENT_CD';")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'4420D2EC998882E9C2FD99542BCF2951';")</f>
        <v>0</v>
      </c>
      <c r="M7">
        <f t="array" ref="M7">CONCATENATE("update msg_out_fld set description = '",D7,"' where tab_name = 'APPROVAL_ASSESSMENT_STEP2'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'A8FA8E05EA3FE70FC4200C5CCD55FDB6';")</f>
        <v>0</v>
      </c>
      <c r="M8">
        <f t="array" ref="M8">CONCATENATE("update msg_out_fld set description = '",D8,"' where tab_name = 'APPROVAL_ASSESSMENT_STEP2'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'E258E5E99EDDBF64D1D301F564AFA13F';")</f>
        <v>0</v>
      </c>
      <c r="M9">
        <f t="array" ref="M9">CONCATENATE("update msg_out_fld set description = '",D9,"' where tab_name = 'APPROVAL_ASSESSMENT_STEP2'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'99CDB5C7C84E86949D5D5CB8AB994A21';")</f>
        <v>0</v>
      </c>
      <c r="M10">
        <f t="array" ref="M10">CONCATENATE("update msg_out_fld set description = '",D10,"' where tab_name = 'APPROVAL_ASSESSMENT_STEP2'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'1FBFD4C92F9CD54913EBCD026E4BF6A8';")</f>
        <v>0</v>
      </c>
      <c r="M11">
        <f t="array" ref="M11">CONCATENATE("update msg_out_fld set description = '",D11,"' where tab_name = 'APPROVAL_ASSESSMENT_STEP2' and fld_name = 'CRTUSER';")</f>
        <v>0</v>
      </c>
    </row>
    <row r="12" spans="1:13">
      <c r="A12" t="s">
        <v>55</v>
      </c>
      <c r="C12" t="s">
        <v>230</v>
      </c>
      <c r="D12" t="s">
        <v>283</v>
      </c>
      <c r="H12" t="s">
        <v>282</v>
      </c>
      <c r="K12">
        <f t="array" ref="K12">CONCATENATE("update msg_out_fld_config set msg_fld_name = '",A12,"' where cd = 'C1362A670E36ACAD96E624193EBEED79';")</f>
        <v>0</v>
      </c>
      <c r="M12">
        <f t="array" ref="M12">CONCATENATE("update msg_out_fld set description = '",D12,"' where tab_name = 'APPROVAL_ASSESSMENT_STEP2' and fld_name = 'ASSESSMENT';")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'8128C8C6BA9968E5BA80998807428795';")</f>
        <v>0</v>
      </c>
      <c r="M13">
        <f t="array" ref="M13">CONCATENATE("update msg_out_fld set description = '",D13,"' where tab_name = 'APPROVAL_ASSESSMENT_STEP2'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'7E6105630C6FEC33CD7D4A9C12F3666E';")</f>
        <v>0</v>
      </c>
      <c r="M14">
        <f t="array" ref="M14">CONCATENATE("update msg_out_fld set description = '",D14,"' where tab_name = 'APPROVAL_ASSESSMENT_STEP2' and fld_name = 'MUTUSER';")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8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286</v>
      </c>
    </row>
    <row r="2" spans="1:13">
      <c r="A2" s="1" t="s">
        <v>287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281</v>
      </c>
      <c r="K6">
        <f t="array" ref="K6">CONCATENATE("update msg_out_fld_config set msg_fld_name = '",A6,"' where cd = '9BB752AC4DE7FD02AC469EBB2B7DABAD';")</f>
        <v>0</v>
      </c>
      <c r="M6">
        <f t="array" ref="M6">CONCATENATE("update msg_out_fld set description = '",D6,"' where tab_name = 'APPROVAL_ASSESSMENT_STEP3' and fld_name = 'ASSESSMENT_CD';")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'27AF8A11E848F6E8A38E53A00EC8E964';")</f>
        <v>0</v>
      </c>
      <c r="M7">
        <f t="array" ref="M7">CONCATENATE("update msg_out_fld set description = '",D7,"' where tab_name = 'APPROVAL_ASSESSMENT_STEP3'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'3FF36CB92D1680D4142140B782CC566A';")</f>
        <v>0</v>
      </c>
      <c r="M8">
        <f t="array" ref="M8">CONCATENATE("update msg_out_fld set description = '",D8,"' where tab_name = 'APPROVAL_ASSESSMENT_STEP3'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'69485044242F7284121867F6ADB48393';")</f>
        <v>0</v>
      </c>
      <c r="M9">
        <f t="array" ref="M9">CONCATENATE("update msg_out_fld set description = '",D9,"' where tab_name = 'APPROVAL_ASSESSMENT_STEP3'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'1047445527C13FCA73D1DE924FB471FE';")</f>
        <v>0</v>
      </c>
      <c r="M10">
        <f t="array" ref="M10">CONCATENATE("update msg_out_fld set description = '",D10,"' where tab_name = 'APPROVAL_ASSESSMENT_STEP3'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'3DBB4C9BE7A81DAEF98F8F81E3059B75';")</f>
        <v>0</v>
      </c>
      <c r="M11">
        <f t="array" ref="M11">CONCATENATE("update msg_out_fld set description = '",D11,"' where tab_name = 'APPROVAL_ASSESSMENT_STEP3' and fld_name = 'CRTUSER';")</f>
        <v>0</v>
      </c>
    </row>
    <row r="12" spans="1:13">
      <c r="A12" t="s">
        <v>55</v>
      </c>
      <c r="C12" t="s">
        <v>230</v>
      </c>
      <c r="D12" t="s">
        <v>283</v>
      </c>
      <c r="H12" t="s">
        <v>282</v>
      </c>
      <c r="K12">
        <f t="array" ref="K12">CONCATENATE("update msg_out_fld_config set msg_fld_name = '",A12,"' where cd = '3028F72EFB836FDE1586B9EFECCAECF7';")</f>
        <v>0</v>
      </c>
      <c r="M12">
        <f t="array" ref="M12">CONCATENATE("update msg_out_fld set description = '",D12,"' where tab_name = 'APPROVAL_ASSESSMENT_STEP3' and fld_name = 'ASSESSMENT';")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'2AD1198B8157C1DFAC83242638DBD5C3';")</f>
        <v>0</v>
      </c>
      <c r="M13">
        <f t="array" ref="M13">CONCATENATE("update msg_out_fld set description = '",D13,"' where tab_name = 'APPROVAL_ASSESSMENT_STEP3'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'C9F8E65DF2B01AA1CE2315AAC4C9F9DA';")</f>
        <v>0</v>
      </c>
      <c r="M14">
        <f t="array" ref="M14">CONCATENATE("update msg_out_fld set description = '",D14,"' where tab_name = 'APPROVAL_ASSESSMENT_STEP3' and fld_name = 'MUTUSER';")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8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288</v>
      </c>
    </row>
    <row r="2" spans="1:13">
      <c r="A2" s="1" t="s">
        <v>289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281</v>
      </c>
      <c r="K6">
        <f t="array" ref="K6">CONCATENATE("update msg_out_fld_config set msg_fld_name = '",A6,"' where cd = 'AED74A0BF4FD4A2FADC4D7CB44CB8527';")</f>
        <v>0</v>
      </c>
      <c r="M6">
        <f t="array" ref="M6">CONCATENATE("update msg_out_fld set description = '",D6,"' where tab_name = 'APPROVAL_ASSESSMENT_STEP4' and fld_name = 'ASSESSMENT_CD';")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'35DC5FB129E2E8262E704E7D38F53B7C';")</f>
        <v>0</v>
      </c>
      <c r="M7">
        <f t="array" ref="M7">CONCATENATE("update msg_out_fld set description = '",D7,"' where tab_name = 'APPROVAL_ASSESSMENT_STEP4'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'90E4EA5FA9DDA0B689D819044531EEF4';")</f>
        <v>0</v>
      </c>
      <c r="M8">
        <f t="array" ref="M8">CONCATENATE("update msg_out_fld set description = '",D8,"' where tab_name = 'APPROVAL_ASSESSMENT_STEP4'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'9CCEEF0F7B75CE2E7FA6917FF2AA7CF8';")</f>
        <v>0</v>
      </c>
      <c r="M9">
        <f t="array" ref="M9">CONCATENATE("update msg_out_fld set description = '",D9,"' where tab_name = 'APPROVAL_ASSESSMENT_STEP4'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'BECADE9A781EC84FD887CBA8A5334A6A';")</f>
        <v>0</v>
      </c>
      <c r="M10">
        <f t="array" ref="M10">CONCATENATE("update msg_out_fld set description = '",D10,"' where tab_name = 'APPROVAL_ASSESSMENT_STEP4'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'0DD15C3B20D0459C483865E32181AB0E';")</f>
        <v>0</v>
      </c>
      <c r="M11">
        <f t="array" ref="M11">CONCATENATE("update msg_out_fld set description = '",D11,"' where tab_name = 'APPROVAL_ASSESSMENT_STEP4' and fld_name = 'CRTUSER';")</f>
        <v>0</v>
      </c>
    </row>
    <row r="12" spans="1:13">
      <c r="A12" t="s">
        <v>55</v>
      </c>
      <c r="C12" t="s">
        <v>230</v>
      </c>
      <c r="D12" t="s">
        <v>283</v>
      </c>
      <c r="H12" t="s">
        <v>282</v>
      </c>
      <c r="K12">
        <f t="array" ref="K12">CONCATENATE("update msg_out_fld_config set msg_fld_name = '",A12,"' where cd = '623F43BD031CD9F17D3A121B8E1DADE7';")</f>
        <v>0</v>
      </c>
      <c r="M12">
        <f t="array" ref="M12">CONCATENATE("update msg_out_fld set description = '",D12,"' where tab_name = 'APPROVAL_ASSESSMENT_STEP4' and fld_name = 'ASSESSMENT';")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'0DB49F2CC18EE16F6FF6824D53414C42';")</f>
        <v>0</v>
      </c>
      <c r="M13">
        <f t="array" ref="M13">CONCATENATE("update msg_out_fld set description = '",D13,"' where tab_name = 'APPROVAL_ASSESSMENT_STEP4'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'BA6F2C581D190875C89A9409FE506294';")</f>
        <v>0</v>
      </c>
      <c r="M14">
        <f t="array" ref="M14">CONCATENATE("update msg_out_fld set description = '",D14,"' where tab_name = 'APPROVAL_ASSESSMENT_STEP4' and fld_name = 'MUTUSER';")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8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290</v>
      </c>
    </row>
    <row r="2" spans="1:13">
      <c r="A2" s="1" t="s">
        <v>291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281</v>
      </c>
      <c r="K6">
        <f t="array" ref="K6">CONCATENATE("update msg_out_fld_config set msg_fld_name = '",A6,"' where cd = 'B0D69348AF276027A3ECF3B3E6EAEAC9';")</f>
        <v>0</v>
      </c>
      <c r="M6">
        <f t="array" ref="M6">CONCATENATE("update msg_out_fld set description = '",D6,"' where tab_name = 'APPROVAL_ASSESSMENT_STEP5' and fld_name = 'ASSESSMENT_CD';")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'E801142F7D5082A391EDEFDEDBFAF8FD';")</f>
        <v>0</v>
      </c>
      <c r="M7">
        <f t="array" ref="M7">CONCATENATE("update msg_out_fld set description = '",D7,"' where tab_name = 'APPROVAL_ASSESSMENT_STEP5'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'04AC8B834E8DA1A8D1D7BE7862C59C5B';")</f>
        <v>0</v>
      </c>
      <c r="M8">
        <f t="array" ref="M8">CONCATENATE("update msg_out_fld set description = '",D8,"' where tab_name = 'APPROVAL_ASSESSMENT_STEP5'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'F20A0746DEB1FCE8A6875A5037C4EC6C';")</f>
        <v>0</v>
      </c>
      <c r="M9">
        <f t="array" ref="M9">CONCATENATE("update msg_out_fld set description = '",D9,"' where tab_name = 'APPROVAL_ASSESSMENT_STEP5'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'E58A7435F3711682DAD0709C1F9D5403';")</f>
        <v>0</v>
      </c>
      <c r="M10">
        <f t="array" ref="M10">CONCATENATE("update msg_out_fld set description = '",D10,"' where tab_name = 'APPROVAL_ASSESSMENT_STEP5'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'7EFA20DCB9011EECDE7B2B9B5D363AD5';")</f>
        <v>0</v>
      </c>
      <c r="M11">
        <f t="array" ref="M11">CONCATENATE("update msg_out_fld set description = '",D11,"' where tab_name = 'APPROVAL_ASSESSMENT_STEP5' and fld_name = 'CRTUSER';")</f>
        <v>0</v>
      </c>
    </row>
    <row r="12" spans="1:13">
      <c r="A12" t="s">
        <v>55</v>
      </c>
      <c r="C12" t="s">
        <v>230</v>
      </c>
      <c r="D12" t="s">
        <v>283</v>
      </c>
      <c r="H12" t="s">
        <v>282</v>
      </c>
      <c r="K12">
        <f t="array" ref="K12">CONCATENATE("update msg_out_fld_config set msg_fld_name = '",A12,"' where cd = '828BC8658AB4E3BB4681E23C7BDB0B5D';")</f>
        <v>0</v>
      </c>
      <c r="M12">
        <f t="array" ref="M12">CONCATENATE("update msg_out_fld set description = '",D12,"' where tab_name = 'APPROVAL_ASSESSMENT_STEP5' and fld_name = 'ASSESSMENT';")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'3A79AF1B7C2E897AB38CB3CF3781FFB0';")</f>
        <v>0</v>
      </c>
      <c r="M13">
        <f t="array" ref="M13">CONCATENATE("update msg_out_fld set description = '",D13,"' where tab_name = 'APPROVAL_ASSESSMENT_STEP5'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'EAD77CD3EAAC42ABDB0AB027A4446F9E';")</f>
        <v>0</v>
      </c>
      <c r="M14">
        <f t="array" ref="M14">CONCATENATE("update msg_out_fld set description = '",D14,"' where tab_name = 'APPROVAL_ASSESSMENT_STEP5' and fld_name = 'MUTUSER';")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1.140625" customWidth="1"/>
    <col min="2" max="2" width="4.28515625" customWidth="1"/>
    <col min="3" max="3" width="13.85546875" customWidth="1"/>
    <col min="4" max="4" width="17.5703125" customWidth="1"/>
    <col min="5" max="5" width="65.5703125" customWidth="1"/>
    <col min="6" max="6" width="10.28515625" customWidth="1"/>
    <col min="7" max="7" width="15.140625" customWidth="1"/>
    <col min="8" max="8" width="21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3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292</v>
      </c>
    </row>
    <row r="2" spans="1:13">
      <c r="A2" s="1" t="s">
        <v>293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294</v>
      </c>
      <c r="K6">
        <f t="array" ref="K6">CONCATENATE("update msg_out_fld_config set msg_fld_name = '",A6,"' where cd = '021AFC939A0FA7F7BF7B1E278223C8C4';")</f>
        <v>0</v>
      </c>
      <c r="M6">
        <f t="array" ref="M6">CONCATENATE("update msg_out_fld set description = '",D6,"' where tab_name = 'SPERRGRUND_APSYS' and fld_name = 'SPERRGRUND_CD';")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'AA326632F44B1942DA44B4B856053024';")</f>
        <v>0</v>
      </c>
      <c r="M7">
        <f t="array" ref="M7">CONCATENATE("update msg_out_fld set description = '",D7,"' where tab_name = 'SPERRGRUND_APSYS'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'FC5BFF29A764A23BB42B538B02950C45';")</f>
        <v>0</v>
      </c>
      <c r="M8">
        <f t="array" ref="M8">CONCATENATE("update msg_out_fld set description = '",D8,"' where tab_name = 'SPERRGRUND_APSYS'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'4854A326F63A5DDD320A9748279C73BB';")</f>
        <v>0</v>
      </c>
      <c r="M9">
        <f t="array" ref="M9">CONCATENATE("update msg_out_fld set description = '",D9,"' where tab_name = 'SPERRGRUND_APSYS'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'7D72BF05A89BD00E353ADCAD863C1BA4';")</f>
        <v>0</v>
      </c>
      <c r="M10">
        <f t="array" ref="M10">CONCATENATE("update msg_out_fld set description = '",D10,"' where tab_name = 'SPERRGRUND_APSYS'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'FB2ADEC6D69605B43531CAFFC2181570';")</f>
        <v>0</v>
      </c>
      <c r="M11">
        <f t="array" ref="M11">CONCATENATE("update msg_out_fld set description = '",D11,"' where tab_name = 'SPERRGRUND_APSYS' and fld_name = 'CRTUSER';")</f>
        <v>0</v>
      </c>
    </row>
    <row r="12" spans="1:13">
      <c r="A12" t="s">
        <v>55</v>
      </c>
      <c r="C12" t="s">
        <v>230</v>
      </c>
      <c r="D12" t="s">
        <v>7</v>
      </c>
      <c r="H12" t="s">
        <v>295</v>
      </c>
      <c r="K12">
        <f t="array" ref="K12">CONCATENATE("update msg_out_fld_config set msg_fld_name = '",A12,"' where cd = 'FD4801A310A0B194993B47DB629C2B80';")</f>
        <v>0</v>
      </c>
      <c r="M12">
        <f t="array" ref="M12">CONCATENATE("update msg_out_fld set description = '",D12,"' where tab_name = 'SPERRGRUND_APSYS' and fld_name = 'SPERRGRUND';")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'B4D52FC390FDABDDBBED99F810E5F9B7';")</f>
        <v>0</v>
      </c>
      <c r="M13">
        <f t="array" ref="M13">CONCATENATE("update msg_out_fld set description = '",D13,"' where tab_name = 'SPERRGRUND_APSYS'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'FABB63CCBD19D973E4E38B682ED73556';")</f>
        <v>0</v>
      </c>
      <c r="M14">
        <f t="array" ref="M14">CONCATENATE("update msg_out_fld set description = '",D14,"' where tab_name = 'SPERRGRUND_APSYS' and fld_name = 'MUTUSER';")</f>
        <v>0</v>
      </c>
    </row>
    <row r="15" spans="1:13">
      <c r="A15" t="s">
        <v>297</v>
      </c>
      <c r="C15" t="s">
        <v>26</v>
      </c>
      <c r="D15" t="s">
        <v>298</v>
      </c>
      <c r="E15" t="s">
        <v>299</v>
      </c>
      <c r="F15" t="s">
        <v>29</v>
      </c>
      <c r="G15" t="s">
        <v>300</v>
      </c>
      <c r="H15" t="s">
        <v>296</v>
      </c>
      <c r="K15">
        <f t="array" ref="K15">CONCATENATE("update msg_out_fld_config set msg_fld_name = '",A15,"' where cd = 'F8BF45E2AFDB7E3E7A15827F5BBC9806';")</f>
        <v>0</v>
      </c>
      <c r="M15">
        <f t="array" ref="M15">CONCATENATE("update msg_out_fld set description = '",D15,"' where tab_name = 'SPERRGRUND_APSYS' and fld_name = 'VALIDITY_LEVEL_CD';")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3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301</v>
      </c>
    </row>
    <row r="2" spans="1:13">
      <c r="A2" s="1" t="s">
        <v>302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304</v>
      </c>
      <c r="B6" t="s">
        <v>15</v>
      </c>
      <c r="C6" t="s">
        <v>20</v>
      </c>
      <c r="D6" t="s">
        <v>305</v>
      </c>
      <c r="H6" t="s">
        <v>303</v>
      </c>
      <c r="K6">
        <f t="array" ref="K6">CONCATENATE("update msg_out_fld_config set msg_fld_name = '",A6,"' where cd = '2D6FAA7DC037834B3718F143253483E8';")</f>
        <v>0</v>
      </c>
      <c r="M6">
        <f t="array" ref="M6">CONCATENATE("update msg_out_fld set description = '",D6,"' where tab_name = 'CATEGORYCODE_APSYS' and fld_name = 'CDAPPS';")</f>
        <v>0</v>
      </c>
    </row>
    <row r="7" spans="1:13">
      <c r="A7" t="s">
        <v>14</v>
      </c>
      <c r="B7" t="s">
        <v>15</v>
      </c>
      <c r="C7" t="s">
        <v>20</v>
      </c>
      <c r="D7" t="s">
        <v>17</v>
      </c>
      <c r="H7" t="s">
        <v>306</v>
      </c>
      <c r="K7">
        <f t="array" ref="K7">CONCATENATE("update msg_out_fld_config set msg_fld_name = '",A7,"' where cd = '7EEB1A5030C66E7A0602888C310AEF30';")</f>
        <v>0</v>
      </c>
      <c r="M7">
        <f t="array" ref="M7">CONCATENATE("update msg_out_fld set description = '",D7,"' where tab_name = 'CATEGORYCODE_APSYS' and fld_name = 'CATEGORYCODE_CD';")</f>
        <v>0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'743E48EE6277FA3E303DD5C9FF47D6FD';")</f>
        <v>0</v>
      </c>
      <c r="M8">
        <f t="array" ref="M8">CONCATENATE("update msg_out_fld set description = '",D8,"' where tab_name = 'CATEGORYCODE_APSYS' and fld_name = 'LOESCH_CD';")</f>
        <v>0</v>
      </c>
    </row>
    <row r="9" spans="1:13">
      <c r="A9" t="s">
        <v>32</v>
      </c>
      <c r="C9" t="s">
        <v>33</v>
      </c>
      <c r="D9" t="s">
        <v>34</v>
      </c>
      <c r="H9" t="s">
        <v>31</v>
      </c>
      <c r="K9">
        <f t="array" ref="K9">CONCATENATE("update msg_out_fld_config set msg_fld_name = '",A9,"' where cd = '62AD5ECDEE5B5EE58AED966ADD874EE4';")</f>
        <v>0</v>
      </c>
      <c r="M9">
        <f t="array" ref="M9">CONCATENATE("update msg_out_fld set description = '",D9,"' where tab_name = 'CATEGORYCODE_APSYS' and fld_name = 'LOESCHDATUM';")</f>
        <v>0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'3DCB3A5A9F2977F960F622409D27E9A1';")</f>
        <v>0</v>
      </c>
      <c r="M10">
        <f t="array" ref="M10">CONCATENATE("update msg_out_fld set description = '",D10,"' where tab_name = 'CATEGORYCODE_APSYS' and fld_name = 'LOESCHUSER';")</f>
        <v>0</v>
      </c>
    </row>
    <row r="11" spans="1:13">
      <c r="A11" t="s">
        <v>45</v>
      </c>
      <c r="C11" t="s">
        <v>33</v>
      </c>
      <c r="D11" t="s">
        <v>46</v>
      </c>
      <c r="H11" t="s">
        <v>44</v>
      </c>
      <c r="K11">
        <f t="array" ref="K11">CONCATENATE("update msg_out_fld_config set msg_fld_name = '",A11,"' where cd = '49A71E03A5299C4CB9F2607AA950803B';")</f>
        <v>0</v>
      </c>
      <c r="M11">
        <f t="array" ref="M11">CONCATENATE("update msg_out_fld set description = '",D11,"' where tab_name = 'CATEGORYCODE_APSYS' and fld_name = 'CRTDATUM';")</f>
        <v>0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  <c r="K12">
        <f t="array" ref="K12">CONCATENATE("update msg_out_fld_config set msg_fld_name = '",A12,"' where cd = '2D20900B184DE97B59A4F3F7E4570E5E';")</f>
        <v>0</v>
      </c>
      <c r="M12">
        <f t="array" ref="M12">CONCATENATE("update msg_out_fld set description = '",D12,"' where tab_name = 'CATEGORYCODE_APSYS' and fld_name = 'CRTUSER';")</f>
        <v>0</v>
      </c>
    </row>
    <row r="13" spans="1:13">
      <c r="A13" t="s">
        <v>55</v>
      </c>
      <c r="C13" t="s">
        <v>75</v>
      </c>
      <c r="D13" t="s">
        <v>7</v>
      </c>
      <c r="H13" t="s">
        <v>307</v>
      </c>
      <c r="K13">
        <f t="array" ref="K13">CONCATENATE("update msg_out_fld_config set msg_fld_name = '",A13,"' where cd = 'EFEF2F6E5CB71AC8AD3B728B77630446';")</f>
        <v>0</v>
      </c>
      <c r="M13">
        <f t="array" ref="M13">CONCATENATE("update msg_out_fld set description = '",D13,"' where tab_name = 'CATEGORYCODE_APSYS' and fld_name = 'CATEGORYCODE';")</f>
        <v>0</v>
      </c>
    </row>
    <row r="14" spans="1:13">
      <c r="A14" t="s">
        <v>309</v>
      </c>
      <c r="C14" t="s">
        <v>26</v>
      </c>
      <c r="D14" t="s">
        <v>310</v>
      </c>
      <c r="E14" t="s">
        <v>28</v>
      </c>
      <c r="F14" t="s">
        <v>29</v>
      </c>
      <c r="G14" t="s">
        <v>30</v>
      </c>
      <c r="H14" t="s">
        <v>308</v>
      </c>
      <c r="K14">
        <f t="array" ref="K14">CONCATENATE("update msg_out_fld_config set msg_fld_name = '",A14,"' where cd = 'CFD2A0306EEE9B92F6FABCEC44CF5D3B';")</f>
        <v>0</v>
      </c>
      <c r="M14">
        <f t="array" ref="M14">CONCATENATE("update msg_out_fld set description = '",D14,"' where tab_name = 'CATEGORYCODE_APSYS' and fld_name = 'DEFAULTVALUE_CD';")</f>
        <v>0</v>
      </c>
    </row>
    <row r="15" spans="1:13">
      <c r="A15" t="s">
        <v>58</v>
      </c>
      <c r="C15" t="s">
        <v>33</v>
      </c>
      <c r="D15" t="s">
        <v>59</v>
      </c>
      <c r="H15" t="s">
        <v>57</v>
      </c>
      <c r="K15">
        <f t="array" ref="K15">CONCATENATE("update msg_out_fld_config set msg_fld_name = '",A15,"' where cd = 'D6AD7DF0C795B21553ECACA560ACAD17';")</f>
        <v>0</v>
      </c>
      <c r="M15">
        <f t="array" ref="M15">CONCATENATE("update msg_out_fld set description = '",D15,"' where tab_name = 'CATEGORYCODE_APSYS' and fld_name = 'MUTDATUM';")</f>
        <v>0</v>
      </c>
    </row>
    <row r="16" spans="1:13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  <c r="K16">
        <f t="array" ref="K16">CONCATENATE("update msg_out_fld_config set msg_fld_name = '",A16,"' where cd = '467278FDFB1FD5A19B35450602307570';")</f>
        <v>0</v>
      </c>
      <c r="M16">
        <f t="array" ref="M16">CONCATENATE("update msg_out_fld set description = '",D16,"' where tab_name = 'CATEGORYCODE_APSYS' and fld_name = 'MUTUSER';")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2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2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311</v>
      </c>
    </row>
    <row r="2" spans="1:13">
      <c r="A2" s="1" t="s">
        <v>312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275</v>
      </c>
      <c r="D6" t="s">
        <v>17</v>
      </c>
      <c r="H6" t="s">
        <v>313</v>
      </c>
      <c r="K6">
        <f t="array" ref="K6">CONCATENATE("update msg_out_fld_config set msg_fld_name = '",A6,"' where cd = 'E6632B7988F917A206A7DAC932125A86';")</f>
        <v>0</v>
      </c>
      <c r="M6">
        <f t="array" ref="M6">CONCATENATE("update msg_out_fld set description = '",D6,"' where tab_name = 'KUNDENKLASSE1_APSYS_TBLEAN' and fld_name = 'KUNDENKLASSE_CD';")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'907AB3CF159C64F2A2DAB915ED7E4AD3';")</f>
        <v>0</v>
      </c>
      <c r="M7">
        <f t="array" ref="M7">CONCATENATE("update msg_out_fld set description = '",D7,"' where tab_name = 'KUNDENKLASSE1_APSYS_TBLEAN'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'D3D7B966224183A7C98E10181F0A18D7';")</f>
        <v>0</v>
      </c>
      <c r="M8">
        <f t="array" ref="M8">CONCATENATE("update msg_out_fld set description = '",D8,"' where tab_name = 'KUNDENKLASSE1_APSYS_TBLEAN'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'D27079C6CBAA0D9EA80FA3A168D25AC2';")</f>
        <v>0</v>
      </c>
      <c r="M9">
        <f t="array" ref="M9">CONCATENATE("update msg_out_fld set description = '",D9,"' where tab_name = 'KUNDENKLASSE1_APSYS_TBLEAN'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'2EF0918F9B82C4AB4B6D4999523769C5';")</f>
        <v>0</v>
      </c>
      <c r="M10">
        <f t="array" ref="M10">CONCATENATE("update msg_out_fld set description = '",D10,"' where tab_name = 'KUNDENKLASSE1_APSYS_TBLEAN'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'8E9D2BADA6987E99057AD9EBB3066FDD';")</f>
        <v>0</v>
      </c>
      <c r="M11">
        <f t="array" ref="M11">CONCATENATE("update msg_out_fld set description = '",D11,"' where tab_name = 'KUNDENKLASSE1_APSYS_TBLEAN' and fld_name = 'CRTUSER';")</f>
        <v>0</v>
      </c>
    </row>
    <row r="12" spans="1:13">
      <c r="A12" t="s">
        <v>315</v>
      </c>
      <c r="C12" t="s">
        <v>275</v>
      </c>
      <c r="D12" t="s">
        <v>316</v>
      </c>
      <c r="E12" t="s">
        <v>317</v>
      </c>
      <c r="F12" t="s">
        <v>23</v>
      </c>
      <c r="H12" t="s">
        <v>314</v>
      </c>
      <c r="K12">
        <f t="array" ref="K12">CONCATENATE("update msg_out_fld_config set msg_fld_name = '",A12,"' where cd = '7043C7B673F693622B42D858D7CEEA44';")</f>
        <v>0</v>
      </c>
      <c r="M12">
        <f t="array" ref="M12">CONCATENATE("update msg_out_fld set description = '",D12,"' where tab_name = 'KUNDENKLASSE1_APSYS_TBLEAN' and fld_name = 'KATEGORIE_CD';")</f>
        <v>0</v>
      </c>
    </row>
    <row r="13" spans="1:13">
      <c r="A13" t="s">
        <v>55</v>
      </c>
      <c r="C13" t="s">
        <v>75</v>
      </c>
      <c r="D13" t="s">
        <v>7</v>
      </c>
      <c r="H13" t="s">
        <v>318</v>
      </c>
      <c r="K13">
        <f t="array" ref="K13">CONCATENATE("update msg_out_fld_config set msg_fld_name = '",A13,"' where cd = '581EF99BF1BE697337603DB5D3D552AE';")</f>
        <v>0</v>
      </c>
      <c r="M13">
        <f t="array" ref="M13">CONCATENATE("update msg_out_fld set description = '",D13,"' where tab_name = 'KUNDENKLASSE1_APSYS_TBLEAN' and fld_name = 'KUNDENKLASSE';")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'8D1173A17BCA204E601B61F419B59A06';")</f>
        <v>0</v>
      </c>
      <c r="M14">
        <f t="array" ref="M14">CONCATENATE("update msg_out_fld set description = '",D14,"' where tab_name = 'KUNDENKLASSE1_APSYS_TBLEAN'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'7079E3B56BF280096ECE4CDE93E18796';")</f>
        <v>0</v>
      </c>
      <c r="M15">
        <f t="array" ref="M15">CONCATENATE("update msg_out_fld set description = '",D15,"' where tab_name = 'KUNDENKLASSE1_APSYS_TBLEAN' and fld_name = 'MUTUSER';")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2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319</v>
      </c>
    </row>
    <row r="2" spans="1:13">
      <c r="A2" s="1" t="s">
        <v>320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275</v>
      </c>
      <c r="D6" t="s">
        <v>17</v>
      </c>
      <c r="H6" t="s">
        <v>313</v>
      </c>
      <c r="K6">
        <f t="array" ref="K6">CONCATENATE("update msg_out_fld_config set msg_fld_name = '",A6,"' where cd = '6D9A24955CFB941C5EBE442B75E8BC03';")</f>
        <v>0</v>
      </c>
      <c r="M6">
        <f t="array" ref="M6">CONCATENATE("update msg_out_fld set description = '",D6,"' where tab_name = 'KUNDENKLASSE2_APSYS_TBLEAN' and fld_name = 'KUNDENKLASSE_CD';")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'61AAB4B95CC200A2935A6AF8AFF5286F';")</f>
        <v>0</v>
      </c>
      <c r="M7">
        <f t="array" ref="M7">CONCATENATE("update msg_out_fld set description = '",D7,"' where tab_name = 'KUNDENKLASSE2_APSYS_TBLEAN'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'9CAE7D399A3BF8A734717DFFB99CD7CE';")</f>
        <v>0</v>
      </c>
      <c r="M8">
        <f t="array" ref="M8">CONCATENATE("update msg_out_fld set description = '",D8,"' where tab_name = 'KUNDENKLASSE2_APSYS_TBLEAN'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'850A621BC4D1668DD2D64065B3926E41';")</f>
        <v>0</v>
      </c>
      <c r="M9">
        <f t="array" ref="M9">CONCATENATE("update msg_out_fld set description = '",D9,"' where tab_name = 'KUNDENKLASSE2_APSYS_TBLEAN'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'4C1EBAB42639C47243767EA50C8A0420';")</f>
        <v>0</v>
      </c>
      <c r="M10">
        <f t="array" ref="M10">CONCATENATE("update msg_out_fld set description = '",D10,"' where tab_name = 'KUNDENKLASSE2_APSYS_TBLEAN'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'C2A94C3B472F9EA692CAEB15BCFB39BC';")</f>
        <v>0</v>
      </c>
      <c r="M11">
        <f t="array" ref="M11">CONCATENATE("update msg_out_fld set description = '",D11,"' where tab_name = 'KUNDENKLASSE2_APSYS_TBLEAN' and fld_name = 'CRTUSER';")</f>
        <v>0</v>
      </c>
    </row>
    <row r="12" spans="1:13">
      <c r="A12" t="s">
        <v>55</v>
      </c>
      <c r="C12" t="s">
        <v>75</v>
      </c>
      <c r="D12" t="s">
        <v>7</v>
      </c>
      <c r="H12" t="s">
        <v>318</v>
      </c>
      <c r="K12">
        <f t="array" ref="K12">CONCATENATE("update msg_out_fld_config set msg_fld_name = '",A12,"' where cd = '53D1B5C81AE8B5E33E7ACB1D186E3D6B';")</f>
        <v>0</v>
      </c>
      <c r="M12">
        <f t="array" ref="M12">CONCATENATE("update msg_out_fld set description = '",D12,"' where tab_name = 'KUNDENKLASSE2_APSYS_TBLEAN' and fld_name = 'KUNDENKLASSE';")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'D0336979AAB2CCB7FCB28BF744E05CBE';")</f>
        <v>0</v>
      </c>
      <c r="M13">
        <f t="array" ref="M13">CONCATENATE("update msg_out_fld set description = '",D13,"' where tab_name = 'KUNDENKLASSE2_APSYS_TBLEAN'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'BDEA0F1D2B4245204E43615C5AE84D81';")</f>
        <v>0</v>
      </c>
      <c r="M14">
        <f t="array" ref="M14">CONCATENATE("update msg_out_fld set description = '",D14,"' where tab_name = 'KUNDENKLASSE2_APSYS_TBLEAN' and fld_name = 'MUTUSER';")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2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321</v>
      </c>
    </row>
    <row r="2" spans="1:13">
      <c r="A2" s="1" t="s">
        <v>322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323</v>
      </c>
      <c r="K6">
        <f t="array" ref="K6">CONCATENATE("update msg_out_fld_config set msg_fld_name = '",A6,"' where cd = 'FB6EFC92F2D8C405BF74C02611088917';")</f>
        <v>0</v>
      </c>
      <c r="M6">
        <f t="array" ref="M6">CONCATENATE("update msg_out_fld set description = '",D6,"' where tab_name = 'SECTORMODEL_APSYS' and fld_name = 'SECTORMODEL_CD';")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'258B3D28543F581840C143B9908FC264';")</f>
        <v>0</v>
      </c>
      <c r="M7">
        <f t="array" ref="M7">CONCATENATE("update msg_out_fld set description = '",D7,"' where tab_name = 'SECTORMODEL_APSYS'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'16234E1BA3600D0774A8D5075730F1BF';")</f>
        <v>0</v>
      </c>
      <c r="M8">
        <f t="array" ref="M8">CONCATENATE("update msg_out_fld set description = '",D8,"' where tab_name = 'SECTORMODEL_APSYS'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'C5B769F8B7B90B153FA2C008ABB68305';")</f>
        <v>0</v>
      </c>
      <c r="M9">
        <f t="array" ref="M9">CONCATENATE("update msg_out_fld set description = '",D9,"' where tab_name = 'SECTORMODEL_APSYS'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'419C191562ACFDBFE0DE5A259058C2FF';")</f>
        <v>0</v>
      </c>
      <c r="M10">
        <f t="array" ref="M10">CONCATENATE("update msg_out_fld set description = '",D10,"' where tab_name = 'SECTORMODEL_APSYS'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'39C4632CCF113648885ED818E12220AD';")</f>
        <v>0</v>
      </c>
      <c r="M11">
        <f t="array" ref="M11">CONCATENATE("update msg_out_fld set description = '",D11,"' where tab_name = 'SECTORMODEL_APSYS' and fld_name = 'CRTUSER';")</f>
        <v>0</v>
      </c>
    </row>
    <row r="12" spans="1:13">
      <c r="A12" t="s">
        <v>55</v>
      </c>
      <c r="C12" t="s">
        <v>75</v>
      </c>
      <c r="D12" t="s">
        <v>7</v>
      </c>
      <c r="H12" t="s">
        <v>324</v>
      </c>
      <c r="K12">
        <f t="array" ref="K12">CONCATENATE("update msg_out_fld_config set msg_fld_name = '",A12,"' where cd = '39C205261BB35EDE7DA6CB91F6C40A34';")</f>
        <v>0</v>
      </c>
      <c r="M12">
        <f t="array" ref="M12">CONCATENATE("update msg_out_fld set description = '",D12,"' where tab_name = 'SECTORMODEL_APSYS' and fld_name = 'SECTORMODEL';")</f>
        <v>0</v>
      </c>
    </row>
    <row r="13" spans="1:13">
      <c r="A13" t="s">
        <v>326</v>
      </c>
      <c r="C13" t="s">
        <v>68</v>
      </c>
      <c r="D13" t="s">
        <v>325</v>
      </c>
      <c r="H13" t="s">
        <v>325</v>
      </c>
      <c r="K13">
        <f t="array" ref="K13">CONCATENATE("update msg_out_fld_config set msg_fld_name = '",A13,"' where cd = '38A023576D59398A3C2AA70326DD13E9';")</f>
        <v>0</v>
      </c>
      <c r="M13">
        <f t="array" ref="M13">CONCATENATE("update msg_out_fld set description = '",D13,"' where tab_name = 'SECTORMODEL_APSYS' and fld_name = 'FLAGRGUI';")</f>
        <v>0</v>
      </c>
    </row>
    <row r="14" spans="1:13">
      <c r="A14" t="s">
        <v>309</v>
      </c>
      <c r="C14" t="s">
        <v>26</v>
      </c>
      <c r="D14" t="s">
        <v>310</v>
      </c>
      <c r="E14" t="s">
        <v>28</v>
      </c>
      <c r="F14" t="s">
        <v>29</v>
      </c>
      <c r="G14" t="s">
        <v>30</v>
      </c>
      <c r="H14" t="s">
        <v>308</v>
      </c>
      <c r="K14">
        <f t="array" ref="K14">CONCATENATE("update msg_out_fld_config set msg_fld_name = '",A14,"' where cd = 'A623C7D6E5EFA9B44D8E528EBEFB90F8';")</f>
        <v>0</v>
      </c>
      <c r="M14">
        <f t="array" ref="M14">CONCATENATE("update msg_out_fld set description = '",D14,"' where tab_name = 'SECTORMODEL_APSYS' and fld_name = 'DEFAULTVALUE_CD';")</f>
        <v>0</v>
      </c>
    </row>
    <row r="15" spans="1:13">
      <c r="A15" t="s">
        <v>58</v>
      </c>
      <c r="C15" t="s">
        <v>33</v>
      </c>
      <c r="D15" t="s">
        <v>59</v>
      </c>
      <c r="H15" t="s">
        <v>57</v>
      </c>
      <c r="K15">
        <f t="array" ref="K15">CONCATENATE("update msg_out_fld_config set msg_fld_name = '",A15,"' where cd = '4D54F2916C95F03D47AF3C953E1B45EC';")</f>
        <v>0</v>
      </c>
      <c r="M15">
        <f t="array" ref="M15">CONCATENATE("update msg_out_fld set description = '",D15,"' where tab_name = 'SECTORMODEL_APSYS' and fld_name = 'MUTDATUM';")</f>
        <v>0</v>
      </c>
    </row>
    <row r="16" spans="1:13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  <c r="K16">
        <f t="array" ref="K16">CONCATENATE("update msg_out_fld_config set msg_fld_name = '",A16,"' where cd = 'F0369E18F81A22E6E743988D333C27B5';")</f>
        <v>0</v>
      </c>
      <c r="M16">
        <f t="array" ref="M16">CONCATENATE("update msg_out_fld set description = '",D16,"' where tab_name = 'SECTORMODEL_APSYS' and fld_name = 'MUTUSER';")</f>
        <v>0</v>
      </c>
    </row>
    <row r="17" spans="1:13">
      <c r="A17" t="s">
        <v>328</v>
      </c>
      <c r="C17" t="s">
        <v>20</v>
      </c>
      <c r="D17" t="s">
        <v>327</v>
      </c>
      <c r="H17" t="s">
        <v>327</v>
      </c>
      <c r="K17">
        <f t="array" ref="K17">CONCATENATE("update msg_out_fld_config set msg_fld_name = '",A17,"' where cd = '95C01FB8D8923ED09F9609A107D0E0DD';")</f>
        <v>0</v>
      </c>
      <c r="M17">
        <f t="array" ref="M17">CONCATENATE("update msg_out_fld set description = '",D17,"' where tab_name = 'SECTORMODEL_APSYS' and fld_name = 'TYPGRMTEVAL1S';")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cols>
    <col min="1" max="1" width="29.5703125" customWidth="1"/>
    <col min="2" max="2" width="4.28515625" customWidth="1"/>
    <col min="3" max="3" width="16.28515625" customWidth="1"/>
    <col min="4" max="4" width="29.5703125" customWidth="1"/>
    <col min="5" max="5" width="39.140625" customWidth="1"/>
    <col min="6" max="6" width="10.28515625" customWidth="1"/>
    <col min="7" max="7" width="22.28515625" customWidth="1"/>
    <col min="8" max="8" width="28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9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329</v>
      </c>
    </row>
    <row r="2" spans="1:13">
      <c r="A2" s="1" t="s">
        <v>330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332</v>
      </c>
      <c r="H6" t="s">
        <v>331</v>
      </c>
      <c r="K6">
        <f t="array" ref="K6">CONCATENATE("update msg_out_fld_config set msg_fld_name = '",A6,"' where cd = 'C504C0B441082F646BB3DF3CC732CBA5';")</f>
        <v>0</v>
      </c>
      <c r="M6">
        <f t="array" ref="M6">CONCATENATE("update msg_out_fld set description = '",D6,"' where tab_name = 'ARCHIV' and fld_name = 'DOKUMENTENNR';")</f>
        <v>0</v>
      </c>
    </row>
    <row r="7" spans="1:13">
      <c r="A7" t="s">
        <v>334</v>
      </c>
      <c r="C7" t="s">
        <v>16</v>
      </c>
      <c r="D7" t="s">
        <v>335</v>
      </c>
      <c r="E7" t="s">
        <v>336</v>
      </c>
      <c r="F7" t="s">
        <v>23</v>
      </c>
      <c r="H7" t="s">
        <v>333</v>
      </c>
      <c r="K7">
        <f t="array" ref="K7">CONCATENATE("update msg_out_fld_config set msg_fld_name = '",A7,"' where cd = '4905F81E70948A358EA1B28128153273';")</f>
        <v>0</v>
      </c>
      <c r="M7">
        <f t="array" ref="M7">CONCATENATE("update msg_out_fld set description = '",D7,"' where tab_name = 'ARCHIV' and fld_name = 'APSYS_MANAGS';")</f>
        <v>0</v>
      </c>
    </row>
    <row r="8" spans="1:13">
      <c r="A8" t="s">
        <v>304</v>
      </c>
      <c r="C8" t="s">
        <v>20</v>
      </c>
      <c r="D8" t="s">
        <v>338</v>
      </c>
      <c r="H8" t="s">
        <v>337</v>
      </c>
      <c r="K8">
        <f t="array" ref="K8">CONCATENATE("update msg_out_fld_config set msg_fld_name = '",A8,"' where cd = '9475EE243F06DEEDC1785B99DA5BF7D7';")</f>
        <v>0</v>
      </c>
      <c r="M8">
        <f t="array" ref="M8">CONCATENATE("update msg_out_fld set description = '",D8,"' where tab_name = 'ARCHIV' and fld_name = 'APSYS_CDAPPS';")</f>
        <v>0</v>
      </c>
    </row>
    <row r="9" spans="1:13">
      <c r="A9" t="s">
        <v>340</v>
      </c>
      <c r="C9" t="s">
        <v>26</v>
      </c>
      <c r="D9" t="s">
        <v>341</v>
      </c>
      <c r="H9" t="s">
        <v>339</v>
      </c>
      <c r="K9">
        <f t="array" ref="K9">CONCATENATE("update msg_out_fld_config set msg_fld_name = '",A9,"' where cd = 'BAC9B1A65C627488EC433306DDCBF39B';")</f>
        <v>0</v>
      </c>
      <c r="M9">
        <f t="array" ref="M9">CONCATENATE("update msg_out_fld set description = '",D9,"' where tab_name = 'ARCHIV' and fld_name = 'APSYS_CDTYPIDCLLC';")</f>
        <v>0</v>
      </c>
    </row>
    <row r="10" spans="1:13">
      <c r="A10" t="s">
        <v>343</v>
      </c>
      <c r="C10" t="s">
        <v>26</v>
      </c>
      <c r="D10" t="s">
        <v>344</v>
      </c>
      <c r="H10" t="s">
        <v>342</v>
      </c>
      <c r="K10">
        <f t="array" ref="K10">CONCATENATE("update msg_out_fld_config set msg_fld_name = '",A10,"' where cd = '595A5FB5667D4A2059BF83ECD572DB08';")</f>
        <v>0</v>
      </c>
      <c r="M10">
        <f t="array" ref="M10">CONCATENATE("update msg_out_fld set description = '",D10,"' where tab_name = 'ARCHIV' and fld_name = 'APSYS_CDTYPTITUC';")</f>
        <v>0</v>
      </c>
    </row>
    <row r="11" spans="1:13">
      <c r="A11" t="s">
        <v>346</v>
      </c>
      <c r="C11" t="s">
        <v>20</v>
      </c>
      <c r="D11" t="s">
        <v>347</v>
      </c>
      <c r="H11" t="s">
        <v>345</v>
      </c>
      <c r="K11">
        <f t="array" ref="K11">CONCATENATE("update msg_out_fld_config set msg_fld_name = '",A11,"' where cd = '8DAE45A78F0B47DEB0F911E332AE33C6';")</f>
        <v>0</v>
      </c>
      <c r="M11">
        <f t="array" ref="M11">CONCATENATE("update msg_out_fld set description = '",D11,"' where tab_name = 'ARCHIV' and fld_name = 'APSYS_DEVCPTS';")</f>
        <v>0</v>
      </c>
    </row>
    <row r="12" spans="1:13">
      <c r="A12" t="s">
        <v>349</v>
      </c>
      <c r="C12" t="s">
        <v>20</v>
      </c>
      <c r="D12" t="s">
        <v>350</v>
      </c>
      <c r="H12" t="s">
        <v>348</v>
      </c>
      <c r="K12">
        <f t="array" ref="K12">CONCATENATE("update msg_out_fld_config set msg_fld_name = '",A12,"' where cd = 'DA0046F5175F4E35C0951EBF914158F5';")</f>
        <v>0</v>
      </c>
      <c r="M12">
        <f t="array" ref="M12">CONCATENATE("update msg_out_fld set description = '",D12,"' where tab_name = 'ARCHIV' and fld_name = 'APSYS_DEVREVS';")</f>
        <v>0</v>
      </c>
    </row>
    <row r="13" spans="1:13">
      <c r="A13" t="s">
        <v>352</v>
      </c>
      <c r="C13" t="s">
        <v>104</v>
      </c>
      <c r="D13" t="s">
        <v>353</v>
      </c>
      <c r="H13" t="s">
        <v>351</v>
      </c>
      <c r="K13">
        <f t="array" ref="K13">CONCATENATE("update msg_out_fld_config set msg_fld_name = '",A13,"' where cd = 'ABDE5133EB5FB9A31B941ACFC9EECF00';")</f>
        <v>0</v>
      </c>
      <c r="M13">
        <f t="array" ref="M13">CONCATENATE("update msg_out_fld set description = '",D13,"' where tab_name = 'ARCHIV' and fld_name = 'APSYS_DTSYSL';")</f>
        <v>0</v>
      </c>
    </row>
    <row r="14" spans="1:13">
      <c r="A14" t="s">
        <v>355</v>
      </c>
      <c r="C14" t="s">
        <v>104</v>
      </c>
      <c r="D14" t="s">
        <v>356</v>
      </c>
      <c r="H14" t="s">
        <v>354</v>
      </c>
      <c r="K14">
        <f t="array" ref="K14">CONCATENATE("update msg_out_fld_config set msg_fld_name = '",A14,"' where cd = 'AE5CE2A5CBFC7D83B4F27433995A9B1F';")</f>
        <v>0</v>
      </c>
      <c r="M14">
        <f t="array" ref="M14">CONCATENATE("update msg_out_fld set description = '",D14,"' where tab_name = 'ARCHIV' and fld_name = 'APSYS_DTVALL';")</f>
        <v>0</v>
      </c>
    </row>
    <row r="15" spans="1:13">
      <c r="A15" t="s">
        <v>358</v>
      </c>
      <c r="C15" t="s">
        <v>42</v>
      </c>
      <c r="D15" t="s">
        <v>359</v>
      </c>
      <c r="H15" t="s">
        <v>357</v>
      </c>
      <c r="K15">
        <f t="array" ref="K15">CONCATENATE("update msg_out_fld_config set msg_fld_name = '",A15,"' where cd = '6CDCA03B1020EB67B75512EDE3BFD3FB';")</f>
        <v>0</v>
      </c>
      <c r="M15">
        <f t="array" ref="M15">CONCATENATE("update msg_out_fld set description = '",D15,"' where tab_name = 'ARCHIV' and fld_name = 'APSYS_EMAILS';")</f>
        <v>0</v>
      </c>
    </row>
    <row r="16" spans="1:13">
      <c r="A16" t="s">
        <v>361</v>
      </c>
      <c r="C16" t="s">
        <v>90</v>
      </c>
      <c r="D16" t="s">
        <v>362</v>
      </c>
      <c r="H16" t="s">
        <v>360</v>
      </c>
      <c r="K16">
        <f t="array" ref="K16">CONCATENATE("update msg_out_fld_config set msg_fld_name = '",A16,"' where cd = '3F2C6B5F4B8159BB1EA2BC99CA855151';")</f>
        <v>0</v>
      </c>
      <c r="M16">
        <f t="array" ref="M16">CONCATENATE("update msg_out_fld set description = '",D16,"' where tab_name = 'ARCHIV' and fld_name = 'APSYS_FICHES';")</f>
        <v>0</v>
      </c>
    </row>
    <row r="17" spans="1:13">
      <c r="A17" t="s">
        <v>364</v>
      </c>
      <c r="C17" t="s">
        <v>365</v>
      </c>
      <c r="D17" t="s">
        <v>366</v>
      </c>
      <c r="H17" t="s">
        <v>363</v>
      </c>
      <c r="K17">
        <f t="array" ref="K17">CONCATENATE("update msg_out_fld_config set msg_fld_name = '",A17,"' where cd = 'BC04B13E6F3CFC9EB7C226555164FBD2';")</f>
        <v>0</v>
      </c>
      <c r="M17">
        <f t="array" ref="M17">CONCATENATE("update msg_out_fld set description = '",D17,"' where tab_name = 'ARCHIV' and fld_name = 'APSYS_FILENAME';")</f>
        <v>0</v>
      </c>
    </row>
    <row r="18" spans="1:13">
      <c r="A18" t="s">
        <v>368</v>
      </c>
      <c r="C18" t="s">
        <v>90</v>
      </c>
      <c r="D18" t="s">
        <v>369</v>
      </c>
      <c r="H18" t="s">
        <v>367</v>
      </c>
      <c r="K18">
        <f t="array" ref="K18">CONCATENATE("update msg_out_fld_config set msg_fld_name = '",A18,"' where cd = 'E67705E07BB68FB71D7382BD83B248EE';")</f>
        <v>0</v>
      </c>
      <c r="M18">
        <f t="array" ref="M18">CONCATENATE("update msg_out_fld set description = '",D18,"' where tab_name = 'ARCHIV' and fld_name = 'APSYS_GRECPTSEQREVS';")</f>
        <v>0</v>
      </c>
    </row>
    <row r="19" spans="1:13">
      <c r="A19" t="s">
        <v>371</v>
      </c>
      <c r="C19" t="s">
        <v>90</v>
      </c>
      <c r="D19" t="s">
        <v>372</v>
      </c>
      <c r="H19" t="s">
        <v>370</v>
      </c>
      <c r="K19">
        <f t="array" ref="K19">CONCATENATE("update msg_out_fld_config set msg_fld_name = '",A19,"' where cd = '393CCD7964072E239DBC307D113005F5';")</f>
        <v>0</v>
      </c>
      <c r="M19">
        <f t="array" ref="M19">CONCATENATE("update msg_out_fld set description = '",D19,"' where tab_name = 'ARCHIV' and fld_name = 'APSYS_GRECPTSEQS';")</f>
        <v>0</v>
      </c>
    </row>
    <row r="20" spans="1:13">
      <c r="A20" t="s">
        <v>374</v>
      </c>
      <c r="C20" t="s">
        <v>375</v>
      </c>
      <c r="D20" t="s">
        <v>376</v>
      </c>
      <c r="H20" t="s">
        <v>373</v>
      </c>
      <c r="K20">
        <f t="array" ref="K20">CONCATENATE("update msg_out_fld_config set msg_fld_name = '",A20,"' where cd = '93BCC606D2AE7E49DCF0AD1762CD0FF1';")</f>
        <v>0</v>
      </c>
      <c r="M20">
        <f t="array" ref="M20">CONCATENATE("update msg_out_fld set description = '",D20,"' where tab_name = 'ARCHIV' and fld_name = 'APSYS_IDCLL';")</f>
        <v>0</v>
      </c>
    </row>
    <row r="21" spans="1:13">
      <c r="A21" t="s">
        <v>378</v>
      </c>
      <c r="C21" t="s">
        <v>275</v>
      </c>
      <c r="D21" t="s">
        <v>379</v>
      </c>
      <c r="H21" t="s">
        <v>377</v>
      </c>
      <c r="K21">
        <f t="array" ref="K21">CONCATENATE("update msg_out_fld_config set msg_fld_name = '",A21,"' where cd = '3914DC10FF41140E310290277EC43DA2';")</f>
        <v>0</v>
      </c>
      <c r="M21">
        <f t="array" ref="M21">CONCATENATE("update msg_out_fld set description = '",D21,"' where tab_name = 'ARCHIV' and fld_name = 'APSYS_IDREPS';")</f>
        <v>0</v>
      </c>
    </row>
    <row r="22" spans="1:13">
      <c r="A22" t="s">
        <v>381</v>
      </c>
      <c r="C22" t="s">
        <v>90</v>
      </c>
      <c r="D22" t="s">
        <v>382</v>
      </c>
      <c r="H22" t="s">
        <v>380</v>
      </c>
      <c r="K22">
        <f t="array" ref="K22">CONCATENATE("update msg_out_fld_config set msg_fld_name = '",A22,"' where cd = '0C0AAA85AB2082A3C25828F7903407C2';")</f>
        <v>0</v>
      </c>
      <c r="M22">
        <f t="array" ref="M22">CONCATENATE("update msg_out_fld set description = '",D22,"' where tab_name = 'ARCHIV' and fld_name = 'APSYS_IDTITUL';")</f>
        <v>0</v>
      </c>
    </row>
    <row r="23" spans="1:13">
      <c r="A23" t="s">
        <v>384</v>
      </c>
      <c r="C23" t="s">
        <v>37</v>
      </c>
      <c r="D23" t="s">
        <v>385</v>
      </c>
      <c r="H23" t="s">
        <v>383</v>
      </c>
      <c r="K23">
        <f t="array" ref="K23">CONCATENATE("update msg_out_fld_config set msg_fld_name = '",A23,"' where cd = 'C51F3914CBA156EC55C68D1723B4EA58';")</f>
        <v>0</v>
      </c>
      <c r="M23">
        <f t="array" ref="M23">CONCATENATE("update msg_out_fld set description = '",D23,"' where tab_name = 'ARCHIV' and fld_name = 'APSYS_LGLIBS';")</f>
        <v>0</v>
      </c>
    </row>
    <row r="24" spans="1:13">
      <c r="A24" t="s">
        <v>387</v>
      </c>
      <c r="C24" t="s">
        <v>26</v>
      </c>
      <c r="D24" t="s">
        <v>388</v>
      </c>
      <c r="H24" t="s">
        <v>386</v>
      </c>
      <c r="K24">
        <f t="array" ref="K24">CONCATENATE("update msg_out_fld_config set msg_fld_name = '",A24,"' where cd = '99B43D11895BA000A6038AC0AEA1AE61';")</f>
        <v>0</v>
      </c>
      <c r="M24">
        <f t="array" ref="M24">CONCATENATE("update msg_out_fld set description = '",D24,"' where tab_name = 'ARCHIV' and fld_name = 'APSYS_NUSESI';")</f>
        <v>0</v>
      </c>
    </row>
    <row r="25" spans="1:13">
      <c r="A25" t="s">
        <v>390</v>
      </c>
      <c r="C25" t="s">
        <v>20</v>
      </c>
      <c r="D25" t="s">
        <v>391</v>
      </c>
      <c r="H25" t="s">
        <v>389</v>
      </c>
      <c r="K25">
        <f t="array" ref="K25">CONCATENATE("update msg_out_fld_config set msg_fld_name = '",A25,"' where cd = 'F4C65994B3086D198FFD8FADAAE80CF2';")</f>
        <v>0</v>
      </c>
      <c r="M25">
        <f t="array" ref="M25">CONCATENATE("update msg_out_fld set description = '",D25,"' where tab_name = 'ARCHIV' and fld_name = 'APSYS_CDOPS';")</f>
        <v>0</v>
      </c>
    </row>
    <row r="26" spans="1:13">
      <c r="A26" t="s">
        <v>393</v>
      </c>
      <c r="C26" t="s">
        <v>26</v>
      </c>
      <c r="D26" t="s">
        <v>394</v>
      </c>
      <c r="H26" t="s">
        <v>392</v>
      </c>
      <c r="K26">
        <f t="array" ref="K26">CONCATENATE("update msg_out_fld_config set msg_fld_name = '",A26,"' where cd = '34F3C756DFFD5DCF04C80ABB4D5E37D4';")</f>
        <v>0</v>
      </c>
      <c r="M26">
        <f t="array" ref="M26">CONCATENATE("update msg_out_fld set description = '",D26,"' where tab_name = 'ARCHIV' and fld_name = 'APSYS_SENDEMAILC';")</f>
        <v>0</v>
      </c>
    </row>
    <row r="27" spans="1:13">
      <c r="A27" t="s">
        <v>396</v>
      </c>
      <c r="C27" t="s">
        <v>37</v>
      </c>
      <c r="D27" t="s">
        <v>397</v>
      </c>
      <c r="H27" t="s">
        <v>395</v>
      </c>
      <c r="K27">
        <f t="array" ref="K27">CONCATENATE("update msg_out_fld_config set msg_fld_name = '",A27,"' where cd = '3F5DED2AAADA67057A4E2CA128940D93';")</f>
        <v>0</v>
      </c>
      <c r="M27">
        <f t="array" ref="M27">CONCATENATE("update msg_out_fld set description = '",D27,"' where tab_name = 'ARCHIV' and fld_name = 'APSYS_SHNASTITUS';")</f>
        <v>0</v>
      </c>
    </row>
    <row r="28" spans="1:13">
      <c r="A28" t="s">
        <v>399</v>
      </c>
      <c r="C28" t="s">
        <v>400</v>
      </c>
      <c r="D28" t="s">
        <v>401</v>
      </c>
      <c r="H28" t="s">
        <v>398</v>
      </c>
      <c r="K28">
        <f t="array" ref="K28">CONCATENATE("update msg_out_fld_config set msg_fld_name = '",A28,"' where cd = '398388EC4580F1F59CD03DEADE06FF35';")</f>
        <v>0</v>
      </c>
      <c r="M28">
        <f t="array" ref="M28">CONCATENATE("update msg_out_fld set description = '",D28,"' where tab_name = 'ARCHIV' and fld_name = 'APSYS_SHNAS';")</f>
        <v>0</v>
      </c>
    </row>
    <row r="29" spans="1:13">
      <c r="A29" t="s">
        <v>403</v>
      </c>
      <c r="C29" t="s">
        <v>171</v>
      </c>
      <c r="D29" t="s">
        <v>404</v>
      </c>
      <c r="H29" t="s">
        <v>402</v>
      </c>
      <c r="K29">
        <f t="array" ref="K29">CONCATENATE("update msg_out_fld_config set msg_fld_name = '",A29,"' where cd = '4DAB7015D26646CE7B00B44EA051B896';")</f>
        <v>0</v>
      </c>
      <c r="M29">
        <f t="array" ref="M29">CONCATENATE("update msg_out_fld set description = '",D29,"' where tab_name = 'ARCHIV' and fld_name = 'APSYS_SUPKEYS';")</f>
        <v>0</v>
      </c>
    </row>
    <row r="30" spans="1:13">
      <c r="A30" t="s">
        <v>406</v>
      </c>
      <c r="C30" t="s">
        <v>26</v>
      </c>
      <c r="D30" t="s">
        <v>407</v>
      </c>
      <c r="H30" t="s">
        <v>405</v>
      </c>
      <c r="K30">
        <f t="array" ref="K30">CONCATENATE("update msg_out_fld_config set msg_fld_name = '",A30,"' where cd = '6CCFEE0D61FB585EF830CE99C1A105B7';")</f>
        <v>0</v>
      </c>
      <c r="M30">
        <f t="array" ref="M30">CONCATENATE("update msg_out_fld set description = '",D30,"' where tab_name = 'ARCHIV' and fld_name = 'APSYS_TYPPLACC';")</f>
        <v>0</v>
      </c>
    </row>
    <row r="31" spans="1:13">
      <c r="A31" t="s">
        <v>409</v>
      </c>
      <c r="C31" t="s">
        <v>104</v>
      </c>
      <c r="D31" t="s">
        <v>410</v>
      </c>
      <c r="H31" t="s">
        <v>408</v>
      </c>
      <c r="K31">
        <f t="array" ref="K31">CONCATENATE("update msg_out_fld_config set msg_fld_name = '",A31,"' where cd = '1C0164CCF59C85DDC4A21EC7DC20E214';")</f>
        <v>0</v>
      </c>
      <c r="M31">
        <f t="array" ref="M31">CONCATENATE("update msg_out_fld set description = '",D31,"' where tab_name = 'ARCHIV' and fld_name = 'ARCHIVDATUM';")</f>
        <v>0</v>
      </c>
    </row>
    <row r="32" spans="1:13">
      <c r="A32" t="s">
        <v>412</v>
      </c>
      <c r="C32" t="s">
        <v>37</v>
      </c>
      <c r="D32" t="s">
        <v>413</v>
      </c>
      <c r="E32" t="s">
        <v>39</v>
      </c>
      <c r="F32" t="s">
        <v>23</v>
      </c>
      <c r="H32" t="s">
        <v>411</v>
      </c>
      <c r="K32">
        <f t="array" ref="K32">CONCATENATE("update msg_out_fld_config set msg_fld_name = '",A32,"' where cd = 'D0818C36AC0D44CCF1A6690C450A4C56';")</f>
        <v>0</v>
      </c>
      <c r="M32">
        <f t="array" ref="M32">CONCATENATE("update msg_out_fld set description = '",D32,"' where tab_name = 'ARCHIV' and fld_name = 'ARCHIVUSER_CD';")</f>
        <v>0</v>
      </c>
    </row>
    <row r="33" spans="1:13">
      <c r="A33" t="s">
        <v>415</v>
      </c>
      <c r="C33" t="s">
        <v>171</v>
      </c>
      <c r="D33" t="s">
        <v>416</v>
      </c>
      <c r="H33" t="s">
        <v>414</v>
      </c>
      <c r="K33">
        <f t="array" ref="K33">CONCATENATE("update msg_out_fld_config set msg_fld_name = '",A33,"' where cd = '046461C5A29D9004A8200057CBDEED6D';")</f>
        <v>0</v>
      </c>
      <c r="M33">
        <f t="array" ref="M33">CONCATENATE("update msg_out_fld set description = '",D33,"' where tab_name = 'ARCHIV' and fld_name = 'HINTERGRUND_KUNDENBRIEF';")</f>
        <v>0</v>
      </c>
    </row>
    <row r="34" spans="1:13">
      <c r="A34" t="s">
        <v>418</v>
      </c>
      <c r="C34" t="s">
        <v>90</v>
      </c>
      <c r="D34" t="s">
        <v>419</v>
      </c>
      <c r="H34" t="s">
        <v>417</v>
      </c>
      <c r="K34">
        <f t="array" ref="K34">CONCATENATE("update msg_out_fld_config set msg_fld_name = '",A34,"' where cd = '4C60362288EFF58CEF33822ABD9E4ED5';")</f>
        <v>0</v>
      </c>
      <c r="M34">
        <f t="array" ref="M34">CONCATENATE("update msg_out_fld set description = '",D34,"' where tab_name = 'ARCHIV' and fld_name = 'BIND_DOCUMENT_NR';")</f>
        <v>0</v>
      </c>
    </row>
    <row r="35" spans="1:13">
      <c r="A35" t="s">
        <v>421</v>
      </c>
      <c r="C35" t="s">
        <v>90</v>
      </c>
      <c r="D35" t="s">
        <v>422</v>
      </c>
      <c r="H35" t="s">
        <v>420</v>
      </c>
      <c r="K35">
        <f t="array" ref="K35">CONCATENATE("update msg_out_fld_config set msg_fld_name = '",A35,"' where cd = 'C370C36732D42A4D7CF01DC1581E58F8';")</f>
        <v>0</v>
      </c>
      <c r="M35">
        <f t="array" ref="M35">CONCATENATE("update msg_out_fld set description = '",D35,"' where tab_name = 'ARCHIV' and fld_name = 'KUNDENID';")</f>
        <v>0</v>
      </c>
    </row>
    <row r="36" spans="1:13">
      <c r="A36" t="s">
        <v>25</v>
      </c>
      <c r="C36" t="s">
        <v>26</v>
      </c>
      <c r="D36" t="s">
        <v>423</v>
      </c>
      <c r="E36" t="s">
        <v>28</v>
      </c>
      <c r="F36" t="s">
        <v>29</v>
      </c>
      <c r="G36" t="s">
        <v>30</v>
      </c>
      <c r="H36" t="s">
        <v>24</v>
      </c>
      <c r="K36">
        <f t="array" ref="K36">CONCATENATE("update msg_out_fld_config set msg_fld_name = '",A36,"' where cd = '088E6A4D855A2D31B8A1AA50DAC79C10';")</f>
        <v>0</v>
      </c>
      <c r="M36">
        <f t="array" ref="M36">CONCATENATE("update msg_out_fld set description = '",D36,"' where tab_name = 'ARCHIV' and fld_name = 'LOESCH_CD';")</f>
        <v>0</v>
      </c>
    </row>
    <row r="37" spans="1:13">
      <c r="A37" t="s">
        <v>32</v>
      </c>
      <c r="C37" t="s">
        <v>104</v>
      </c>
      <c r="D37" t="s">
        <v>34</v>
      </c>
      <c r="H37" t="s">
        <v>31</v>
      </c>
      <c r="K37">
        <f t="array" ref="K37">CONCATENATE("update msg_out_fld_config set msg_fld_name = '",A37,"' where cd = '3659E7C382CC26B94BB7D4CBB54DB8AF';")</f>
        <v>0</v>
      </c>
      <c r="M37">
        <f t="array" ref="M37">CONCATENATE("update msg_out_fld set description = '",D37,"' where tab_name = 'ARCHIV' and fld_name = 'LOESCHDATUM';")</f>
        <v>0</v>
      </c>
    </row>
    <row r="38" spans="1:13">
      <c r="A38" t="s">
        <v>36</v>
      </c>
      <c r="C38" t="s">
        <v>37</v>
      </c>
      <c r="D38" t="s">
        <v>38</v>
      </c>
      <c r="H38" t="s">
        <v>424</v>
      </c>
      <c r="K38">
        <f t="array" ref="K38">CONCATENATE("update msg_out_fld_config set msg_fld_name = '",A38,"' where cd = '375615192D1B8D1096587C39AF501C63';")</f>
        <v>0</v>
      </c>
      <c r="M38">
        <f t="array" ref="M38">CONCATENATE("update msg_out_fld set description = '",D38,"' where tab_name = 'ARCHIV' and fld_name = 'LOESCHUSER_CD';")</f>
        <v>0</v>
      </c>
    </row>
    <row r="39" spans="1:13">
      <c r="A39" t="s">
        <v>426</v>
      </c>
      <c r="C39" t="s">
        <v>20</v>
      </c>
      <c r="D39" t="s">
        <v>427</v>
      </c>
      <c r="H39" t="s">
        <v>425</v>
      </c>
      <c r="K39">
        <f t="array" ref="K39">CONCATENATE("update msg_out_fld_config set msg_fld_name = '",A39,"' where cd = 'D0CB257A05C8573F17DFFA0047F850AE';")</f>
        <v>0</v>
      </c>
      <c r="M39">
        <f t="array" ref="M39">CONCATENATE("update msg_out_fld set description = '",D39,"' where tab_name = 'ARCHIV' and fld_name = 'APSYS_DEVS';")</f>
        <v>0</v>
      </c>
    </row>
    <row r="40" spans="1:13">
      <c r="A40" t="s">
        <v>428</v>
      </c>
      <c r="C40" t="s">
        <v>90</v>
      </c>
      <c r="D40" t="s">
        <v>429</v>
      </c>
      <c r="E40" t="s">
        <v>430</v>
      </c>
      <c r="F40" t="s">
        <v>23</v>
      </c>
      <c r="H40" t="s">
        <v>314</v>
      </c>
      <c r="K40">
        <f t="array" ref="K40">CONCATENATE("update msg_out_fld_config set msg_fld_name = '",A40,"' where cd = '8EC5A67F46636FE055C402B9C2C54FA8';")</f>
        <v>0</v>
      </c>
      <c r="M40">
        <f t="array" ref="M40">CONCATENATE("update msg_out_fld set description = '",D40,"' where tab_name = 'ARCHIV' and fld_name = 'KATEGORIE_CD';")</f>
        <v>0</v>
      </c>
    </row>
    <row r="41" spans="1:13">
      <c r="A41" t="s">
        <v>432</v>
      </c>
      <c r="C41" t="s">
        <v>104</v>
      </c>
      <c r="D41" t="s">
        <v>433</v>
      </c>
      <c r="H41" t="s">
        <v>431</v>
      </c>
      <c r="K41">
        <f t="array" ref="K41">CONCATENATE("update msg_out_fld_config set msg_fld_name = '",A41,"' where cd = '90B42D5D6B2C8320891975175E0187DD';")</f>
        <v>0</v>
      </c>
      <c r="M41">
        <f t="array" ref="M41">CONCATENATE("update msg_out_fld set description = '",D41,"' where tab_name = 'ARCHIV' and fld_name = 'DOKUMENTDATUM';")</f>
        <v>0</v>
      </c>
    </row>
    <row r="42" spans="1:13">
      <c r="A42" t="s">
        <v>435</v>
      </c>
      <c r="C42" t="s">
        <v>104</v>
      </c>
      <c r="D42" t="s">
        <v>436</v>
      </c>
      <c r="H42" t="s">
        <v>434</v>
      </c>
      <c r="K42">
        <f t="array" ref="K42">CONCATENATE("update msg_out_fld_config set msg_fld_name = '",A42,"' where cd = '2EEA477E24FB7A89EF280318C8A2F665';")</f>
        <v>0</v>
      </c>
      <c r="M42">
        <f t="array" ref="M42">CONCATENATE("update msg_out_fld set description = '",D42,"' where tab_name = 'ARCHIV' and fld_name = 'APSYS_DTCPTL';")</f>
        <v>0</v>
      </c>
    </row>
    <row r="43" spans="1:13">
      <c r="A43" t="s">
        <v>438</v>
      </c>
      <c r="C43" t="s">
        <v>26</v>
      </c>
      <c r="D43" t="s">
        <v>439</v>
      </c>
      <c r="E43" t="s">
        <v>28</v>
      </c>
      <c r="F43" t="s">
        <v>29</v>
      </c>
      <c r="G43" t="s">
        <v>30</v>
      </c>
      <c r="H43" t="s">
        <v>437</v>
      </c>
      <c r="K43">
        <f t="array" ref="K43">CONCATENATE("update msg_out_fld_config set msg_fld_name = '",A43,"' where cd = '42B89ACBED04F105FFED82C5BC40BE5F';")</f>
        <v>0</v>
      </c>
      <c r="M43">
        <f t="array" ref="M43">CONCATENATE("update msg_out_fld set description = '",D43,"' where tab_name = 'ARCHIV' and fld_name = 'EMAILSEND_CD';")</f>
        <v>0</v>
      </c>
    </row>
    <row r="44" spans="1:13">
      <c r="A44" t="s">
        <v>441</v>
      </c>
      <c r="C44" t="s">
        <v>90</v>
      </c>
      <c r="D44" t="s">
        <v>442</v>
      </c>
      <c r="E44" t="s">
        <v>443</v>
      </c>
      <c r="F44" t="s">
        <v>29</v>
      </c>
      <c r="G44" t="s">
        <v>444</v>
      </c>
      <c r="H44" t="s">
        <v>440</v>
      </c>
      <c r="K44">
        <f t="array" ref="K44">CONCATENATE("update msg_out_fld_config set msg_fld_name = '",A44,"' where cd = 'EB7B4564A01FD1DB3A3E3E6A30858FF4';")</f>
        <v>0</v>
      </c>
      <c r="M44">
        <f t="array" ref="M44">CONCATENATE("update msg_out_fld set description = '",D44,"' where tab_name = 'ARCHIV' and fld_name = 'DATEITYP1_CD';")</f>
        <v>0</v>
      </c>
    </row>
    <row r="45" spans="1:13">
      <c r="A45" t="s">
        <v>446</v>
      </c>
      <c r="C45" t="s">
        <v>90</v>
      </c>
      <c r="D45" t="s">
        <v>447</v>
      </c>
      <c r="E45" t="s">
        <v>443</v>
      </c>
      <c r="F45" t="s">
        <v>29</v>
      </c>
      <c r="G45" t="s">
        <v>444</v>
      </c>
      <c r="H45" t="s">
        <v>445</v>
      </c>
      <c r="K45">
        <f t="array" ref="K45">CONCATENATE("update msg_out_fld_config set msg_fld_name = '",A45,"' where cd = '03CE5847F4EE1CF8917B80ADFE949E68';")</f>
        <v>0</v>
      </c>
      <c r="M45">
        <f t="array" ref="M45">CONCATENATE("update msg_out_fld set description = '",D45,"' where tab_name = 'ARCHIV' and fld_name = 'DATEITYP2_CD';")</f>
        <v>0</v>
      </c>
    </row>
    <row r="46" spans="1:13">
      <c r="A46" t="s">
        <v>126</v>
      </c>
      <c r="C46" t="s">
        <v>90</v>
      </c>
      <c r="D46" t="s">
        <v>127</v>
      </c>
      <c r="H46" t="s">
        <v>125</v>
      </c>
      <c r="K46">
        <f t="array" ref="K46">CONCATENATE("update msg_out_fld_config set msg_fld_name = '",A46,"' where cd = 'C1C7106FF706EA3938FAFC480F172A1D';")</f>
        <v>0</v>
      </c>
      <c r="M46">
        <f t="array" ref="M46">CONCATENATE("update msg_out_fld set description = '",D46,"' where tab_name = 'ARCHIV' and fld_name = 'PERSONID';")</f>
        <v>0</v>
      </c>
    </row>
    <row r="47" spans="1:13">
      <c r="A47" t="s">
        <v>449</v>
      </c>
      <c r="C47" t="s">
        <v>104</v>
      </c>
      <c r="D47" t="s">
        <v>450</v>
      </c>
      <c r="H47" t="s">
        <v>448</v>
      </c>
      <c r="K47">
        <f t="array" ref="K47">CONCATENATE("update msg_out_fld_config set msg_fld_name = '",A47,"' where cd = 'FDD1830B6F3456354342D9A7A3A4848E';")</f>
        <v>0</v>
      </c>
      <c r="M47">
        <f t="array" ref="M47">CONCATENATE("update msg_out_fld set description = '",D47,"' where tab_name = 'ARCHIV' and fld_name = 'LASTEMAILDATE';")</f>
        <v>0</v>
      </c>
    </row>
    <row r="48" spans="1:13">
      <c r="A48" t="s">
        <v>452</v>
      </c>
      <c r="C48" t="s">
        <v>37</v>
      </c>
      <c r="D48" t="s">
        <v>453</v>
      </c>
      <c r="H48" t="s">
        <v>451</v>
      </c>
      <c r="K48">
        <f t="array" ref="K48">CONCATENATE("update msg_out_fld_config set msg_fld_name = '",A48,"' where cd = '828549E533584F417CB18D5E69394116';")</f>
        <v>0</v>
      </c>
      <c r="M48">
        <f t="array" ref="M48">CONCATENATE("update msg_out_fld set description = '",D48,"' where tab_name = 'ARCHIV' and fld_name = 'LASTEMAILBY_CD';")</f>
        <v>0</v>
      </c>
    </row>
    <row r="49" spans="1:13">
      <c r="A49" t="s">
        <v>455</v>
      </c>
      <c r="C49" t="s">
        <v>211</v>
      </c>
      <c r="D49" t="s">
        <v>456</v>
      </c>
      <c r="H49" t="s">
        <v>454</v>
      </c>
      <c r="K49">
        <f t="array" ref="K49">CONCATENATE("update msg_out_fld_config set msg_fld_name = '",A49,"' where cd = 'D53971A783335C6EDC258EF9126F4AC0';")</f>
        <v>0</v>
      </c>
      <c r="M49">
        <f t="array" ref="M49">CONCATENATE("update msg_out_fld set description = '",D49,"' where tab_name = 'ARCHIV' and fld_name = 'VERSANDATTACHMENT_CD';")</f>
        <v>0</v>
      </c>
    </row>
    <row r="50" spans="1:13">
      <c r="A50" t="s">
        <v>458</v>
      </c>
      <c r="C50" t="s">
        <v>90</v>
      </c>
      <c r="D50" t="s">
        <v>459</v>
      </c>
      <c r="E50" t="s">
        <v>460</v>
      </c>
      <c r="F50" t="s">
        <v>23</v>
      </c>
      <c r="H50" t="s">
        <v>457</v>
      </c>
      <c r="K50">
        <f t="array" ref="K50">CONCATENATE("update msg_out_fld_config set msg_fld_name = '",A50,"' where cd = '68F542315EC33DB34F1BB82F292045F5';")</f>
        <v>0</v>
      </c>
      <c r="M50">
        <f t="array" ref="M50">CONCATENATE("update msg_out_fld set description = '",D50,"' where tab_name = 'ARCHIV' and fld_name = 'VERSANDATTACHMENTID';")</f>
        <v>0</v>
      </c>
    </row>
    <row r="51" spans="1:13">
      <c r="A51" t="s">
        <v>462</v>
      </c>
      <c r="C51" t="s">
        <v>26</v>
      </c>
      <c r="D51" t="s">
        <v>463</v>
      </c>
      <c r="E51" t="s">
        <v>464</v>
      </c>
      <c r="F51" t="s">
        <v>29</v>
      </c>
      <c r="G51" t="s">
        <v>465</v>
      </c>
      <c r="H51" t="s">
        <v>461</v>
      </c>
      <c r="K51">
        <f t="array" ref="K51">CONCATENATE("update msg_out_fld_config set msg_fld_name = '",A51,"' where cd = '1D1F080BFA80B4A1BAB93D0EDC3239FA';")</f>
        <v>0</v>
      </c>
      <c r="M51">
        <f t="array" ref="M51">CONCATENATE("update msg_out_fld set description = '",D51,"' where tab_name = 'ARCHIV' and fld_name = 'VERSAND_CD';")</f>
        <v>0</v>
      </c>
    </row>
    <row r="52" spans="1:13">
      <c r="A52" t="s">
        <v>467</v>
      </c>
      <c r="C52" t="s">
        <v>37</v>
      </c>
      <c r="D52" t="s">
        <v>468</v>
      </c>
      <c r="E52" t="s">
        <v>469</v>
      </c>
      <c r="F52" t="s">
        <v>23</v>
      </c>
      <c r="H52" t="s">
        <v>466</v>
      </c>
      <c r="K52">
        <f t="array" ref="K52">CONCATENATE("update msg_out_fld_config set msg_fld_name = '",A52,"' where cd = '07048251B2AE35D1A0944E6418ADF7A0';")</f>
        <v>0</v>
      </c>
      <c r="M52">
        <f t="array" ref="M52">CONCATENATE("update msg_out_fld set description = '",D52,"' where tab_name = 'ARCHIV' and fld_name = 'APSYS_PRINTER';")</f>
        <v>0</v>
      </c>
    </row>
    <row r="53" spans="1:13">
      <c r="A53" t="s">
        <v>471</v>
      </c>
      <c r="C53" t="s">
        <v>171</v>
      </c>
      <c r="D53" t="s">
        <v>472</v>
      </c>
      <c r="H53" t="s">
        <v>470</v>
      </c>
      <c r="K53">
        <f t="array" ref="K53">CONCATENATE("update msg_out_fld_config set msg_fld_name = '",A53,"' where cd = 'F3E811F3FD1F2CEA14AE404FA13C51EE';")</f>
        <v>0</v>
      </c>
      <c r="M53">
        <f t="array" ref="M53">CONCATENATE("update msg_out_fld set description = '",D53,"' where tab_name = 'ARCHIV' and fld_name = 'MASTEROBJEKTREFERENZ';")</f>
        <v>0</v>
      </c>
    </row>
    <row r="54" spans="1:13">
      <c r="A54" t="s">
        <v>474</v>
      </c>
      <c r="C54" t="s">
        <v>171</v>
      </c>
      <c r="D54" t="s">
        <v>475</v>
      </c>
      <c r="H54" t="s">
        <v>473</v>
      </c>
      <c r="K54">
        <f t="array" ref="K54">CONCATENATE("update msg_out_fld_config set msg_fld_name = '",A54,"' where cd = '1148D292F36A5AF6FB96BC59B0955066';")</f>
        <v>0</v>
      </c>
      <c r="M54">
        <f t="array" ref="M54">CONCATENATE("update msg_out_fld set description = '",D54,"' where tab_name = 'ARCHIV' and fld_name = 'OBJEKTREFERENZ1';")</f>
        <v>0</v>
      </c>
    </row>
    <row r="55" spans="1:13">
      <c r="A55" t="s">
        <v>477</v>
      </c>
      <c r="C55" t="s">
        <v>171</v>
      </c>
      <c r="D55" t="s">
        <v>478</v>
      </c>
      <c r="H55" t="s">
        <v>476</v>
      </c>
      <c r="K55">
        <f t="array" ref="K55">CONCATENATE("update msg_out_fld_config set msg_fld_name = '",A55,"' where cd = 'D23DE256394828DEAABB41F8581E6C15';")</f>
        <v>0</v>
      </c>
      <c r="M55">
        <f t="array" ref="M55">CONCATENATE("update msg_out_fld set description = '",D55,"' where tab_name = 'ARCHIV' and fld_name = 'OBJEKTREFERENZ2';")</f>
        <v>0</v>
      </c>
    </row>
    <row r="56" spans="1:13">
      <c r="A56" t="s">
        <v>480</v>
      </c>
      <c r="C56" t="s">
        <v>68</v>
      </c>
      <c r="D56" t="s">
        <v>481</v>
      </c>
      <c r="H56" t="s">
        <v>479</v>
      </c>
      <c r="K56">
        <f t="array" ref="K56">CONCATENATE("update msg_out_fld_config set msg_fld_name = '",A56,"' where cd = '3F2A4E603C53E4CC6765770F130502A9';")</f>
        <v>0</v>
      </c>
      <c r="M56">
        <f t="array" ref="M56">CONCATENATE("update msg_out_fld set description = '",D56,"' where tab_name = 'ARCHIV' and fld_name = 'ONLINE_CD';")</f>
        <v>0</v>
      </c>
    </row>
    <row r="57" spans="1:13">
      <c r="A57" t="s">
        <v>483</v>
      </c>
      <c r="C57" t="s">
        <v>90</v>
      </c>
      <c r="D57" t="s">
        <v>484</v>
      </c>
      <c r="E57" t="s">
        <v>485</v>
      </c>
      <c r="F57" t="s">
        <v>23</v>
      </c>
      <c r="H57" t="s">
        <v>482</v>
      </c>
      <c r="K57">
        <f t="array" ref="K57">CONCATENATE("update msg_out_fld_config set msg_fld_name = '",A57,"' where cd = '09E4BB2CB644A832C406D9E4665455E3';")</f>
        <v>0</v>
      </c>
      <c r="M57">
        <f t="array" ref="M57">CONCATENATE("update msg_out_fld set description = '",D57,"' where tab_name = 'ARCHIV' and fld_name = 'DOKUMENT_CD';")</f>
        <v>0</v>
      </c>
    </row>
    <row r="58" spans="1:13">
      <c r="A58" t="s">
        <v>487</v>
      </c>
      <c r="C58" t="s">
        <v>90</v>
      </c>
      <c r="D58" t="s">
        <v>488</v>
      </c>
      <c r="E58" t="s">
        <v>489</v>
      </c>
      <c r="F58" t="s">
        <v>23</v>
      </c>
      <c r="H58" t="s">
        <v>486</v>
      </c>
      <c r="K58">
        <f t="array" ref="K58">CONCATENATE("update msg_out_fld_config set msg_fld_name = '",A58,"' where cd = '18D152D20D18DE74E6D44F5ABA7F1C41';")</f>
        <v>0</v>
      </c>
      <c r="M58">
        <f t="array" ref="M58">CONCATENATE("update msg_out_fld set description = '",D58,"' where tab_name = 'ARCHIV' and fld_name = 'GRUPPEN_CD';")</f>
        <v>0</v>
      </c>
    </row>
    <row r="59" spans="1:13">
      <c r="A59" t="s">
        <v>491</v>
      </c>
      <c r="C59" t="s">
        <v>90</v>
      </c>
      <c r="D59" t="s">
        <v>492</v>
      </c>
      <c r="E59" t="s">
        <v>493</v>
      </c>
      <c r="G59" t="s">
        <v>494</v>
      </c>
      <c r="H59" t="s">
        <v>490</v>
      </c>
      <c r="K59">
        <f t="array" ref="K59">CONCATENATE("update msg_out_fld_config set msg_fld_name = '",A59,"' where cd = '515623E0D7CD32CF6C885F82C7F41189';")</f>
        <v>0</v>
      </c>
      <c r="M59">
        <f t="array" ref="M59">CONCATENATE("update msg_out_fld set description = '",D59,"' where tab_name = 'ARCHIV' and fld_name = 'PORTFOLIONO';")</f>
        <v>0</v>
      </c>
    </row>
    <row r="60" spans="1:13">
      <c r="A60" t="s">
        <v>496</v>
      </c>
      <c r="C60" t="s">
        <v>90</v>
      </c>
      <c r="D60" t="s">
        <v>497</v>
      </c>
      <c r="H60" t="s">
        <v>495</v>
      </c>
      <c r="K60">
        <f t="array" ref="K60">CONCATENATE("update msg_out_fld_config set msg_fld_name = '",A60,"' where cd = '1E5D65DCB1D78020E8EA30DAFCF55B2E';")</f>
        <v>0</v>
      </c>
      <c r="M60">
        <f t="array" ref="M60">CONCATENATE("update msg_out_fld set description = '",D60,"' where tab_name = 'ARCHIV' and fld_name = 'PRODUKTIONSNR';")</f>
        <v>0</v>
      </c>
    </row>
    <row r="61" spans="1:13">
      <c r="A61" t="s">
        <v>499</v>
      </c>
      <c r="C61" t="s">
        <v>90</v>
      </c>
      <c r="D61" t="s">
        <v>500</v>
      </c>
      <c r="H61" t="s">
        <v>498</v>
      </c>
      <c r="K61">
        <f t="array" ref="K61">CONCATENATE("update msg_out_fld_config set msg_fld_name = '",A61,"' where cd = '9AB94073B0C46B9E197AE34DFF4B22B1';")</f>
        <v>0</v>
      </c>
      <c r="M61">
        <f t="array" ref="M61">CONCATENATE("update msg_out_fld set description = '",D61,"' where tab_name = 'ARCHIV' and fld_name = 'APSYS_HRSYSL';")</f>
        <v>0</v>
      </c>
    </row>
    <row r="62" spans="1:13">
      <c r="A62" t="s">
        <v>502</v>
      </c>
      <c r="C62" t="s">
        <v>16</v>
      </c>
      <c r="D62" t="s">
        <v>503</v>
      </c>
      <c r="H62" t="s">
        <v>501</v>
      </c>
      <c r="K62">
        <f t="array" ref="K62">CONCATENATE("update msg_out_fld_config set msg_fld_name = '",A62,"' where cd = '9CC5629ABC94918CC76856429AFFABA7';")</f>
        <v>0</v>
      </c>
      <c r="M62">
        <f t="array" ref="M62">CONCATENATE("update msg_out_fld set description = '",D62,"' where tab_name = 'ARCHIV' and fld_name = 'APSYS_DESTS';")</f>
        <v>0</v>
      </c>
    </row>
    <row r="63" spans="1:13">
      <c r="A63" t="s">
        <v>505</v>
      </c>
      <c r="C63" t="s">
        <v>26</v>
      </c>
      <c r="D63" t="s">
        <v>506</v>
      </c>
      <c r="H63" t="s">
        <v>504</v>
      </c>
      <c r="K63">
        <f t="array" ref="K63">CONCATENATE("update msg_out_fld_config set msg_fld_name = '",A63,"' where cd = '341511A327335ECC92F150F9C23A0B04';")</f>
        <v>0</v>
      </c>
      <c r="M63">
        <f t="array" ref="M63">CONCATENATE("update msg_out_fld set description = '",D63,"' where tab_name = 'ARCHIV' and fld_name = 'ARCHIV_CD';")</f>
        <v>0</v>
      </c>
    </row>
    <row r="64" spans="1:13">
      <c r="A64" t="s">
        <v>508</v>
      </c>
      <c r="C64" t="s">
        <v>20</v>
      </c>
      <c r="D64" t="s">
        <v>509</v>
      </c>
      <c r="H64" t="s">
        <v>507</v>
      </c>
      <c r="K64">
        <f t="array" ref="K64">CONCATENATE("update msg_out_fld_config set msg_fld_name = '",A64,"' where cd = '14BF8337619E4C0D88CF459AA1F03BE3';")</f>
        <v>0</v>
      </c>
      <c r="M64">
        <f t="array" ref="M64">CONCATENATE("update msg_out_fld set description = '",D64,"' where tab_name = 'ARCHIV' and fld_name = 'APSYS_DEVEVALS';")</f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8.7109375" customWidth="1"/>
    <col min="5" max="5" width="34.28515625" customWidth="1"/>
    <col min="6" max="6" width="10.28515625" customWidth="1"/>
    <col min="7" max="7" width="15.140625" customWidth="1"/>
    <col min="8" max="8" width="27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2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510</v>
      </c>
    </row>
    <row r="2" spans="1:13">
      <c r="A2" s="1" t="s">
        <v>511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512</v>
      </c>
      <c r="K6">
        <f t="array" ref="K6">CONCATENATE("update msg_out_fld_config set msg_fld_name = '",A6,"' where cd = '3410F9E5EDAAD09DEBC3310180AF6F2D';")</f>
        <v>0</v>
      </c>
      <c r="M6">
        <f t="array" ref="M6">CONCATENATE("update msg_out_fld set description = '",D6,"' where tab_name = 'VERMOEGENSKATEGORIE' and fld_name = 'VERMOEGENSKATEGORIE_CD';")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'808B0CE040850683BD9017217AEC2902';")</f>
        <v>0</v>
      </c>
      <c r="M7">
        <f t="array" ref="M7">CONCATENATE("update msg_out_fld set description = '",D7,"' where tab_name = 'VERMOEGENSKATEGORIE'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'BAD7275D423CCEA68CF2807088A156E7';")</f>
        <v>0</v>
      </c>
      <c r="M8">
        <f t="array" ref="M8">CONCATENATE("update msg_out_fld set description = '",D8,"' where tab_name = 'VERMOEGENSKATEGORIE'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'6CF087BEEB3FA563B8A1287C24228915';")</f>
        <v>0</v>
      </c>
      <c r="M9">
        <f t="array" ref="M9">CONCATENATE("update msg_out_fld set description = '",D9,"' where tab_name = 'VERMOEGENSKATEGORIE'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'6B28CE28FB4832A2BCE86ABE68F84185';")</f>
        <v>0</v>
      </c>
      <c r="M10">
        <f t="array" ref="M10">CONCATENATE("update msg_out_fld set description = '",D10,"' where tab_name = 'VERMOEGENSKATEGORIE'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'8EB1225E85C5CFD601D775E278A768F7';")</f>
        <v>0</v>
      </c>
      <c r="M11">
        <f t="array" ref="M11">CONCATENATE("update msg_out_fld set description = '",D11,"' where tab_name = 'VERMOEGENSKATEGORIE' and fld_name = 'CRTUSER';")</f>
        <v>0</v>
      </c>
    </row>
    <row r="12" spans="1:13">
      <c r="A12" t="s">
        <v>55</v>
      </c>
      <c r="C12" t="s">
        <v>37</v>
      </c>
      <c r="D12" t="s">
        <v>514</v>
      </c>
      <c r="H12" t="s">
        <v>513</v>
      </c>
      <c r="K12">
        <f t="array" ref="K12">CONCATENATE("update msg_out_fld_config set msg_fld_name = '",A12,"' where cd = '4F4784E31693FD0E1B28C005BD9F6B38';")</f>
        <v>0</v>
      </c>
      <c r="M12">
        <f t="array" ref="M12">CONCATENATE("update msg_out_fld set description = '",D12,"' where tab_name = 'VERMOEGENSKATEGORIE' and fld_name = 'VERMOEGENSKATEGORIE';")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'6CE7B1B831835B317801518F96AEB7B0';")</f>
        <v>0</v>
      </c>
      <c r="M13">
        <f t="array" ref="M13">CONCATENATE("update msg_out_fld set description = '",D13,"' where tab_name = 'VERMOEGENSKATEGORIE'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'5523C7C64D2A555321F3BB2F7768841D';")</f>
        <v>0</v>
      </c>
      <c r="M14">
        <f t="array" ref="M14">CONCATENATE("update msg_out_fld set description = '",D14,"' where tab_name = 'VERMOEGENSKATEGORIE' and fld_name = 'MUTUSER';")</f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9.85546875" customWidth="1"/>
    <col min="5" max="5" width="34.28515625" customWidth="1"/>
    <col min="6" max="6" width="10.28515625" customWidth="1"/>
    <col min="7" max="7" width="15.140625" customWidth="1"/>
    <col min="8" max="8" width="25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9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515</v>
      </c>
    </row>
    <row r="2" spans="1:13">
      <c r="A2" s="1" t="s">
        <v>516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517</v>
      </c>
      <c r="K6">
        <f t="array" ref="K6">CONCATENATE("update msg_out_fld_config set msg_fld_name = '",A6,"' where cd = 'B1D9AAE5E898E99BE67591C67048D13D';")</f>
        <v>0</v>
      </c>
      <c r="M6">
        <f t="array" ref="M6">CONCATENATE("update msg_out_fld set description = '",D6,"' where tab_name = 'VERMOEGENSURSPRUNG' and fld_name = 'VERMOEGENSURSPRUNG_CD';")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'69E9D406BE221D67C5B6C0E344781E4C';")</f>
        <v>0</v>
      </c>
      <c r="M7">
        <f t="array" ref="M7">CONCATENATE("update msg_out_fld set description = '",D7,"' where tab_name = 'VERMOEGENSURSPRUNG'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'D6C4AA2ECF1D79FE3054F4BC1EC575E8';")</f>
        <v>0</v>
      </c>
      <c r="M8">
        <f t="array" ref="M8">CONCATENATE("update msg_out_fld set description = '",D8,"' where tab_name = 'VERMOEGENSURSPRUNG'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'142500FF2AB21A57D84DF63592BD57FE';")</f>
        <v>0</v>
      </c>
      <c r="M9">
        <f t="array" ref="M9">CONCATENATE("update msg_out_fld set description = '",D9,"' where tab_name = 'VERMOEGENSURSPRUNG'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'68FFAEA5B76EFF215DAE501DE717B6B2';")</f>
        <v>0</v>
      </c>
      <c r="M10">
        <f t="array" ref="M10">CONCATENATE("update msg_out_fld set description = '",D10,"' where tab_name = 'VERMOEGENSURSPRUNG'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'7F2CCEB99392ADE079680ED7010EE267';")</f>
        <v>0</v>
      </c>
      <c r="M11">
        <f t="array" ref="M11">CONCATENATE("update msg_out_fld set description = '",D11,"' where tab_name = 'VERMOEGENSURSPRUNG' and fld_name = 'CRTUSER';")</f>
        <v>0</v>
      </c>
    </row>
    <row r="12" spans="1:13">
      <c r="A12" t="s">
        <v>55</v>
      </c>
      <c r="C12" t="s">
        <v>37</v>
      </c>
      <c r="D12" t="s">
        <v>519</v>
      </c>
      <c r="H12" t="s">
        <v>518</v>
      </c>
      <c r="K12">
        <f t="array" ref="K12">CONCATENATE("update msg_out_fld_config set msg_fld_name = '",A12,"' where cd = '57CA4A1EC073520BCCB93AFAB23C3472';")</f>
        <v>0</v>
      </c>
      <c r="M12">
        <f t="array" ref="M12">CONCATENATE("update msg_out_fld set description = '",D12,"' where tab_name = 'VERMOEGENSURSPRUNG' and fld_name = 'VERMOEGENSURSPRUNG';")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'34E7A4746732AA0E2982F9DE6AD9F6B7';")</f>
        <v>0</v>
      </c>
      <c r="M13">
        <f t="array" ref="M13">CONCATENATE("update msg_out_fld set description = '",D13,"' where tab_name = 'VERMOEGENSURSPRUNG'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'5ADD8B1AE6B493699A4A7A8BFF0B8B06';")</f>
        <v>0</v>
      </c>
      <c r="M14">
        <f t="array" ref="M14">CONCATENATE("update msg_out_fld set description = '",D14,"' where tab_name = 'VERMOEGENSURSPRUNG' and fld_name = 'MUTUSER';")</f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19.85546875" customWidth="1"/>
    <col min="2" max="2" width="4.28515625" customWidth="1"/>
    <col min="3" max="3" width="15.140625" customWidth="1"/>
    <col min="4" max="4" width="19.85546875" customWidth="1"/>
    <col min="5" max="5" width="41.5703125" customWidth="1"/>
    <col min="6" max="6" width="10.28515625" customWidth="1"/>
    <col min="7" max="7" width="18.7109375" customWidth="1"/>
    <col min="8" max="8" width="22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0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520</v>
      </c>
    </row>
    <row r="2" spans="1:13">
      <c r="A2" s="1" t="s">
        <v>521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522</v>
      </c>
      <c r="K6">
        <f t="array" ref="K6">CONCATENATE("update msg_out_fld_config set msg_fld_name = '",A6,"' where cd = '6A3427972AF43121C2FE93FABC120ECC';")</f>
        <v>0</v>
      </c>
      <c r="M6">
        <f t="array" ref="M6">CONCATENATE("update msg_out_fld set description = '",D6,"' where tab_name = 'VOLLMACHTTYP' and fld_name = 'VOLLMACHTTYP_CD';")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'864D3E4425D8C25F717DA8530497BE13';")</f>
        <v>0</v>
      </c>
      <c r="M7">
        <f t="array" ref="M7">CONCATENATE("update msg_out_fld set description = '",D7,"' where tab_name = 'VOLLMACHTTYP'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'EBB2E29FE003D803693CEB03AE5AC3CC';")</f>
        <v>0</v>
      </c>
      <c r="M8">
        <f t="array" ref="M8">CONCATENATE("update msg_out_fld set description = '",D8,"' where tab_name = 'VOLLMACHTTYP'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'240888B65E47F91E33C9B8F78E759350';")</f>
        <v>0</v>
      </c>
      <c r="M9">
        <f t="array" ref="M9">CONCATENATE("update msg_out_fld set description = '",D9,"' where tab_name = 'VOLLMACHTTYP'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'5F8BF7A55B2FB3219392842917AAEF69';")</f>
        <v>0</v>
      </c>
      <c r="M10">
        <f t="array" ref="M10">CONCATENATE("update msg_out_fld set description = '",D10,"' where tab_name = 'VOLLMACHTTYP'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'C92840350A41CFF8820E3056961201FC';")</f>
        <v>0</v>
      </c>
      <c r="M11">
        <f t="array" ref="M11">CONCATENATE("update msg_out_fld set description = '",D11,"' where tab_name = 'VOLLMACHTTYP' and fld_name = 'CRTUSER';")</f>
        <v>0</v>
      </c>
    </row>
    <row r="12" spans="1:13">
      <c r="A12" t="s">
        <v>55</v>
      </c>
      <c r="C12" t="s">
        <v>37</v>
      </c>
      <c r="D12" t="s">
        <v>524</v>
      </c>
      <c r="H12" t="s">
        <v>523</v>
      </c>
      <c r="K12">
        <f t="array" ref="K12">CONCATENATE("update msg_out_fld_config set msg_fld_name = '",A12,"' where cd = '447C2381EF8E883BFECB50B5DC9FA76B';")</f>
        <v>0</v>
      </c>
      <c r="M12">
        <f t="array" ref="M12">CONCATENATE("update msg_out_fld set description = '",D12,"' where tab_name = 'VOLLMACHTTYP' and fld_name = 'VOLLMACHTTYP';")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'749CECA3CC563575230E35C1145196FA';")</f>
        <v>0</v>
      </c>
      <c r="M13">
        <f t="array" ref="M13">CONCATENATE("update msg_out_fld set description = '",D13,"' where tab_name = 'VOLLMACHTTYP'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'55E7E60AEE740CF3D4BF0068046FBBF3';")</f>
        <v>0</v>
      </c>
      <c r="M14">
        <f t="array" ref="M14">CONCATENATE("update msg_out_fld set description = '",D14,"' where tab_name = 'VOLLMACHTTYP' and fld_name = 'MUTUSER';")</f>
        <v>0</v>
      </c>
    </row>
    <row r="15" spans="1:13">
      <c r="A15" t="s">
        <v>83</v>
      </c>
      <c r="C15" t="s">
        <v>84</v>
      </c>
      <c r="D15" t="s">
        <v>525</v>
      </c>
      <c r="H15" t="s">
        <v>82</v>
      </c>
      <c r="K15">
        <f t="array" ref="K15">CONCATENATE("update msg_out_fld_config set msg_fld_name = '",A15,"' where cd = '1D22EDAB1FBD71F7456DFF362CE152C3';")</f>
        <v>0</v>
      </c>
      <c r="M15">
        <f t="array" ref="M15">CONCATENATE("update msg_out_fld set description = '",D15,"' where tab_name = 'VOLLMACHTTYP' and fld_name = 'RISKINDEX';")</f>
        <v>0</v>
      </c>
    </row>
    <row r="16" spans="1:13">
      <c r="A16" t="s">
        <v>527</v>
      </c>
      <c r="C16" t="s">
        <v>20</v>
      </c>
      <c r="D16" t="s">
        <v>528</v>
      </c>
      <c r="H16" t="s">
        <v>526</v>
      </c>
      <c r="K16">
        <f t="array" ref="K16">CONCATENATE("update msg_out_fld_config set msg_fld_name = '",A16,"' where cd = 'A8FFC6AF5FB0080DB150C89A5D4AFA3D';")</f>
        <v>0</v>
      </c>
      <c r="M16">
        <f t="array" ref="M16">CONCATENATE("update msg_out_fld set description = '",D16,"' where tab_name = 'VOLLMACHTTYP' and fld_name = 'SIGNATURE_POWER';")</f>
        <v>0</v>
      </c>
    </row>
    <row r="17" spans="1:13">
      <c r="A17" t="s">
        <v>530</v>
      </c>
      <c r="C17" t="s">
        <v>26</v>
      </c>
      <c r="D17" t="s">
        <v>531</v>
      </c>
      <c r="E17" t="s">
        <v>532</v>
      </c>
      <c r="F17" t="s">
        <v>29</v>
      </c>
      <c r="G17" t="s">
        <v>533</v>
      </c>
      <c r="H17" t="s">
        <v>529</v>
      </c>
      <c r="K17">
        <f t="array" ref="K17">CONCATENATE("update msg_out_fld_config set msg_fld_name = '",A17,"' where cd = '7927F2849D17CF6A069E14838EAC7D4E';")</f>
        <v>0</v>
      </c>
      <c r="M17">
        <f t="array" ref="M17">CONCATENATE("update msg_out_fld set description = '",D17,"' where tab_name = 'VOLLMACHTTYP' and fld_name = 'ZEICHNUNGSRECHT_CD';")</f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18.7109375" customWidth="1"/>
    <col min="2" max="2" width="4.28515625" customWidth="1"/>
    <col min="3" max="3" width="12.7109375" customWidth="1"/>
    <col min="4" max="4" width="15.14062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45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534</v>
      </c>
    </row>
    <row r="2" spans="1:13">
      <c r="A2" s="1" t="s">
        <v>535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18</v>
      </c>
      <c r="K6">
        <f t="array" ref="K6">CONCATENATE("update msg_out_fld_config set msg_fld_name = '",A6,"' where cd = '04ADCF9EC3F7C0DB1179B3027922E792';")</f>
        <v>0</v>
      </c>
      <c r="M6">
        <f t="array" ref="M6">CONCATENATE("update msg_out_fld set description = '",D6,"' where tab_name = 'FILIALE' and fld_name = 'FILIALE_CD';")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'88246E9E38268447FD4BB1D2A802524E';")</f>
        <v>0</v>
      </c>
      <c r="M7">
        <f t="array" ref="M7">CONCATENATE("update msg_out_fld set description = '",D7,"' where tab_name = 'FILIALE'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'B9ABD0EF8C2C875D406A3B9D1239C289';")</f>
        <v>0</v>
      </c>
      <c r="M8">
        <f t="array" ref="M8">CONCATENATE("update msg_out_fld set description = '",D8,"' where tab_name = 'FILIALE'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'9206326CADAFB118F525F06AA418BD04';")</f>
        <v>0</v>
      </c>
      <c r="M9">
        <f t="array" ref="M9">CONCATENATE("update msg_out_fld set description = '",D9,"' where tab_name = 'FILIALE'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'8C8E769F7C6DA44F0A59209E35F6E374';")</f>
        <v>0</v>
      </c>
      <c r="M10">
        <f t="array" ref="M10">CONCATENATE("update msg_out_fld set description = '",D10,"' where tab_name = 'FILIALE'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'D7BB14F83F920994BDE120362F95D984';")</f>
        <v>0</v>
      </c>
      <c r="M11">
        <f t="array" ref="M11">CONCATENATE("update msg_out_fld set description = '",D11,"' where tab_name = 'FILIALE' and fld_name = 'CRTUSER';")</f>
        <v>0</v>
      </c>
    </row>
    <row r="12" spans="1:13">
      <c r="A12" t="s">
        <v>55</v>
      </c>
      <c r="C12" t="s">
        <v>37</v>
      </c>
      <c r="D12" t="s">
        <v>21</v>
      </c>
      <c r="H12" t="s">
        <v>536</v>
      </c>
      <c r="K12">
        <f t="array" ref="K12">CONCATENATE("update msg_out_fld_config set msg_fld_name = '",A12,"' where cd = '65D785CA78238D4BC97FAF725D805ED1';")</f>
        <v>0</v>
      </c>
      <c r="M12">
        <f t="array" ref="M12">CONCATENATE("update msg_out_fld set description = '",D12,"' where tab_name = 'FILIALE' and fld_name = 'FILIALE';")</f>
        <v>0</v>
      </c>
    </row>
    <row r="13" spans="1:13">
      <c r="A13" t="s">
        <v>538</v>
      </c>
      <c r="C13" t="s">
        <v>20</v>
      </c>
      <c r="D13" t="s">
        <v>539</v>
      </c>
      <c r="H13" t="s">
        <v>537</v>
      </c>
      <c r="K13">
        <f t="array" ref="K13">CONCATENATE("update msg_out_fld_config set msg_fld_name = '",A13,"' where cd = '5C21517D59FE3914C0A758B424DD2CE9';")</f>
        <v>0</v>
      </c>
      <c r="M13">
        <f t="array" ref="M13">CONCATENATE("update msg_out_fld set description = '",D13,"' where tab_name = 'FILIALE' and fld_name = 'ENTITAET_CD';")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'D84251DAF0448A56A7367405579C33B9';")</f>
        <v>0</v>
      </c>
      <c r="M14">
        <f t="array" ref="M14">CONCATENATE("update msg_out_fld set description = '",D14,"' where tab_name = 'FILIALE'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'F30CCE29F1A1B5484397D4699ABD0A3D';")</f>
        <v>0</v>
      </c>
      <c r="M15">
        <f t="array" ref="M15">CONCATENATE("update msg_out_fld set description = '",D15,"' where tab_name = 'FILIALE' and fld_name = 'MUTUSER';")</f>
        <v>0</v>
      </c>
    </row>
    <row r="16" spans="1:13">
      <c r="A16" t="s">
        <v>541</v>
      </c>
      <c r="C16" t="s">
        <v>20</v>
      </c>
      <c r="D16" t="s">
        <v>52</v>
      </c>
      <c r="H16" t="s">
        <v>540</v>
      </c>
      <c r="K16">
        <f t="array" ref="K16">CONCATENATE("update msg_out_fld_config set msg_fld_name = '",A16,"' where cd = '365DB8FDFEC4C681297D2C73EC1FAC6F';")</f>
        <v>0</v>
      </c>
      <c r="M16">
        <f t="array" ref="M16">CONCATENATE("update msg_out_fld set description = '",D16,"' where tab_name = 'FILIALE' and fld_name = 'STRUKTUR_CD';")</f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43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542</v>
      </c>
    </row>
    <row r="2" spans="1:13">
      <c r="A2" s="1" t="s">
        <v>543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544</v>
      </c>
      <c r="K6">
        <f t="array" ref="K6">CONCATENATE("update msg_out_fld_config set msg_fld_name = '",A6,"' where cd = '04BB4F8FDEC755A9F6DA1DF3D57729C0';")</f>
        <v>0</v>
      </c>
      <c r="M6">
        <f t="array" ref="M6">CONCATENATE("update msg_out_fld set description = '",D6,"' where tab_name = 'KINDER' and fld_name = 'KINDER_CD';")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'BE53813369DE9B7A9CAA51245B9282C0';")</f>
        <v>0</v>
      </c>
      <c r="M7">
        <f t="array" ref="M7">CONCATENATE("update msg_out_fld set description = '",D7,"' where tab_name = 'KINDER'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'6CA249F8EC57959077D5EE5C15AB2ABB';")</f>
        <v>0</v>
      </c>
      <c r="M8">
        <f t="array" ref="M8">CONCATENATE("update msg_out_fld set description = '",D8,"' where tab_name = 'KINDER'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'0C708D7C7336626090F89ABF418FBBF7';")</f>
        <v>0</v>
      </c>
      <c r="M9">
        <f t="array" ref="M9">CONCATENATE("update msg_out_fld set description = '",D9,"' where tab_name = 'KINDER'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'1EB28DE9FE7D6DAEE4196891FE7CE76E';")</f>
        <v>0</v>
      </c>
      <c r="M10">
        <f t="array" ref="M10">CONCATENATE("update msg_out_fld set description = '",D10,"' where tab_name = 'KINDER'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'38C2A67D9E84D0C71F2615D144ED8CCF';")</f>
        <v>0</v>
      </c>
      <c r="M11">
        <f t="array" ref="M11">CONCATENATE("update msg_out_fld set description = '",D11,"' where tab_name = 'KINDER' and fld_name = 'CRTUSER';")</f>
        <v>0</v>
      </c>
    </row>
    <row r="12" spans="1:13">
      <c r="A12" t="s">
        <v>55</v>
      </c>
      <c r="C12" t="s">
        <v>37</v>
      </c>
      <c r="D12" t="s">
        <v>546</v>
      </c>
      <c r="H12" t="s">
        <v>545</v>
      </c>
      <c r="K12">
        <f t="array" ref="K12">CONCATENATE("update msg_out_fld_config set msg_fld_name = '",A12,"' where cd = 'B736F749BCF7C360FE6217AB4D92BCDC';")</f>
        <v>0</v>
      </c>
      <c r="M12">
        <f t="array" ref="M12">CONCATENATE("update msg_out_fld set description = '",D12,"' where tab_name = 'KINDER' and fld_name = 'KINDER';")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'8F65B464206C45F6EE43A42ECCFE9798';")</f>
        <v>0</v>
      </c>
      <c r="M13">
        <f t="array" ref="M13">CONCATENATE("update msg_out_fld set description = '",D13,"' where tab_name = 'KINDER'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'67034B168B0697E81B511A65BE62DEC1';")</f>
        <v>0</v>
      </c>
      <c r="M14">
        <f t="array" ref="M14">CONCATENATE("update msg_out_fld set description = '",D14,"' where tab_name = 'KINDER' and fld_name = 'MUTUSER';")</f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36"/>
  <sheetViews>
    <sheetView workbookViewId="0"/>
  </sheetViews>
  <sheetFormatPr defaultRowHeight="15"/>
  <cols>
    <col min="1" max="1" width="34.28515625" customWidth="1"/>
    <col min="2" max="2" width="4.28515625" customWidth="1"/>
    <col min="3" max="3" width="16.28515625" customWidth="1"/>
    <col min="4" max="4" width="43.85546875" customWidth="1"/>
    <col min="5" max="5" width="48.7109375" customWidth="1"/>
    <col min="6" max="6" width="10.28515625" customWidth="1"/>
    <col min="7" max="7" width="90.7109375" customWidth="1"/>
    <col min="8" max="8" width="36.7109375" customWidth="1"/>
    <col min="9" max="9" width="1.85546875" customWidth="1"/>
    <col min="10" max="10" width="1.85546875" customWidth="1"/>
    <col min="11" max="11" width="144.7109375" customWidth="1"/>
    <col min="12" max="12" width="1.85546875" customWidth="1"/>
    <col min="13" max="13" width="167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547</v>
      </c>
    </row>
    <row r="2" spans="1:13">
      <c r="A2" s="1" t="s">
        <v>548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422</v>
      </c>
      <c r="H6" t="s">
        <v>420</v>
      </c>
      <c r="K6">
        <f t="array" ref="K6">CONCATENATE("update msg_out_fld_config set msg_fld_name = '",A6,"' where cd = '5F0FBD272FAA805C58A3EF29C93A1C4C';")</f>
        <v>0</v>
      </c>
      <c r="M6">
        <f t="array" ref="M6">CONCATENATE("update msg_out_fld set description = '",D6,"' where tab_name = 'KUNDE' and fld_name = 'KUNDENID';")</f>
        <v>0</v>
      </c>
    </row>
    <row r="7" spans="1:13">
      <c r="A7" t="s">
        <v>550</v>
      </c>
      <c r="C7" t="s">
        <v>37</v>
      </c>
      <c r="D7" t="s">
        <v>551</v>
      </c>
      <c r="H7" t="s">
        <v>549</v>
      </c>
      <c r="K7">
        <f t="array" ref="K7">CONCATENATE("update msg_out_fld_config set msg_fld_name = '",A7,"' where cd = '659E91E1270909FA27F3D6014DB571E3';")</f>
        <v>0</v>
      </c>
      <c r="M7">
        <f t="array" ref="M7">CONCATENATE("update msg_out_fld set description = '",D7,"' where tab_name = 'KUNDE' and fld_name = 'BEZEICHNUNG';")</f>
        <v>0</v>
      </c>
    </row>
    <row r="8" spans="1:13">
      <c r="A8" t="s">
        <v>553</v>
      </c>
      <c r="C8" t="s">
        <v>554</v>
      </c>
      <c r="D8" t="s">
        <v>555</v>
      </c>
      <c r="H8" t="s">
        <v>552</v>
      </c>
      <c r="K8">
        <f t="array" ref="K8">CONCATENATE("update msg_out_fld_config set msg_fld_name = '",A8,"' where cd = '822286F572974949DF45176825C3A031';")</f>
        <v>0</v>
      </c>
      <c r="M8">
        <f t="array" ref="M8">CONCATENATE("update msg_out_fld set description = '",D8,"' where tab_name = 'KUNDE' and fld_name = 'BEZEICHNUNGVERTRAG';")</f>
        <v>0</v>
      </c>
    </row>
    <row r="9" spans="1:13">
      <c r="A9" t="s">
        <v>556</v>
      </c>
      <c r="C9" t="s">
        <v>20</v>
      </c>
      <c r="D9" t="s">
        <v>557</v>
      </c>
      <c r="E9" t="s">
        <v>558</v>
      </c>
      <c r="F9" t="s">
        <v>23</v>
      </c>
      <c r="H9" t="s">
        <v>73</v>
      </c>
      <c r="K9">
        <f t="array" ref="K9">CONCATENATE("update msg_out_fld_config set msg_fld_name = '",A9,"' where cd = '243A70FB2D658A0FBDBBB2C65E95347A';")</f>
        <v>0</v>
      </c>
      <c r="M9">
        <f t="array" ref="M9">CONCATENATE("update msg_out_fld set description = '",D9,"' where tab_name = 'KUNDE' and fld_name = 'KONTOEROEFFNUNGSART_CD';")</f>
        <v>0</v>
      </c>
    </row>
    <row r="10" spans="1:13">
      <c r="A10" t="s">
        <v>93</v>
      </c>
      <c r="C10" t="s">
        <v>90</v>
      </c>
      <c r="D10" t="s">
        <v>94</v>
      </c>
      <c r="H10" t="s">
        <v>92</v>
      </c>
      <c r="K10">
        <f t="array" ref="K10">CONCATENATE("update msg_out_fld_config set msg_fld_name = '",A10,"' where cd = 'DBA9CAC54DFDFE031CE023273ACFC65D';")</f>
        <v>0</v>
      </c>
      <c r="M10">
        <f t="array" ref="M10">CONCATENATE("update msg_out_fld set description = '",D10,"' where tab_name = 'KUNDE' and fld_name = 'AKTID';")</f>
        <v>0</v>
      </c>
    </row>
    <row r="11" spans="1:13">
      <c r="A11" t="s">
        <v>560</v>
      </c>
      <c r="C11" t="s">
        <v>26</v>
      </c>
      <c r="D11" t="s">
        <v>561</v>
      </c>
      <c r="E11" t="s">
        <v>562</v>
      </c>
      <c r="F11" t="s">
        <v>29</v>
      </c>
      <c r="G11" t="s">
        <v>30</v>
      </c>
      <c r="H11" t="s">
        <v>559</v>
      </c>
      <c r="K11">
        <f t="array" ref="K11">CONCATENATE("update msg_out_fld_config set msg_fld_name = '",A11,"' where cd = 'B3E4ECCF354BB152523900A7722119FF';")</f>
        <v>0</v>
      </c>
      <c r="M11">
        <f t="array" ref="M11">CONCATENATE("update msg_out_fld set description = '",D11,"' where tab_name = 'KUNDE' and fld_name = 'APSYS_CDAVIOBISPECC';")</f>
        <v>0</v>
      </c>
    </row>
    <row r="12" spans="1:13">
      <c r="A12" t="s">
        <v>564</v>
      </c>
      <c r="C12" t="s">
        <v>90</v>
      </c>
      <c r="D12" t="s">
        <v>565</v>
      </c>
      <c r="E12" t="s">
        <v>566</v>
      </c>
      <c r="F12" t="s">
        <v>29</v>
      </c>
      <c r="G12" t="s">
        <v>567</v>
      </c>
      <c r="H12" t="s">
        <v>563</v>
      </c>
      <c r="K12">
        <f t="array" ref="K12">CONCATENATE("update msg_out_fld_config set msg_fld_name = '",A12,"' where cd = '861B12FCA5F63090F0ECE9F09648233B';")</f>
        <v>0</v>
      </c>
      <c r="M12">
        <f t="array" ref="M12">CONCATENATE("update msg_out_fld set description = '",D12,"' where tab_name = 'KUNDE' and fld_name = 'APPROVAL_STATUS_CD';")</f>
        <v>0</v>
      </c>
    </row>
    <row r="13" spans="1:13">
      <c r="A13" t="s">
        <v>569</v>
      </c>
      <c r="C13" t="s">
        <v>90</v>
      </c>
      <c r="D13" t="s">
        <v>570</v>
      </c>
      <c r="E13" t="s">
        <v>571</v>
      </c>
      <c r="F13" t="s">
        <v>23</v>
      </c>
      <c r="H13" t="s">
        <v>568</v>
      </c>
      <c r="K13">
        <f t="array" ref="K13">CONCATENATE("update msg_out_fld_config set msg_fld_name = '",A13,"' where cd = '53B09F8387209F87A9D070B9D80227EE';")</f>
        <v>0</v>
      </c>
      <c r="M13">
        <f t="array" ref="M13">CONCATENATE("update msg_out_fld set description = '",D13,"' where tab_name = 'KUNDE' and fld_name = 'APPROVAL_STEP1_ASSES_CD';")</f>
        <v>0</v>
      </c>
    </row>
    <row r="14" spans="1:13">
      <c r="A14" t="s">
        <v>573</v>
      </c>
      <c r="C14" t="s">
        <v>33</v>
      </c>
      <c r="D14" t="s">
        <v>574</v>
      </c>
      <c r="H14" t="s">
        <v>572</v>
      </c>
      <c r="K14">
        <f t="array" ref="K14">CONCATENATE("update msg_out_fld_config set msg_fld_name = '",A14,"' where cd = 'C395DEDA64DA8E5E19F72838A170F463';")</f>
        <v>0</v>
      </c>
      <c r="M14">
        <f t="array" ref="M14">CONCATENATE("update msg_out_fld set description = '",D14,"' where tab_name = 'KUNDE' and fld_name = 'APPROVAL_STEP1_DATE';")</f>
        <v>0</v>
      </c>
    </row>
    <row r="15" spans="1:13">
      <c r="A15" t="s">
        <v>576</v>
      </c>
      <c r="C15" t="s">
        <v>26</v>
      </c>
      <c r="D15" t="s">
        <v>577</v>
      </c>
      <c r="E15" t="s">
        <v>28</v>
      </c>
      <c r="F15" t="s">
        <v>29</v>
      </c>
      <c r="G15" t="s">
        <v>30</v>
      </c>
      <c r="H15" t="s">
        <v>575</v>
      </c>
      <c r="K15">
        <f t="array" ref="K15">CONCATENATE("update msg_out_fld_config set msg_fld_name = '",A15,"' where cd = 'D82F85B6313582107ED6D552685384AA';")</f>
        <v>0</v>
      </c>
      <c r="M15">
        <f t="array" ref="M15">CONCATENATE("update msg_out_fld set description = '",D15,"' where tab_name = 'KUNDE' and fld_name = 'APPROVAL_STEP1_CD';")</f>
        <v>0</v>
      </c>
    </row>
    <row r="16" spans="1:13">
      <c r="A16" t="s">
        <v>579</v>
      </c>
      <c r="C16" t="s">
        <v>580</v>
      </c>
      <c r="D16" t="s">
        <v>581</v>
      </c>
      <c r="H16" t="s">
        <v>578</v>
      </c>
      <c r="K16">
        <f t="array" ref="K16">CONCATENATE("update msg_out_fld_config set msg_fld_name = '",A16,"' where cd = '33257F5D297F61F5D5F084DCED11B761';")</f>
        <v>0</v>
      </c>
      <c r="M16">
        <f t="array" ref="M16">CONCATENATE("update msg_out_fld set description = '",D16,"' where tab_name = 'KUNDE' and fld_name = 'APPROVAL_STEP1_BEM';")</f>
        <v>0</v>
      </c>
    </row>
    <row r="17" spans="1:13">
      <c r="A17" t="s">
        <v>583</v>
      </c>
      <c r="C17" t="s">
        <v>37</v>
      </c>
      <c r="D17" t="s">
        <v>584</v>
      </c>
      <c r="E17" t="s">
        <v>39</v>
      </c>
      <c r="F17" t="s">
        <v>23</v>
      </c>
      <c r="H17" t="s">
        <v>582</v>
      </c>
      <c r="K17">
        <f t="array" ref="K17">CONCATENATE("update msg_out_fld_config set msg_fld_name = '",A17,"' where cd = '302CCE02CC13CAA2BEEBBC47920A0B9B';")</f>
        <v>0</v>
      </c>
      <c r="M17">
        <f t="array" ref="M17">CONCATENATE("update msg_out_fld set description = '",D17,"' where tab_name = 'KUNDE' and fld_name = 'APPROVAL_STEP1_USER';")</f>
        <v>0</v>
      </c>
    </row>
    <row r="18" spans="1:13">
      <c r="A18" t="s">
        <v>586</v>
      </c>
      <c r="C18" t="s">
        <v>90</v>
      </c>
      <c r="D18" t="s">
        <v>587</v>
      </c>
      <c r="E18" t="s">
        <v>588</v>
      </c>
      <c r="F18" t="s">
        <v>23</v>
      </c>
      <c r="H18" t="s">
        <v>585</v>
      </c>
      <c r="K18">
        <f t="array" ref="K18">CONCATENATE("update msg_out_fld_config set msg_fld_name = '",A18,"' where cd = '2949FC02634614B8349CAEB5BCD01D8F';")</f>
        <v>0</v>
      </c>
      <c r="M18">
        <f t="array" ref="M18">CONCATENATE("update msg_out_fld set description = '",D18,"' where tab_name = 'KUNDE' and fld_name = 'APPROVAL_STEP2_ASSES_CD';")</f>
        <v>0</v>
      </c>
    </row>
    <row r="19" spans="1:13">
      <c r="A19" t="s">
        <v>590</v>
      </c>
      <c r="C19" t="s">
        <v>33</v>
      </c>
      <c r="D19" t="s">
        <v>591</v>
      </c>
      <c r="H19" t="s">
        <v>589</v>
      </c>
      <c r="K19">
        <f t="array" ref="K19">CONCATENATE("update msg_out_fld_config set msg_fld_name = '",A19,"' where cd = '01B9C8DCF6D783C3BD3802B864D5286D';")</f>
        <v>0</v>
      </c>
      <c r="M19">
        <f t="array" ref="M19">CONCATENATE("update msg_out_fld set description = '",D19,"' where tab_name = 'KUNDE' and fld_name = 'APPROVAL_STEP2_DATE';")</f>
        <v>0</v>
      </c>
    </row>
    <row r="20" spans="1:13">
      <c r="A20" t="s">
        <v>593</v>
      </c>
      <c r="C20" t="s">
        <v>26</v>
      </c>
      <c r="D20" t="s">
        <v>594</v>
      </c>
      <c r="E20" t="s">
        <v>28</v>
      </c>
      <c r="F20" t="s">
        <v>29</v>
      </c>
      <c r="G20" t="s">
        <v>30</v>
      </c>
      <c r="H20" t="s">
        <v>592</v>
      </c>
      <c r="K20">
        <f t="array" ref="K20">CONCATENATE("update msg_out_fld_config set msg_fld_name = '",A20,"' where cd = '64F032DC1FFC0093F46E4BD187ACDACD';")</f>
        <v>0</v>
      </c>
      <c r="M20">
        <f t="array" ref="M20">CONCATENATE("update msg_out_fld set description = '",D20,"' where tab_name = 'KUNDE' and fld_name = 'APPROVAL_STEP2_CD';")</f>
        <v>0</v>
      </c>
    </row>
    <row r="21" spans="1:13">
      <c r="A21" t="s">
        <v>596</v>
      </c>
      <c r="C21" t="s">
        <v>580</v>
      </c>
      <c r="D21" t="s">
        <v>597</v>
      </c>
      <c r="H21" t="s">
        <v>595</v>
      </c>
      <c r="K21">
        <f t="array" ref="K21">CONCATENATE("update msg_out_fld_config set msg_fld_name = '",A21,"' where cd = '3F0840104EC7C293128524581D1820EE';")</f>
        <v>0</v>
      </c>
      <c r="M21">
        <f t="array" ref="M21">CONCATENATE("update msg_out_fld set description = '",D21,"' where tab_name = 'KUNDE' and fld_name = 'APPROVAL_STEP2_BEM';")</f>
        <v>0</v>
      </c>
    </row>
    <row r="22" spans="1:13">
      <c r="A22" t="s">
        <v>599</v>
      </c>
      <c r="C22" t="s">
        <v>37</v>
      </c>
      <c r="D22" t="s">
        <v>600</v>
      </c>
      <c r="E22" t="s">
        <v>39</v>
      </c>
      <c r="F22" t="s">
        <v>23</v>
      </c>
      <c r="H22" t="s">
        <v>598</v>
      </c>
      <c r="K22">
        <f t="array" ref="K22">CONCATENATE("update msg_out_fld_config set msg_fld_name = '",A22,"' where cd = '3ED53A49014C076868FB6A8E2AC852BB';")</f>
        <v>0</v>
      </c>
      <c r="M22">
        <f t="array" ref="M22">CONCATENATE("update msg_out_fld set description = '",D22,"' where tab_name = 'KUNDE' and fld_name = 'APPROVAL_STEP2_USER';")</f>
        <v>0</v>
      </c>
    </row>
    <row r="23" spans="1:13">
      <c r="A23" t="s">
        <v>602</v>
      </c>
      <c r="C23" t="s">
        <v>90</v>
      </c>
      <c r="D23" t="s">
        <v>603</v>
      </c>
      <c r="E23" t="s">
        <v>604</v>
      </c>
      <c r="F23" t="s">
        <v>23</v>
      </c>
      <c r="H23" t="s">
        <v>601</v>
      </c>
      <c r="K23">
        <f t="array" ref="K23">CONCATENATE("update msg_out_fld_config set msg_fld_name = '",A23,"' where cd = '1AC02D9BA7F17A2B6A2F27749E991F75';")</f>
        <v>0</v>
      </c>
      <c r="M23">
        <f t="array" ref="M23">CONCATENATE("update msg_out_fld set description = '",D23,"' where tab_name = 'KUNDE' and fld_name = 'APPROVAL_STEP3_ASSES_CD';")</f>
        <v>0</v>
      </c>
    </row>
    <row r="24" spans="1:13">
      <c r="A24" t="s">
        <v>606</v>
      </c>
      <c r="C24" t="s">
        <v>33</v>
      </c>
      <c r="D24" t="s">
        <v>607</v>
      </c>
      <c r="H24" t="s">
        <v>605</v>
      </c>
      <c r="K24">
        <f t="array" ref="K24">CONCATENATE("update msg_out_fld_config set msg_fld_name = '",A24,"' where cd = '9FE20695A24C11507ED014299FE479B7';")</f>
        <v>0</v>
      </c>
      <c r="M24">
        <f t="array" ref="M24">CONCATENATE("update msg_out_fld set description = '",D24,"' where tab_name = 'KUNDE' and fld_name = 'APPROVAL_STEP3_DATE';")</f>
        <v>0</v>
      </c>
    </row>
    <row r="25" spans="1:13">
      <c r="A25" t="s">
        <v>609</v>
      </c>
      <c r="C25" t="s">
        <v>26</v>
      </c>
      <c r="D25" t="s">
        <v>610</v>
      </c>
      <c r="E25" t="s">
        <v>28</v>
      </c>
      <c r="F25" t="s">
        <v>29</v>
      </c>
      <c r="G25" t="s">
        <v>30</v>
      </c>
      <c r="H25" t="s">
        <v>608</v>
      </c>
      <c r="K25">
        <f t="array" ref="K25">CONCATENATE("update msg_out_fld_config set msg_fld_name = '",A25,"' where cd = 'F3DDB7A64F67DB0D5314630DD95F4551';")</f>
        <v>0</v>
      </c>
      <c r="M25">
        <f t="array" ref="M25">CONCATENATE("update msg_out_fld set description = '",D25,"' where tab_name = 'KUNDE' and fld_name = 'APPROVAL_STEP3_CD';")</f>
        <v>0</v>
      </c>
    </row>
    <row r="26" spans="1:13">
      <c r="A26" t="s">
        <v>612</v>
      </c>
      <c r="C26" t="s">
        <v>580</v>
      </c>
      <c r="D26" t="s">
        <v>613</v>
      </c>
      <c r="H26" t="s">
        <v>611</v>
      </c>
      <c r="K26">
        <f t="array" ref="K26">CONCATENATE("update msg_out_fld_config set msg_fld_name = '",A26,"' where cd = '4D0876681486E155673D1AB3B781E804';")</f>
        <v>0</v>
      </c>
      <c r="M26">
        <f t="array" ref="M26">CONCATENATE("update msg_out_fld set description = '",D26,"' where tab_name = 'KUNDE' and fld_name = 'APPROVAL_STEP3_BEM';")</f>
        <v>0</v>
      </c>
    </row>
    <row r="27" spans="1:13">
      <c r="A27" t="s">
        <v>615</v>
      </c>
      <c r="C27" t="s">
        <v>37</v>
      </c>
      <c r="D27" t="s">
        <v>616</v>
      </c>
      <c r="E27" t="s">
        <v>39</v>
      </c>
      <c r="F27" t="s">
        <v>23</v>
      </c>
      <c r="H27" t="s">
        <v>614</v>
      </c>
      <c r="K27">
        <f t="array" ref="K27">CONCATENATE("update msg_out_fld_config set msg_fld_name = '",A27,"' where cd = '8534D3F2F7D43D51F39AD3C53E9E5F2E';")</f>
        <v>0</v>
      </c>
      <c r="M27">
        <f t="array" ref="M27">CONCATENATE("update msg_out_fld set description = '",D27,"' where tab_name = 'KUNDE' and fld_name = 'APPROVAL_STEP3_USER';")</f>
        <v>0</v>
      </c>
    </row>
    <row r="28" spans="1:13">
      <c r="A28" t="s">
        <v>618</v>
      </c>
      <c r="C28" t="s">
        <v>90</v>
      </c>
      <c r="D28" t="s">
        <v>619</v>
      </c>
      <c r="E28" t="s">
        <v>620</v>
      </c>
      <c r="F28" t="s">
        <v>23</v>
      </c>
      <c r="H28" t="s">
        <v>617</v>
      </c>
      <c r="K28">
        <f t="array" ref="K28">CONCATENATE("update msg_out_fld_config set msg_fld_name = '",A28,"' where cd = 'C03BFE304EBB831C18EAEC90AF0ECECD';")</f>
        <v>0</v>
      </c>
      <c r="M28">
        <f t="array" ref="M28">CONCATENATE("update msg_out_fld set description = '",D28,"' where tab_name = 'KUNDE' and fld_name = 'APPROVAL_STEP4_ASSES_CD';")</f>
        <v>0</v>
      </c>
    </row>
    <row r="29" spans="1:13">
      <c r="A29" t="s">
        <v>622</v>
      </c>
      <c r="C29" t="s">
        <v>33</v>
      </c>
      <c r="D29" t="s">
        <v>623</v>
      </c>
      <c r="H29" t="s">
        <v>621</v>
      </c>
      <c r="K29">
        <f t="array" ref="K29">CONCATENATE("update msg_out_fld_config set msg_fld_name = '",A29,"' where cd = 'BDA31620EA2E222C24681D595720CE1C';")</f>
        <v>0</v>
      </c>
      <c r="M29">
        <f t="array" ref="M29">CONCATENATE("update msg_out_fld set description = '",D29,"' where tab_name = 'KUNDE' and fld_name = 'APPROVAL_STEP4_DATE';")</f>
        <v>0</v>
      </c>
    </row>
    <row r="30" spans="1:13">
      <c r="A30" t="s">
        <v>625</v>
      </c>
      <c r="C30" t="s">
        <v>26</v>
      </c>
      <c r="D30" t="s">
        <v>626</v>
      </c>
      <c r="E30" t="s">
        <v>28</v>
      </c>
      <c r="F30" t="s">
        <v>29</v>
      </c>
      <c r="G30" t="s">
        <v>30</v>
      </c>
      <c r="H30" t="s">
        <v>624</v>
      </c>
      <c r="K30">
        <f t="array" ref="K30">CONCATENATE("update msg_out_fld_config set msg_fld_name = '",A30,"' where cd = 'C16707B6B4897CAC2CE2B19B9C4C5152';")</f>
        <v>0</v>
      </c>
      <c r="M30">
        <f t="array" ref="M30">CONCATENATE("update msg_out_fld set description = '",D30,"' where tab_name = 'KUNDE' and fld_name = 'APPROVAL_STEP4_CD';")</f>
        <v>0</v>
      </c>
    </row>
    <row r="31" spans="1:13">
      <c r="A31" t="s">
        <v>628</v>
      </c>
      <c r="C31" t="s">
        <v>580</v>
      </c>
      <c r="D31" t="s">
        <v>629</v>
      </c>
      <c r="H31" t="s">
        <v>627</v>
      </c>
      <c r="K31">
        <f t="array" ref="K31">CONCATENATE("update msg_out_fld_config set msg_fld_name = '",A31,"' where cd = '1D12C9ED30C0A44C8D1F2F66BA149B5D';")</f>
        <v>0</v>
      </c>
      <c r="M31">
        <f t="array" ref="M31">CONCATENATE("update msg_out_fld set description = '",D31,"' where tab_name = 'KUNDE' and fld_name = 'APPROVAL_STEP4_BEM';")</f>
        <v>0</v>
      </c>
    </row>
    <row r="32" spans="1:13">
      <c r="A32" t="s">
        <v>631</v>
      </c>
      <c r="C32" t="s">
        <v>37</v>
      </c>
      <c r="D32" t="s">
        <v>632</v>
      </c>
      <c r="E32" t="s">
        <v>39</v>
      </c>
      <c r="F32" t="s">
        <v>23</v>
      </c>
      <c r="H32" t="s">
        <v>630</v>
      </c>
      <c r="K32">
        <f t="array" ref="K32">CONCATENATE("update msg_out_fld_config set msg_fld_name = '",A32,"' where cd = 'AE7258F7F732D05C8042608BBA4E654C';")</f>
        <v>0</v>
      </c>
      <c r="M32">
        <f t="array" ref="M32">CONCATENATE("update msg_out_fld set description = '",D32,"' where tab_name = 'KUNDE' and fld_name = 'APPROVAL_STEP4_USER';")</f>
        <v>0</v>
      </c>
    </row>
    <row r="33" spans="1:13">
      <c r="A33" t="s">
        <v>634</v>
      </c>
      <c r="C33" t="s">
        <v>90</v>
      </c>
      <c r="D33" t="s">
        <v>635</v>
      </c>
      <c r="E33" t="s">
        <v>636</v>
      </c>
      <c r="F33" t="s">
        <v>23</v>
      </c>
      <c r="H33" t="s">
        <v>633</v>
      </c>
      <c r="K33">
        <f t="array" ref="K33">CONCATENATE("update msg_out_fld_config set msg_fld_name = '",A33,"' where cd = 'CA4BFDEC72D81E5FE2D29B51568174D1';")</f>
        <v>0</v>
      </c>
      <c r="M33">
        <f t="array" ref="M33">CONCATENATE("update msg_out_fld set description = '",D33,"' where tab_name = 'KUNDE' and fld_name = 'APPROVAL_STEP5_ASSES_CD';")</f>
        <v>0</v>
      </c>
    </row>
    <row r="34" spans="1:13">
      <c r="A34" t="s">
        <v>638</v>
      </c>
      <c r="C34" t="s">
        <v>33</v>
      </c>
      <c r="D34" t="s">
        <v>639</v>
      </c>
      <c r="H34" t="s">
        <v>637</v>
      </c>
      <c r="K34">
        <f t="array" ref="K34">CONCATENATE("update msg_out_fld_config set msg_fld_name = '",A34,"' where cd = 'D18383C086F99E0FB040F9F8737C4466';")</f>
        <v>0</v>
      </c>
      <c r="M34">
        <f t="array" ref="M34">CONCATENATE("update msg_out_fld set description = '",D34,"' where tab_name = 'KUNDE' and fld_name = 'APPROVAL_STEP5_DATE';")</f>
        <v>0</v>
      </c>
    </row>
    <row r="35" spans="1:13">
      <c r="A35" t="s">
        <v>641</v>
      </c>
      <c r="C35" t="s">
        <v>26</v>
      </c>
      <c r="D35" t="s">
        <v>642</v>
      </c>
      <c r="E35" t="s">
        <v>28</v>
      </c>
      <c r="F35" t="s">
        <v>29</v>
      </c>
      <c r="G35" t="s">
        <v>30</v>
      </c>
      <c r="H35" t="s">
        <v>640</v>
      </c>
      <c r="K35">
        <f t="array" ref="K35">CONCATENATE("update msg_out_fld_config set msg_fld_name = '",A35,"' where cd = 'BB989DA38B8E58A3E0D64B0CF623B99E';")</f>
        <v>0</v>
      </c>
      <c r="M35">
        <f t="array" ref="M35">CONCATENATE("update msg_out_fld set description = '",D35,"' where tab_name = 'KUNDE' and fld_name = 'APPROVAL_STEP5_CD';")</f>
        <v>0</v>
      </c>
    </row>
    <row r="36" spans="1:13">
      <c r="A36" t="s">
        <v>644</v>
      </c>
      <c r="C36" t="s">
        <v>580</v>
      </c>
      <c r="D36" t="s">
        <v>645</v>
      </c>
      <c r="H36" t="s">
        <v>643</v>
      </c>
      <c r="K36">
        <f t="array" ref="K36">CONCATENATE("update msg_out_fld_config set msg_fld_name = '",A36,"' where cd = '025AE842C8FE67A0AD494BE255B5F0B1';")</f>
        <v>0</v>
      </c>
      <c r="M36">
        <f t="array" ref="M36">CONCATENATE("update msg_out_fld set description = '",D36,"' where tab_name = 'KUNDE' and fld_name = 'APPROVAL_STEP5_BEM';")</f>
        <v>0</v>
      </c>
    </row>
    <row r="37" spans="1:13">
      <c r="A37" t="s">
        <v>647</v>
      </c>
      <c r="C37" t="s">
        <v>37</v>
      </c>
      <c r="D37" t="s">
        <v>648</v>
      </c>
      <c r="E37" t="s">
        <v>39</v>
      </c>
      <c r="F37" t="s">
        <v>23</v>
      </c>
      <c r="H37" t="s">
        <v>646</v>
      </c>
      <c r="K37">
        <f t="array" ref="K37">CONCATENATE("update msg_out_fld_config set msg_fld_name = '",A37,"' where cd = '0A64C6DEEBE4A898D8ABC7D9CC8751EB';")</f>
        <v>0</v>
      </c>
      <c r="M37">
        <f t="array" ref="M37">CONCATENATE("update msg_out_fld set description = '",D37,"' where tab_name = 'KUNDE' and fld_name = 'APPROVAL_STEP5_USER';")</f>
        <v>0</v>
      </c>
    </row>
    <row r="38" spans="1:13">
      <c r="A38" t="s">
        <v>650</v>
      </c>
      <c r="C38" t="s">
        <v>37</v>
      </c>
      <c r="D38" t="s">
        <v>651</v>
      </c>
      <c r="H38" t="s">
        <v>649</v>
      </c>
      <c r="K38">
        <f t="array" ref="K38">CONCATENATE("update msg_out_fld_config set msg_fld_name = '",A38,"' where cd = 'F5AA0E4B4A515749CD2BD8980E2E9443';")</f>
        <v>0</v>
      </c>
      <c r="M38">
        <f t="array" ref="M38">CONCATENATE("update msg_out_fld set description = '",D38,"' where tab_name = 'KUNDE' and fld_name = 'APSYS_INTISHS';")</f>
        <v>0</v>
      </c>
    </row>
    <row r="39" spans="1:13">
      <c r="A39" t="s">
        <v>653</v>
      </c>
      <c r="C39" t="s">
        <v>75</v>
      </c>
      <c r="D39" t="s">
        <v>654</v>
      </c>
      <c r="H39" t="s">
        <v>652</v>
      </c>
      <c r="K39">
        <f t="array" ref="K39">CONCATENATE("update msg_out_fld_config set msg_fld_name = '",A39,"' where cd = '7BEB5F933B6A55612DA07B115868F936';")</f>
        <v>0</v>
      </c>
      <c r="M39">
        <f t="array" ref="M39">CONCATENATE("update msg_out_fld set description = '",D39,"' where tab_name = 'KUNDE' and fld_name = 'APSYS_INTILGS';")</f>
        <v>0</v>
      </c>
    </row>
    <row r="40" spans="1:13">
      <c r="A40" t="s">
        <v>656</v>
      </c>
      <c r="C40" t="s">
        <v>90</v>
      </c>
      <c r="D40" t="s">
        <v>657</v>
      </c>
      <c r="H40" t="s">
        <v>655</v>
      </c>
      <c r="K40">
        <f t="array" ref="K40">CONCATENATE("update msg_out_fld_config set msg_fld_name = '",A40,"' where cd = '6BAB38A5B519D00C960A726ABFAD685C';")</f>
        <v>0</v>
      </c>
      <c r="M40">
        <f t="array" ref="M40">CONCATENATE("update msg_out_fld set description = '",D40,"' where tab_name = 'KUNDE' and fld_name = 'APSYS_ERRI';")</f>
        <v>0</v>
      </c>
    </row>
    <row r="41" spans="1:13">
      <c r="A41" t="s">
        <v>659</v>
      </c>
      <c r="C41" t="s">
        <v>75</v>
      </c>
      <c r="D41" t="s">
        <v>660</v>
      </c>
      <c r="H41" t="s">
        <v>658</v>
      </c>
      <c r="K41">
        <f t="array" ref="K41">CONCATENATE("update msg_out_fld_config set msg_fld_name = '",A41,"' where cd = '5F3681F03696BE22D6924C0617491EC0';")</f>
        <v>0</v>
      </c>
      <c r="M41">
        <f t="array" ref="M41">CONCATENATE("update msg_out_fld set description = '",D41,"' where tab_name = 'KUNDE' and fld_name = 'APSYS_INFO';")</f>
        <v>0</v>
      </c>
    </row>
    <row r="42" spans="1:13">
      <c r="A42" t="s">
        <v>399</v>
      </c>
      <c r="C42" t="s">
        <v>400</v>
      </c>
      <c r="D42" t="s">
        <v>661</v>
      </c>
      <c r="H42" t="s">
        <v>398</v>
      </c>
      <c r="K42">
        <f t="array" ref="K42">CONCATENATE("update msg_out_fld_config set msg_fld_name = '",A42,"' where cd = '4F504D6DD26FCC788A0885D38616ABDA';")</f>
        <v>0</v>
      </c>
      <c r="M42">
        <f t="array" ref="M42">CONCATENATE("update msg_out_fld set description = '",D42,"' where tab_name = 'KUNDE' and fld_name = 'APSYS_SHNAS';")</f>
        <v>0</v>
      </c>
    </row>
    <row r="43" spans="1:13">
      <c r="A43" t="s">
        <v>663</v>
      </c>
      <c r="C43" t="s">
        <v>664</v>
      </c>
      <c r="D43" t="s">
        <v>665</v>
      </c>
      <c r="E43" t="s">
        <v>666</v>
      </c>
      <c r="F43" t="s">
        <v>29</v>
      </c>
      <c r="G43" t="s">
        <v>667</v>
      </c>
      <c r="H43" t="s">
        <v>662</v>
      </c>
      <c r="K43">
        <f t="array" ref="K43">CONCATENATE("update msg_out_fld_config set msg_fld_name = '",A43,"' where cd = 'BB696C0E1AD8B582852CA38AF88435BC';")</f>
        <v>0</v>
      </c>
      <c r="M43">
        <f t="array" ref="M43">CONCATENATE("update msg_out_fld set description = '",D43,"' where tab_name = 'KUNDE' and fld_name = 'APSYS_STATUS_OPEC';")</f>
        <v>0</v>
      </c>
    </row>
    <row r="44" spans="1:13">
      <c r="A44" t="s">
        <v>668</v>
      </c>
      <c r="C44" t="s">
        <v>68</v>
      </c>
      <c r="D44" t="s">
        <v>519</v>
      </c>
      <c r="E44" t="s">
        <v>669</v>
      </c>
      <c r="F44" t="s">
        <v>23</v>
      </c>
      <c r="H44" t="s">
        <v>517</v>
      </c>
      <c r="K44">
        <f t="array" ref="K44">CONCATENATE("update msg_out_fld_config set msg_fld_name = '",A44,"' where cd = '8A8456EEF8F2A88DCBBFBC0365A5C7F7';")</f>
        <v>0</v>
      </c>
      <c r="M44">
        <f t="array" ref="M44">CONCATENATE("update msg_out_fld set description = '",D44,"' where tab_name = 'KUNDE' and fld_name = 'VERMOEGENSURSPRUNG_CD';")</f>
        <v>0</v>
      </c>
    </row>
    <row r="45" spans="1:13">
      <c r="A45" t="s">
        <v>670</v>
      </c>
      <c r="C45" t="s">
        <v>671</v>
      </c>
      <c r="D45" t="s">
        <v>672</v>
      </c>
      <c r="H45" t="s">
        <v>518</v>
      </c>
      <c r="K45">
        <f t="array" ref="K45">CONCATENATE("update msg_out_fld_config set msg_fld_name = '",A45,"' where cd = '92100BAF87FDC71EAFF2A9EAC94FE17A';")</f>
        <v>0</v>
      </c>
      <c r="M45">
        <f t="array" ref="M45">CONCATENATE("update msg_out_fld set description = '",D45,"' where tab_name = 'KUNDE' and fld_name = 'VERMOEGENSURSPRUNG';")</f>
        <v>0</v>
      </c>
    </row>
    <row r="46" spans="1:13">
      <c r="A46" t="s">
        <v>674</v>
      </c>
      <c r="C46" t="s">
        <v>68</v>
      </c>
      <c r="D46" t="s">
        <v>675</v>
      </c>
      <c r="E46" t="s">
        <v>669</v>
      </c>
      <c r="F46" t="s">
        <v>23</v>
      </c>
      <c r="H46" t="s">
        <v>673</v>
      </c>
      <c r="K46">
        <f t="array" ref="K46">CONCATENATE("update msg_out_fld_config set msg_fld_name = '",A46,"' where cd = '1C67B40EEB570E24BE89EC8BC2280D49';")</f>
        <v>0</v>
      </c>
      <c r="M46">
        <f t="array" ref="M46">CONCATENATE("update msg_out_fld set description = '",D46,"' where tab_name = 'KUNDE' and fld_name = 'VERMOEGENSURSPRUNG2_CD';")</f>
        <v>0</v>
      </c>
    </row>
    <row r="47" spans="1:13">
      <c r="A47" t="s">
        <v>677</v>
      </c>
      <c r="C47" t="s">
        <v>671</v>
      </c>
      <c r="D47" t="s">
        <v>678</v>
      </c>
      <c r="H47" t="s">
        <v>676</v>
      </c>
      <c r="K47">
        <f t="array" ref="K47">CONCATENATE("update msg_out_fld_config set msg_fld_name = '",A47,"' where cd = '90F623397C7786175175201679E66B75';")</f>
        <v>0</v>
      </c>
      <c r="M47">
        <f t="array" ref="M47">CONCATENATE("update msg_out_fld set description = '",D47,"' where tab_name = 'KUNDE' and fld_name = 'VERMOEGENSURSPRUNG2';")</f>
        <v>0</v>
      </c>
    </row>
    <row r="48" spans="1:13">
      <c r="A48" t="s">
        <v>680</v>
      </c>
      <c r="C48" t="s">
        <v>37</v>
      </c>
      <c r="D48" t="s">
        <v>681</v>
      </c>
      <c r="H48" t="s">
        <v>679</v>
      </c>
      <c r="K48">
        <f t="array" ref="K48">CONCATENATE("update msg_out_fld_config set msg_fld_name = '",A48,"' where cd = 'A9002431992F9C55BEFC4C3875F4E9B9';")</f>
        <v>0</v>
      </c>
      <c r="M48">
        <f t="array" ref="M48">CONCATENATE("update msg_out_fld set description = '",D48,"' where tab_name = 'KUNDE' and fld_name = 'GELDVONKONTO';")</f>
        <v>0</v>
      </c>
    </row>
    <row r="49" spans="1:13">
      <c r="A49" t="s">
        <v>683</v>
      </c>
      <c r="C49" t="s">
        <v>26</v>
      </c>
      <c r="D49" t="s">
        <v>684</v>
      </c>
      <c r="E49" t="s">
        <v>685</v>
      </c>
      <c r="F49" t="s">
        <v>23</v>
      </c>
      <c r="H49" t="s">
        <v>682</v>
      </c>
      <c r="K49">
        <f t="array" ref="K49">CONCATENATE("update msg_out_fld_config set msg_fld_name = '",A49,"' where cd = '023EBE090512BBF020E9255AA9948DA1';")</f>
        <v>0</v>
      </c>
      <c r="M49">
        <f t="array" ref="M49">CONCATENATE("update msg_out_fld set description = '",D49,"' where tab_name = 'KUNDE' and fld_name = 'ASSET_VALUE_TIER_CD';")</f>
        <v>0</v>
      </c>
    </row>
    <row r="50" spans="1:13">
      <c r="A50" t="s">
        <v>687</v>
      </c>
      <c r="C50" t="s">
        <v>26</v>
      </c>
      <c r="D50" t="s">
        <v>688</v>
      </c>
      <c r="E50" t="s">
        <v>685</v>
      </c>
      <c r="F50" t="s">
        <v>23</v>
      </c>
      <c r="H50" t="s">
        <v>686</v>
      </c>
      <c r="K50">
        <f t="array" ref="K50">CONCATENATE("update msg_out_fld_config set msg_fld_name = '",A50,"' where cd = 'A8D91F397380E4C462E8059C7011118F';")</f>
        <v>0</v>
      </c>
      <c r="M50">
        <f t="array" ref="M50">CONCATENATE("update msg_out_fld set description = '",D50,"' where tab_name = 'KUNDE' and fld_name = 'CB_ASSET_VALUE_TIER_CD';")</f>
        <v>0</v>
      </c>
    </row>
    <row r="51" spans="1:13">
      <c r="A51" t="s">
        <v>690</v>
      </c>
      <c r="C51" t="s">
        <v>275</v>
      </c>
      <c r="D51" t="s">
        <v>691</v>
      </c>
      <c r="E51" t="s">
        <v>692</v>
      </c>
      <c r="F51" t="s">
        <v>23</v>
      </c>
      <c r="H51" t="s">
        <v>689</v>
      </c>
      <c r="K51">
        <f t="array" ref="K51">CONCATENATE("update msg_out_fld_config set msg_fld_name = '",A51,"' where cd = '58F756152CC3C8B5C9F12840C614A85D';")</f>
        <v>0</v>
      </c>
      <c r="M51">
        <f t="array" ref="M51">CONCATENATE("update msg_out_fld set description = '",D51,"' where tab_name = 'KUNDE' and fld_name = 'APSYS_CDINDUSBLUXS';")</f>
        <v>0</v>
      </c>
    </row>
    <row r="52" spans="1:13">
      <c r="A52" t="s">
        <v>694</v>
      </c>
      <c r="C52" t="s">
        <v>20</v>
      </c>
      <c r="D52" t="s">
        <v>695</v>
      </c>
      <c r="E52" t="s">
        <v>696</v>
      </c>
      <c r="F52" t="s">
        <v>23</v>
      </c>
      <c r="H52" t="s">
        <v>693</v>
      </c>
      <c r="K52">
        <f t="array" ref="K52">CONCATENATE("update msg_out_fld_config set msg_fld_name = '",A52,"' where cd = '4BF07F0E4FB0D05BD2CB93F3EBFA1657';")</f>
        <v>0</v>
      </c>
      <c r="M52">
        <f t="array" ref="M52">CONCATENATE("update msg_out_fld set description = '",D52,"' where tab_name = 'KUNDE' and fld_name = 'APSYS_CDMOTIFPARTS';")</f>
        <v>0</v>
      </c>
    </row>
    <row r="53" spans="1:13">
      <c r="A53" t="s">
        <v>698</v>
      </c>
      <c r="C53" t="s">
        <v>275</v>
      </c>
      <c r="D53" t="s">
        <v>699</v>
      </c>
      <c r="E53" t="s">
        <v>700</v>
      </c>
      <c r="F53" t="s">
        <v>23</v>
      </c>
      <c r="H53" t="s">
        <v>697</v>
      </c>
      <c r="K53">
        <f t="array" ref="K53">CONCATENATE("update msg_out_fld_config set msg_fld_name = '",A53,"' where cd = '341FA2F71BE32D0E089FECE8DBAD1DD3';")</f>
        <v>0</v>
      </c>
      <c r="M53">
        <f t="array" ref="M53">CONCATENATE("update msg_out_fld set description = '",D53,"' where tab_name = 'KUNDE' and fld_name = 'APSYS_CDINDUSSBUBA';")</f>
        <v>0</v>
      </c>
    </row>
    <row r="54" spans="1:13">
      <c r="A54" t="s">
        <v>702</v>
      </c>
      <c r="C54" t="s">
        <v>26</v>
      </c>
      <c r="D54" t="s">
        <v>703</v>
      </c>
      <c r="E54" t="s">
        <v>704</v>
      </c>
      <c r="F54" t="s">
        <v>29</v>
      </c>
      <c r="G54" t="s">
        <v>705</v>
      </c>
      <c r="H54" t="s">
        <v>701</v>
      </c>
      <c r="K54">
        <f t="array" ref="K54">CONCATENATE("update msg_out_fld_config set msg_fld_name = '",A54,"' where cd = '10CE64259C5D3C4CC47ACAAFA1D05AC3';")</f>
        <v>0</v>
      </c>
      <c r="M54">
        <f t="array" ref="M54">CONCATENATE("update msg_out_fld set description = '",D54,"' where tab_name = 'KUNDE' and fld_name = 'APSYS_PERDEVCALC';")</f>
        <v>0</v>
      </c>
    </row>
    <row r="55" spans="1:13">
      <c r="A55" t="s">
        <v>707</v>
      </c>
      <c r="C55" t="s">
        <v>16</v>
      </c>
      <c r="D55" t="s">
        <v>708</v>
      </c>
      <c r="E55" t="s">
        <v>336</v>
      </c>
      <c r="F55" t="s">
        <v>23</v>
      </c>
      <c r="H55" t="s">
        <v>706</v>
      </c>
      <c r="K55">
        <f t="array" ref="K55">CONCATENATE("update msg_out_fld_config set msg_fld_name = '",A55,"' where cd = '2E8E99F9960EC4B287D53D87943D655E';")</f>
        <v>0</v>
      </c>
      <c r="M55">
        <f t="array" ref="M55">CONCATENATE("update msg_out_fld set description = '",D55,"' where tab_name = 'KUNDE' and fld_name = 'MANAGER_CD';")</f>
        <v>0</v>
      </c>
    </row>
    <row r="56" spans="1:13">
      <c r="A56" t="s">
        <v>710</v>
      </c>
      <c r="C56" t="s">
        <v>26</v>
      </c>
      <c r="D56" t="s">
        <v>711</v>
      </c>
      <c r="E56" t="s">
        <v>712</v>
      </c>
      <c r="F56" t="s">
        <v>29</v>
      </c>
      <c r="G56" t="s">
        <v>713</v>
      </c>
      <c r="H56" t="s">
        <v>709</v>
      </c>
      <c r="K56">
        <f t="array" ref="K56">CONCATENATE("update msg_out_fld_config set msg_fld_name = '",A56,"' where cd = 'F1F07EDF889B0C2EF91DBD65B66F53A1';")</f>
        <v>0</v>
      </c>
      <c r="M56">
        <f t="array" ref="M56">CONCATENATE("update msg_out_fld set description = '",D56,"' where tab_name = 'KUNDE' and fld_name = 'NATURE_CD';")</f>
        <v>0</v>
      </c>
    </row>
    <row r="57" spans="1:13">
      <c r="A57" t="s">
        <v>715</v>
      </c>
      <c r="C57" t="s">
        <v>16</v>
      </c>
      <c r="D57" t="s">
        <v>716</v>
      </c>
      <c r="E57" t="s">
        <v>336</v>
      </c>
      <c r="F57" t="s">
        <v>23</v>
      </c>
      <c r="H57" t="s">
        <v>714</v>
      </c>
      <c r="K57">
        <f t="array" ref="K57">CONCATENATE("update msg_out_fld_config set msg_fld_name = '",A57,"' where cd = '2FA20F7E42D0B23617575466B6F55D24';")</f>
        <v>0</v>
      </c>
      <c r="M57">
        <f t="array" ref="M57">CONCATENATE("update msg_out_fld set description = '",D57,"' where tab_name = 'KUNDE' and fld_name = 'APSYS_SUIVIAGTS';")</f>
        <v>0</v>
      </c>
    </row>
    <row r="58" spans="1:13">
      <c r="A58" t="s">
        <v>718</v>
      </c>
      <c r="C58" t="s">
        <v>26</v>
      </c>
      <c r="D58" t="s">
        <v>719</v>
      </c>
      <c r="E58" t="s">
        <v>562</v>
      </c>
      <c r="F58" t="s">
        <v>29</v>
      </c>
      <c r="G58" t="s">
        <v>30</v>
      </c>
      <c r="H58" t="s">
        <v>717</v>
      </c>
      <c r="K58">
        <f t="array" ref="K58">CONCATENATE("update msg_out_fld_config set msg_fld_name = '",A58,"' where cd = '23D52806290E93DF3B53FC96C060F256';")</f>
        <v>0</v>
      </c>
      <c r="M58">
        <f t="array" ref="M58">CONCATENATE("update msg_out_fld set description = '",D58,"' where tab_name = 'KUNDE' and fld_name = 'APSYS_CDROLPERSI';")</f>
        <v>0</v>
      </c>
    </row>
    <row r="59" spans="1:13">
      <c r="A59" t="s">
        <v>721</v>
      </c>
      <c r="C59" t="s">
        <v>104</v>
      </c>
      <c r="D59" t="s">
        <v>722</v>
      </c>
      <c r="H59" t="s">
        <v>720</v>
      </c>
      <c r="K59">
        <f t="array" ref="K59">CONCATENATE("update msg_out_fld_config set msg_fld_name = '",A59,"' where cd = '0B4E5F74380BE1B1A4F0232A36269A31';")</f>
        <v>0</v>
      </c>
      <c r="M59">
        <f t="array" ref="M59">CONCATENATE("update msg_out_fld set description = '",D59,"' where tab_name = 'KUNDE' and fld_name = 'KUNDESEIT';")</f>
        <v>0</v>
      </c>
    </row>
    <row r="60" spans="1:13">
      <c r="A60" t="s">
        <v>724</v>
      </c>
      <c r="C60" t="s">
        <v>26</v>
      </c>
      <c r="D60" t="s">
        <v>725</v>
      </c>
      <c r="E60" t="s">
        <v>726</v>
      </c>
      <c r="F60" t="s">
        <v>29</v>
      </c>
      <c r="G60" t="s">
        <v>727</v>
      </c>
      <c r="H60" t="s">
        <v>723</v>
      </c>
      <c r="K60">
        <f t="array" ref="K60">CONCATENATE("update msg_out_fld_config set msg_fld_name = '",A60,"' where cd = 'EC71FFE007905FCD6976A8A72393D65C';")</f>
        <v>0</v>
      </c>
      <c r="M60">
        <f t="array" ref="M60">CONCATENATE("update msg_out_fld set description = '",D60,"' where tab_name = 'KUNDE' and fld_name = 'CLIENT_STATUS_CD';")</f>
        <v>0</v>
      </c>
    </row>
    <row r="61" spans="1:13">
      <c r="A61" t="s">
        <v>729</v>
      </c>
      <c r="C61" t="s">
        <v>664</v>
      </c>
      <c r="D61" t="s">
        <v>730</v>
      </c>
      <c r="E61" t="s">
        <v>731</v>
      </c>
      <c r="F61" t="s">
        <v>23</v>
      </c>
      <c r="H61" t="s">
        <v>728</v>
      </c>
      <c r="K61">
        <f t="array" ref="K61">CONCATENATE("update msg_out_fld_config set msg_fld_name = '",A61,"' where cd = 'AC01D0FCDE8F0FA7F1161630D71E53B9';")</f>
        <v>0</v>
      </c>
      <c r="M61">
        <f t="array" ref="M61">CONCATENATE("update msg_out_fld set description = '",D61,"' where tab_name = 'KUNDE' and fld_name = 'APSYS_CDNATURES';")</f>
        <v>0</v>
      </c>
    </row>
    <row r="62" spans="1:13">
      <c r="A62" t="s">
        <v>733</v>
      </c>
      <c r="C62" t="s">
        <v>664</v>
      </c>
      <c r="D62" t="s">
        <v>734</v>
      </c>
      <c r="E62" t="s">
        <v>735</v>
      </c>
      <c r="F62" t="s">
        <v>23</v>
      </c>
      <c r="H62" t="s">
        <v>732</v>
      </c>
      <c r="K62">
        <f t="array" ref="K62">CONCATENATE("update msg_out_fld_config set msg_fld_name = '",A62,"' where cd = 'EFEBF6E20E2733BDF978D745D2D7F029';")</f>
        <v>0</v>
      </c>
      <c r="M62">
        <f t="array" ref="M62">CONCATENATE("update msg_out_fld set description = '",D62,"' where tab_name = 'KUNDE' and fld_name = 'APSYS_IDTYPCLIIRSS';")</f>
        <v>0</v>
      </c>
    </row>
    <row r="63" spans="1:13">
      <c r="A63" t="s">
        <v>25</v>
      </c>
      <c r="C63" t="s">
        <v>26</v>
      </c>
      <c r="D63" t="s">
        <v>736</v>
      </c>
      <c r="E63" t="s">
        <v>28</v>
      </c>
      <c r="F63" t="s">
        <v>29</v>
      </c>
      <c r="G63" t="s">
        <v>30</v>
      </c>
      <c r="H63" t="s">
        <v>24</v>
      </c>
      <c r="K63">
        <f t="array" ref="K63">CONCATENATE("update msg_out_fld_config set msg_fld_name = '",A63,"' where cd = 'E82C328FD8B191062037616C3681A9B2';")</f>
        <v>0</v>
      </c>
      <c r="M63">
        <f t="array" ref="M63">CONCATENATE("update msg_out_fld set description = '",D63,"' where tab_name = 'KUNDE' and fld_name = 'LOESCH_CD';")</f>
        <v>0</v>
      </c>
    </row>
    <row r="64" spans="1:13">
      <c r="A64" t="s">
        <v>32</v>
      </c>
      <c r="C64" t="s">
        <v>104</v>
      </c>
      <c r="D64" t="s">
        <v>737</v>
      </c>
      <c r="H64" t="s">
        <v>31</v>
      </c>
      <c r="K64">
        <f t="array" ref="K64">CONCATENATE("update msg_out_fld_config set msg_fld_name = '",A64,"' where cd = 'A1DB47790B02CA4A06EE819A2B5D9AE9';")</f>
        <v>0</v>
      </c>
      <c r="M64">
        <f t="array" ref="M64">CONCATENATE("update msg_out_fld set description = '",D64,"' where tab_name = 'KUNDE' and fld_name = 'LOESCHDATUM';")</f>
        <v>0</v>
      </c>
    </row>
    <row r="65" spans="1:13">
      <c r="A65" t="s">
        <v>739</v>
      </c>
      <c r="C65" t="s">
        <v>90</v>
      </c>
      <c r="D65" t="s">
        <v>740</v>
      </c>
      <c r="E65" t="s">
        <v>741</v>
      </c>
      <c r="F65" t="s">
        <v>29</v>
      </c>
      <c r="G65" t="s">
        <v>742</v>
      </c>
      <c r="H65" t="s">
        <v>738</v>
      </c>
      <c r="K65">
        <f t="array" ref="K65">CONCATENATE("update msg_out_fld_config set msg_fld_name = '",A65,"' where cd = '86851BFDA35FD2EA45BC0AD9D7662C8F';")</f>
        <v>0</v>
      </c>
      <c r="M65">
        <f t="array" ref="M65">CONCATENATE("update msg_out_fld set description = '",D65,"' where tab_name = 'KUNDE' and fld_name = 'APSYS_CDPERMI';")</f>
        <v>0</v>
      </c>
    </row>
    <row r="66" spans="1:13">
      <c r="A66" t="s">
        <v>744</v>
      </c>
      <c r="C66" t="s">
        <v>68</v>
      </c>
      <c r="D66" t="s">
        <v>745</v>
      </c>
      <c r="E66" t="s">
        <v>746</v>
      </c>
      <c r="F66" t="s">
        <v>23</v>
      </c>
      <c r="H66" t="s">
        <v>743</v>
      </c>
      <c r="K66">
        <f t="array" ref="K66">CONCATENATE("update msg_out_fld_config set msg_fld_name = '",A66,"' where cd = '3D810D06AD19995A84D1E114E1EC1F22';")</f>
        <v>0</v>
      </c>
      <c r="M66">
        <f t="array" ref="M66">CONCATENATE("update msg_out_fld set description = '",D66,"' where tab_name = 'KUNDE' and fld_name = 'VERTRAGSPRACH_CD';")</f>
        <v>0</v>
      </c>
    </row>
    <row r="67" spans="1:13">
      <c r="A67" t="s">
        <v>748</v>
      </c>
      <c r="C67" t="s">
        <v>68</v>
      </c>
      <c r="D67" t="s">
        <v>749</v>
      </c>
      <c r="E67" t="s">
        <v>750</v>
      </c>
      <c r="F67" t="s">
        <v>23</v>
      </c>
      <c r="H67" t="s">
        <v>747</v>
      </c>
      <c r="K67">
        <f t="array" ref="K67">CONCATENATE("update msg_out_fld_config set msg_fld_name = '",A67,"' where cd = 'CCA39C5FAE164B09BB46D67F1B82EC03';")</f>
        <v>0</v>
      </c>
      <c r="M67">
        <f t="array" ref="M67">CONCATENATE("update msg_out_fld set description = '",D67,"' where tab_name = 'KUNDE' and fld_name = 'VERTRAGSPARTEI_CD';")</f>
        <v>0</v>
      </c>
    </row>
    <row r="68" spans="1:13">
      <c r="A68" t="s">
        <v>752</v>
      </c>
      <c r="C68" t="s">
        <v>68</v>
      </c>
      <c r="D68" t="s">
        <v>753</v>
      </c>
      <c r="E68" t="s">
        <v>746</v>
      </c>
      <c r="F68" t="s">
        <v>23</v>
      </c>
      <c r="H68" t="s">
        <v>751</v>
      </c>
      <c r="K68">
        <f t="array" ref="K68">CONCATENATE("update msg_out_fld_config set msg_fld_name = '",A68,"' where cd = 'BCF5DF80DB966C6EE01ECD122382B000';")</f>
        <v>0</v>
      </c>
      <c r="M68">
        <f t="array" ref="M68">CONCATENATE("update msg_out_fld set description = '",D68,"' where tab_name = 'KUNDE' and fld_name = 'KORRESPONDENZSPRACH_CD';")</f>
        <v>0</v>
      </c>
    </row>
    <row r="69" spans="1:13">
      <c r="A69" t="s">
        <v>45</v>
      </c>
      <c r="C69" t="s">
        <v>33</v>
      </c>
      <c r="D69" t="s">
        <v>754</v>
      </c>
      <c r="H69" t="s">
        <v>44</v>
      </c>
      <c r="K69">
        <f t="array" ref="K69">CONCATENATE("update msg_out_fld_config set msg_fld_name = '",A69,"' where cd = '596F2D300D6B009562F21D3EA5AB9DE3';")</f>
        <v>0</v>
      </c>
      <c r="M69">
        <f t="array" ref="M69">CONCATENATE("update msg_out_fld set description = '",D69,"' where tab_name = 'KUNDE' and fld_name = 'CRTDATUM';")</f>
        <v>0</v>
      </c>
    </row>
    <row r="70" spans="1:13">
      <c r="A70" t="s">
        <v>48</v>
      </c>
      <c r="C70" t="s">
        <v>37</v>
      </c>
      <c r="D70" t="s">
        <v>755</v>
      </c>
      <c r="E70" t="s">
        <v>39</v>
      </c>
      <c r="F70" t="s">
        <v>23</v>
      </c>
      <c r="H70" t="s">
        <v>47</v>
      </c>
      <c r="K70">
        <f t="array" ref="K70">CONCATENATE("update msg_out_fld_config set msg_fld_name = '",A70,"' where cd = '94E806917A0C9CE7FB2AE8A1258CFEF2';")</f>
        <v>0</v>
      </c>
      <c r="M70">
        <f t="array" ref="M70">CONCATENATE("update msg_out_fld set description = '",D70,"' where tab_name = 'KUNDE' and fld_name = 'CRTUSER';")</f>
        <v>0</v>
      </c>
    </row>
    <row r="71" spans="1:13">
      <c r="A71" t="s">
        <v>757</v>
      </c>
      <c r="C71" t="s">
        <v>758</v>
      </c>
      <c r="D71" t="s">
        <v>759</v>
      </c>
      <c r="E71" t="s">
        <v>760</v>
      </c>
      <c r="F71" t="s">
        <v>23</v>
      </c>
      <c r="H71" t="s">
        <v>756</v>
      </c>
      <c r="K71">
        <f t="array" ref="K71">CONCATENATE("update msg_out_fld_config set msg_fld_name = '",A71,"' where cd = '68A8606DCD2229C0E90D811B8E9B3835';")</f>
        <v>0</v>
      </c>
      <c r="M71">
        <f t="array" ref="M71">CONCATENATE("update msg_out_fld set description = '",D71,"' where tab_name = 'KUNDE' and fld_name = 'APSYS_CDINDUSCSSFS';")</f>
        <v>0</v>
      </c>
    </row>
    <row r="72" spans="1:13">
      <c r="A72" t="s">
        <v>762</v>
      </c>
      <c r="C72" t="s">
        <v>68</v>
      </c>
      <c r="D72" t="s">
        <v>763</v>
      </c>
      <c r="E72" t="s">
        <v>764</v>
      </c>
      <c r="F72" t="s">
        <v>23</v>
      </c>
      <c r="H72" t="s">
        <v>761</v>
      </c>
      <c r="K72">
        <f t="array" ref="K72">CONCATENATE("update msg_out_fld_config set msg_fld_name = '",A72,"' where cd = '8F2DB6FCC5A54053749C96D23F414705';")</f>
        <v>0</v>
      </c>
      <c r="M72">
        <f t="array" ref="M72">CONCATENATE("update msg_out_fld set description = '",D72,"' where tab_name = 'KUNDE' and fld_name = 'EIN_VERMOEGEN_CD';")</f>
        <v>0</v>
      </c>
    </row>
    <row r="73" spans="1:13">
      <c r="A73" t="s">
        <v>766</v>
      </c>
      <c r="C73" t="s">
        <v>68</v>
      </c>
      <c r="D73" t="s">
        <v>767</v>
      </c>
      <c r="E73" t="s">
        <v>768</v>
      </c>
      <c r="F73" t="s">
        <v>23</v>
      </c>
      <c r="H73" t="s">
        <v>765</v>
      </c>
      <c r="K73">
        <f t="array" ref="K73">CONCATENATE("update msg_out_fld_config set msg_fld_name = '",A73,"' where cd = 'D5FE20B1F5A4B11909293FDEEF92353F';")</f>
        <v>0</v>
      </c>
      <c r="M73">
        <f t="array" ref="M73">CONCATENATE("update msg_out_fld set description = '",D73,"' where tab_name = 'KUNDE' and fld_name = 'EIN_VERMOEGENART_CD';")</f>
        <v>0</v>
      </c>
    </row>
    <row r="74" spans="1:13">
      <c r="A74" t="s">
        <v>770</v>
      </c>
      <c r="C74" t="s">
        <v>26</v>
      </c>
      <c r="D74" t="s">
        <v>771</v>
      </c>
      <c r="E74" t="s">
        <v>28</v>
      </c>
      <c r="F74" t="s">
        <v>29</v>
      </c>
      <c r="G74" t="s">
        <v>30</v>
      </c>
      <c r="H74" t="s">
        <v>769</v>
      </c>
      <c r="K74">
        <f t="array" ref="K74">CONCATENATE("update msg_out_fld_config set msg_fld_name = '",A74,"' where cd = 'C74989C35ED697E91129FBC849D73109';")</f>
        <v>0</v>
      </c>
      <c r="M74">
        <f t="array" ref="M74">CONCATENATE("update msg_out_fld set description = '",D74,"' where tab_name = 'KUNDE' and fld_name = 'DISCHARGE_ORDERS_CD';")</f>
        <v>0</v>
      </c>
    </row>
    <row r="75" spans="1:13">
      <c r="A75" t="s">
        <v>773</v>
      </c>
      <c r="C75" t="s">
        <v>26</v>
      </c>
      <c r="D75" t="s">
        <v>774</v>
      </c>
      <c r="E75" t="s">
        <v>28</v>
      </c>
      <c r="F75" t="s">
        <v>29</v>
      </c>
      <c r="G75" t="s">
        <v>30</v>
      </c>
      <c r="H75" t="s">
        <v>772</v>
      </c>
      <c r="K75">
        <f t="array" ref="K75">CONCATENATE("update msg_out_fld_config set msg_fld_name = '",A75,"' where cd = '407BF0C020C4A73D68D5BEEAA0CF8975';")</f>
        <v>0</v>
      </c>
      <c r="M75">
        <f t="array" ref="M75">CONCATENATE("update msg_out_fld set description = '",D75,"' where tab_name = 'KUNDE' and fld_name = 'EBANKING_CONTRACT_CD';")</f>
        <v>0</v>
      </c>
    </row>
    <row r="76" spans="1:13">
      <c r="A76" t="s">
        <v>776</v>
      </c>
      <c r="C76" t="s">
        <v>68</v>
      </c>
      <c r="D76" t="s">
        <v>777</v>
      </c>
      <c r="E76" t="s">
        <v>746</v>
      </c>
      <c r="F76" t="s">
        <v>23</v>
      </c>
      <c r="H76" t="s">
        <v>775</v>
      </c>
      <c r="K76">
        <f t="array" ref="K76">CONCATENATE("update msg_out_fld_config set msg_fld_name = '",A76,"' where cd = 'CC51F225539FB12F235244FC93495B37';")</f>
        <v>0</v>
      </c>
      <c r="M76">
        <f t="array" ref="M76">CONCATENATE("update msg_out_fld set description = '",D76,"' where tab_name = 'KUNDE' and fld_name = 'EBANKING_CONTRACT_LANGUAGE_CD';")</f>
        <v>0</v>
      </c>
    </row>
    <row r="77" spans="1:13">
      <c r="A77" t="s">
        <v>779</v>
      </c>
      <c r="C77" t="s">
        <v>780</v>
      </c>
      <c r="D77" t="s">
        <v>781</v>
      </c>
      <c r="E77" t="s">
        <v>782</v>
      </c>
      <c r="F77" t="s">
        <v>23</v>
      </c>
      <c r="H77" t="s">
        <v>778</v>
      </c>
      <c r="K77">
        <f t="array" ref="K77">CONCATENATE("update msg_out_fld_config set msg_fld_name = '",A77,"' where cd = '1E8280B48A80026380693AB5B25B69CB';")</f>
        <v>0</v>
      </c>
      <c r="M77">
        <f t="array" ref="M77">CONCATENATE("update msg_out_fld set description = '",D77,"' where tab_name = 'KUNDE' and fld_name = 'APSYS_CDINDUS0S';")</f>
        <v>0</v>
      </c>
    </row>
    <row r="78" spans="1:13">
      <c r="A78" t="s">
        <v>784</v>
      </c>
      <c r="C78" t="s">
        <v>20</v>
      </c>
      <c r="D78" t="s">
        <v>785</v>
      </c>
      <c r="E78" t="s">
        <v>22</v>
      </c>
      <c r="F78" t="s">
        <v>23</v>
      </c>
      <c r="H78" t="s">
        <v>783</v>
      </c>
      <c r="K78">
        <f t="array" ref="K78">CONCATENATE("update msg_out_fld_config set msg_fld_name = '",A78,"' where cd = '2AD24D27B19AF834844324307D791C98';")</f>
        <v>0</v>
      </c>
      <c r="M78">
        <f t="array" ref="M78">CONCATENATE("update msg_out_fld set description = '",D78,"' where tab_name = 'KUNDE' and fld_name = 'APSYS_IDENTS';")</f>
        <v>0</v>
      </c>
    </row>
    <row r="79" spans="1:13">
      <c r="A79" t="s">
        <v>787</v>
      </c>
      <c r="C79" t="s">
        <v>26</v>
      </c>
      <c r="D79" t="s">
        <v>788</v>
      </c>
      <c r="E79" t="s">
        <v>562</v>
      </c>
      <c r="F79" t="s">
        <v>29</v>
      </c>
      <c r="G79" t="s">
        <v>30</v>
      </c>
      <c r="H79" t="s">
        <v>786</v>
      </c>
      <c r="K79">
        <f t="array" ref="K79">CONCATENATE("update msg_out_fld_config set msg_fld_name = '",A79,"' where cd = 'E271EE3CC1940E7864BB9BE0D01CA3B5';")</f>
        <v>0</v>
      </c>
      <c r="M79">
        <f t="array" ref="M79">CONCATENATE("update msg_out_fld set description = '",D79,"' where tab_name = 'KUNDE' and fld_name = 'APSYS_FLAGPREAVISEXEC';")</f>
        <v>0</v>
      </c>
    </row>
    <row r="80" spans="1:13">
      <c r="A80" t="s">
        <v>120</v>
      </c>
      <c r="C80" t="s">
        <v>37</v>
      </c>
      <c r="D80" t="s">
        <v>789</v>
      </c>
      <c r="H80" t="s">
        <v>119</v>
      </c>
      <c r="K80">
        <f t="array" ref="K80">CONCATENATE("update msg_out_fld_config set msg_fld_name = '",A80,"' where cd = '18ADE0FD700F3C26922F69E25961EDB7';")</f>
        <v>0</v>
      </c>
      <c r="M80">
        <f t="array" ref="M80">CONCATENATE("update msg_out_fld set description = '",D80,"' where tab_name = 'KUNDE' and fld_name = 'VORNAME';")</f>
        <v>0</v>
      </c>
    </row>
    <row r="81" spans="1:13">
      <c r="A81" t="s">
        <v>791</v>
      </c>
      <c r="C81" t="s">
        <v>26</v>
      </c>
      <c r="D81" t="s">
        <v>792</v>
      </c>
      <c r="E81" t="s">
        <v>28</v>
      </c>
      <c r="F81" t="s">
        <v>29</v>
      </c>
      <c r="G81" t="s">
        <v>30</v>
      </c>
      <c r="H81" t="s">
        <v>790</v>
      </c>
      <c r="K81">
        <f t="array" ref="K81">CONCATENATE("update msg_out_fld_config set msg_fld_name = '",A81,"' where cd = '4B54656CC884F5073F24601452248D39';")</f>
        <v>0</v>
      </c>
      <c r="M81">
        <f t="array" ref="M81">CONCATENATE("update msg_out_fld set description = '",D81,"' where tab_name = 'KUNDE' and fld_name = 'MIT_PROFIL_CD';")</f>
        <v>0</v>
      </c>
    </row>
    <row r="82" spans="1:13">
      <c r="A82" t="s">
        <v>794</v>
      </c>
      <c r="C82" t="s">
        <v>26</v>
      </c>
      <c r="D82" t="s">
        <v>795</v>
      </c>
      <c r="E82" t="s">
        <v>562</v>
      </c>
      <c r="F82" t="s">
        <v>29</v>
      </c>
      <c r="G82" t="s">
        <v>30</v>
      </c>
      <c r="H82" t="s">
        <v>793</v>
      </c>
      <c r="K82">
        <f t="array" ref="K82">CONCATENATE("update msg_out_fld_config set msg_fld_name = '",A82,"' where cd = '3BB4477F026F2AABE41EBA3C0892CEBA';")</f>
        <v>0</v>
      </c>
      <c r="M82">
        <f t="array" ref="M82">CONCATENATE("update msg_out_fld set description = '",D82,"' where tab_name = 'KUNDE' and fld_name = 'APSYS_FLAGHISPERC';")</f>
        <v>0</v>
      </c>
    </row>
    <row r="83" spans="1:13">
      <c r="A83" t="s">
        <v>796</v>
      </c>
      <c r="C83" t="s">
        <v>20</v>
      </c>
      <c r="D83" t="s">
        <v>797</v>
      </c>
      <c r="E83" t="s">
        <v>80</v>
      </c>
      <c r="F83" t="s">
        <v>29</v>
      </c>
      <c r="G83" t="s">
        <v>81</v>
      </c>
      <c r="H83" t="s">
        <v>77</v>
      </c>
      <c r="K83">
        <f t="array" ref="K83">CONCATENATE("update msg_out_fld_config set msg_fld_name = '",A83,"' where cd = 'A8E08E9CAFEA70A54F648BED6A84B977';")</f>
        <v>0</v>
      </c>
      <c r="M83">
        <f t="array" ref="M83">CONCATENATE("update msg_out_fld set description = '",D83,"' where tab_name = 'KUNDE' and fld_name = 'IDENTIFIKATIONSART_CD';")</f>
        <v>0</v>
      </c>
    </row>
    <row r="84" spans="1:13">
      <c r="A84" t="s">
        <v>799</v>
      </c>
      <c r="C84" t="s">
        <v>26</v>
      </c>
      <c r="D84" t="s">
        <v>800</v>
      </c>
      <c r="E84" t="s">
        <v>562</v>
      </c>
      <c r="F84" t="s">
        <v>29</v>
      </c>
      <c r="G84" t="s">
        <v>30</v>
      </c>
      <c r="H84" t="s">
        <v>798</v>
      </c>
      <c r="K84">
        <f t="array" ref="K84">CONCATENATE("update msg_out_fld_config set msg_fld_name = '",A84,"' where cd = '718D533C7428EB467569C8BC5F67FEF3';")</f>
        <v>0</v>
      </c>
      <c r="M84">
        <f t="array" ref="M84">CONCATENATE("update msg_out_fld set description = '",D84,"' where tab_name = 'KUNDE' and fld_name = 'APSYS_FLAGISTTC';")</f>
        <v>0</v>
      </c>
    </row>
    <row r="85" spans="1:13">
      <c r="A85" t="s">
        <v>802</v>
      </c>
      <c r="C85" t="s">
        <v>20</v>
      </c>
      <c r="D85" t="s">
        <v>803</v>
      </c>
      <c r="E85" t="s">
        <v>804</v>
      </c>
      <c r="F85" t="s">
        <v>23</v>
      </c>
      <c r="H85" t="s">
        <v>801</v>
      </c>
      <c r="K85">
        <f t="array" ref="K85">CONCATENATE("update msg_out_fld_config set msg_fld_name = '",A85,"' where cd = '6FB812E2370EC73D272D71D7185E6FAC';")</f>
        <v>0</v>
      </c>
      <c r="M85">
        <f t="array" ref="M85">CONCATENATE("update msg_out_fld set description = '",D85,"' where tab_name = 'KUNDE' and fld_name = 'APSYS_IDRCIS';")</f>
        <v>0</v>
      </c>
    </row>
    <row r="86" spans="1:13">
      <c r="A86" t="s">
        <v>806</v>
      </c>
      <c r="C86" t="s">
        <v>664</v>
      </c>
      <c r="D86" t="s">
        <v>807</v>
      </c>
      <c r="E86" t="s">
        <v>808</v>
      </c>
      <c r="F86" t="s">
        <v>23</v>
      </c>
      <c r="H86" t="s">
        <v>805</v>
      </c>
      <c r="K86">
        <f t="array" ref="K86">CONCATENATE("update msg_out_fld_config set msg_fld_name = '",A86,"' where cd = '502F5A2FF3B2D9498544D5DF0214A455';")</f>
        <v>0</v>
      </c>
      <c r="M86">
        <f t="array" ref="M86">CONCATENATE("update msg_out_fld set description = '",D86,"' where tab_name = 'KUNDE' and fld_name = 'APSYS_IDRCIQIS';")</f>
        <v>0</v>
      </c>
    </row>
    <row r="87" spans="1:13">
      <c r="A87" t="s">
        <v>810</v>
      </c>
      <c r="C87" t="s">
        <v>664</v>
      </c>
      <c r="D87" t="s">
        <v>811</v>
      </c>
      <c r="E87" t="s">
        <v>812</v>
      </c>
      <c r="F87" t="s">
        <v>23</v>
      </c>
      <c r="H87" t="s">
        <v>809</v>
      </c>
      <c r="K87">
        <f t="array" ref="K87">CONCATENATE("update msg_out_fld_config set msg_fld_name = '",A87,"' where cd = 'ADD21766DF4CCDE546985B294A7F506E';")</f>
        <v>0</v>
      </c>
      <c r="M87">
        <f t="array" ref="M87">CONCATENATE("update msg_out_fld set description = '",D87,"' where tab_name = 'KUNDE' and fld_name = 'APSYS_IDRCIFATCAS';")</f>
        <v>0</v>
      </c>
    </row>
    <row r="88" spans="1:13">
      <c r="A88" t="s">
        <v>814</v>
      </c>
      <c r="C88" t="s">
        <v>26</v>
      </c>
      <c r="D88" t="s">
        <v>815</v>
      </c>
      <c r="E88" t="s">
        <v>28</v>
      </c>
      <c r="F88" t="s">
        <v>29</v>
      </c>
      <c r="G88" t="s">
        <v>30</v>
      </c>
      <c r="H88" t="s">
        <v>813</v>
      </c>
      <c r="K88">
        <f t="array" ref="K88">CONCATENATE("update msg_out_fld_config set msg_fld_name = '",A88,"' where cd = '9C7824631577ED4BDF8AC94F289EE613';")</f>
        <v>0</v>
      </c>
      <c r="M88">
        <f t="array" ref="M88">CONCATENATE("update msg_out_fld set description = '",D88,"' where tab_name = 'KUNDE' and fld_name = 'PERSOENLICHBEKANNT_CD';")</f>
        <v>0</v>
      </c>
    </row>
    <row r="89" spans="1:13">
      <c r="A89" t="s">
        <v>817</v>
      </c>
      <c r="C89" t="s">
        <v>26</v>
      </c>
      <c r="D89" t="s">
        <v>818</v>
      </c>
      <c r="E89" t="s">
        <v>28</v>
      </c>
      <c r="F89" t="s">
        <v>29</v>
      </c>
      <c r="G89" t="s">
        <v>30</v>
      </c>
      <c r="H89" t="s">
        <v>816</v>
      </c>
      <c r="K89">
        <f t="array" ref="K89">CONCATENATE("update msg_out_fld_config set msg_fld_name = '",A89,"' where cd = 'E21E10F9A57507CD50CD9E05640AC575';")</f>
        <v>0</v>
      </c>
      <c r="M89">
        <f t="array" ref="M89">CONCATENATE("update msg_out_fld set description = '",D89,"' where tab_name = 'KUNDE' and fld_name = 'REGISTERED_MAIL_CD';")</f>
        <v>0</v>
      </c>
    </row>
    <row r="90" spans="1:13">
      <c r="A90" t="s">
        <v>820</v>
      </c>
      <c r="C90" t="s">
        <v>20</v>
      </c>
      <c r="D90" t="s">
        <v>821</v>
      </c>
      <c r="E90" t="s">
        <v>112</v>
      </c>
      <c r="F90" t="s">
        <v>23</v>
      </c>
      <c r="H90" t="s">
        <v>819</v>
      </c>
      <c r="K90">
        <f t="array" ref="K90">CONCATENATE("update msg_out_fld_config set msg_fld_name = '",A90,"' where cd = 'FE91AB710B5A39A4FBBD53DF0D2AB145';")</f>
        <v>0</v>
      </c>
      <c r="M90">
        <f t="array" ref="M90">CONCATENATE("update msg_out_fld set description = '",D90,"' where tab_name = 'KUNDE' and fld_name = 'RECHTSDOMIZIL_CD';")</f>
        <v>0</v>
      </c>
    </row>
    <row r="91" spans="1:13">
      <c r="A91" t="s">
        <v>823</v>
      </c>
      <c r="C91" t="s">
        <v>75</v>
      </c>
      <c r="D91" t="s">
        <v>824</v>
      </c>
      <c r="H91" t="s">
        <v>822</v>
      </c>
      <c r="K91">
        <f t="array" ref="K91">CONCATENATE("update msg_out_fld_config set msg_fld_name = '",A91,"' where cd = '5654D711AFEC471812398D7EB860ABA7';")</f>
        <v>0</v>
      </c>
      <c r="M91">
        <f t="array" ref="M91">CONCATENATE("update msg_out_fld set description = '",D91,"' where tab_name = 'KUNDE' and fld_name = 'LEDIGERNAME';")</f>
        <v>0</v>
      </c>
    </row>
    <row r="92" spans="1:13">
      <c r="A92" t="s">
        <v>826</v>
      </c>
      <c r="C92" t="s">
        <v>68</v>
      </c>
      <c r="D92" t="s">
        <v>827</v>
      </c>
      <c r="E92" t="s">
        <v>828</v>
      </c>
      <c r="F92" t="s">
        <v>23</v>
      </c>
      <c r="H92" t="s">
        <v>825</v>
      </c>
      <c r="K92">
        <f t="array" ref="K92">CONCATENATE("update msg_out_fld_config set msg_fld_name = '",A92,"' where cd = '6D7400D95ADE83F25F818E2EF8698403';")</f>
        <v>0</v>
      </c>
      <c r="M92">
        <f t="array" ref="M92">CONCATENATE("update msg_out_fld set description = '",D92,"' where tab_name = 'KUNDE' and fld_name = 'MAILING_TARIF_TYPE_CD';")</f>
        <v>0</v>
      </c>
    </row>
    <row r="93" spans="1:13">
      <c r="A93" t="s">
        <v>830</v>
      </c>
      <c r="C93" t="s">
        <v>26</v>
      </c>
      <c r="D93" t="s">
        <v>831</v>
      </c>
      <c r="E93" t="s">
        <v>28</v>
      </c>
      <c r="F93" t="s">
        <v>29</v>
      </c>
      <c r="G93" t="s">
        <v>30</v>
      </c>
      <c r="H93" t="s">
        <v>829</v>
      </c>
      <c r="K93">
        <f t="array" ref="K93">CONCATENATE("update msg_out_fld_config set msg_fld_name = '",A93,"' where cd = '3FD79FA6D3DF446F29321A0F1CB8D38D';")</f>
        <v>0</v>
      </c>
      <c r="M93">
        <f t="array" ref="M93">CONCATENATE("update msg_out_fld set description = '",D93,"' where tab_name = 'KUNDE' and fld_name = 'MANUALOPEN_CD';")</f>
        <v>0</v>
      </c>
    </row>
    <row r="94" spans="1:13">
      <c r="A94" t="s">
        <v>833</v>
      </c>
      <c r="C94" t="s">
        <v>26</v>
      </c>
      <c r="D94" t="s">
        <v>834</v>
      </c>
      <c r="E94" t="s">
        <v>562</v>
      </c>
      <c r="F94" t="s">
        <v>29</v>
      </c>
      <c r="G94" t="s">
        <v>30</v>
      </c>
      <c r="H94" t="s">
        <v>832</v>
      </c>
      <c r="K94">
        <f t="array" ref="K94">CONCATENATE("update msg_out_fld_config set msg_fld_name = '",A94,"' where cd = 'E56B7F7463918CE0114DC385ABC3666C';")</f>
        <v>0</v>
      </c>
      <c r="M94">
        <f t="array" ref="M94">CONCATENATE("update msg_out_fld set description = '",D94,"' where tab_name = 'KUNDE' and fld_name = 'APSYS_REPAMANUC';")</f>
        <v>0</v>
      </c>
    </row>
    <row r="95" spans="1:13">
      <c r="A95" t="s">
        <v>836</v>
      </c>
      <c r="C95" t="s">
        <v>20</v>
      </c>
      <c r="D95" t="s">
        <v>837</v>
      </c>
      <c r="E95" t="s">
        <v>53</v>
      </c>
      <c r="F95" t="s">
        <v>23</v>
      </c>
      <c r="H95" t="s">
        <v>835</v>
      </c>
      <c r="K95">
        <f t="array" ref="K95">CONCATENATE("update msg_out_fld_config set msg_fld_name = '",A95,"' where cd = '21140F5DEA56C17813E9BB7A80484514';")</f>
        <v>0</v>
      </c>
      <c r="M95">
        <f t="array" ref="M95">CONCATENATE("update msg_out_fld set description = '",D95,"' where tab_name = 'KUNDE' and fld_name = 'APSYS_IDSTRUCS';")</f>
        <v>0</v>
      </c>
    </row>
    <row r="96" spans="1:13">
      <c r="A96" t="s">
        <v>58</v>
      </c>
      <c r="C96" t="s">
        <v>33</v>
      </c>
      <c r="D96" t="s">
        <v>838</v>
      </c>
      <c r="H96" t="s">
        <v>57</v>
      </c>
      <c r="K96">
        <f t="array" ref="K96">CONCATENATE("update msg_out_fld_config set msg_fld_name = '",A96,"' where cd = '81E56C20D3DDC3116A51D6F86C5043E3';")</f>
        <v>0</v>
      </c>
      <c r="M96">
        <f t="array" ref="M96">CONCATENATE("update msg_out_fld set description = '",D96,"' where tab_name = 'KUNDE' and fld_name = 'MUTDATUM';")</f>
        <v>0</v>
      </c>
    </row>
    <row r="97" spans="1:13">
      <c r="A97" t="s">
        <v>61</v>
      </c>
      <c r="C97" t="s">
        <v>37</v>
      </c>
      <c r="D97" t="s">
        <v>839</v>
      </c>
      <c r="E97" t="s">
        <v>39</v>
      </c>
      <c r="F97" t="s">
        <v>23</v>
      </c>
      <c r="H97" t="s">
        <v>60</v>
      </c>
      <c r="K97">
        <f t="array" ref="K97">CONCATENATE("update msg_out_fld_config set msg_fld_name = '",A97,"' where cd = '30EEAE05557C2DC295314A0716A744FE';")</f>
        <v>0</v>
      </c>
      <c r="M97">
        <f t="array" ref="M97">CONCATENATE("update msg_out_fld set description = '",D97,"' where tab_name = 'KUNDE' and fld_name = 'MUTUSER';")</f>
        <v>0</v>
      </c>
    </row>
    <row r="98" spans="1:13">
      <c r="A98" t="s">
        <v>840</v>
      </c>
      <c r="C98" t="s">
        <v>75</v>
      </c>
      <c r="D98" t="s">
        <v>841</v>
      </c>
      <c r="H98" t="s">
        <v>166</v>
      </c>
      <c r="K98">
        <f t="array" ref="K98">CONCATENATE("update msg_out_fld_config set msg_fld_name = '",A98,"' where cd = '76683C915B51C54B6E78F0ACF96BCC4B';")</f>
        <v>0</v>
      </c>
      <c r="M98">
        <f t="array" ref="M98">CONCATENATE("update msg_out_fld set description = '",D98,"' where tab_name = 'KUNDE' and fld_name = 'NAME';")</f>
        <v>0</v>
      </c>
    </row>
    <row r="99" spans="1:13">
      <c r="A99" t="s">
        <v>843</v>
      </c>
      <c r="C99" t="s">
        <v>20</v>
      </c>
      <c r="D99" t="s">
        <v>844</v>
      </c>
      <c r="E99" t="s">
        <v>112</v>
      </c>
      <c r="F99" t="s">
        <v>23</v>
      </c>
      <c r="H99" t="s">
        <v>842</v>
      </c>
      <c r="K99">
        <f t="array" ref="K99">CONCATENATE("update msg_out_fld_config set msg_fld_name = '",A99,"' where cd = 'F81D970707801DCCCE206C1388A4F530';")</f>
        <v>0</v>
      </c>
      <c r="M99">
        <f t="array" ref="M99">CONCATENATE("update msg_out_fld set description = '",D99,"' where tab_name = 'KUNDE' and fld_name = 'NATIONALITAET_CD';")</f>
        <v>0</v>
      </c>
    </row>
    <row r="100" spans="1:13">
      <c r="A100" t="s">
        <v>846</v>
      </c>
      <c r="C100" t="s">
        <v>20</v>
      </c>
      <c r="D100" t="s">
        <v>847</v>
      </c>
      <c r="E100" t="s">
        <v>112</v>
      </c>
      <c r="F100" t="s">
        <v>23</v>
      </c>
      <c r="H100" t="s">
        <v>845</v>
      </c>
      <c r="K100">
        <f t="array" ref="K100">CONCATENATE("update msg_out_fld_config set msg_fld_name = '",A100,"' where cd = '66AF72FCE92719F8C819EAAE9297B3DC';")</f>
        <v>0</v>
      </c>
      <c r="M100">
        <f t="array" ref="M100">CONCATENATE("update msg_out_fld set description = '",D100,"' where tab_name = 'KUNDE' and fld_name = 'NATIONALITAET2_CD';")</f>
        <v>0</v>
      </c>
    </row>
    <row r="101" spans="1:13">
      <c r="A101" t="s">
        <v>849</v>
      </c>
      <c r="C101" t="s">
        <v>20</v>
      </c>
      <c r="D101" t="s">
        <v>850</v>
      </c>
      <c r="E101" t="s">
        <v>112</v>
      </c>
      <c r="F101" t="s">
        <v>23</v>
      </c>
      <c r="H101" t="s">
        <v>848</v>
      </c>
      <c r="K101">
        <f t="array" ref="K101">CONCATENATE("update msg_out_fld_config set msg_fld_name = '",A101,"' where cd = '9188A1C9A0C3B552E769C27DD0C568B5';")</f>
        <v>0</v>
      </c>
      <c r="M101">
        <f t="array" ref="M101">CONCATENATE("update msg_out_fld set description = '",D101,"' where tab_name = 'KUNDE' and fld_name = 'NATIONALITAET3_CD';")</f>
        <v>0</v>
      </c>
    </row>
    <row r="102" spans="1:13">
      <c r="A102" t="s">
        <v>852</v>
      </c>
      <c r="C102" t="s">
        <v>758</v>
      </c>
      <c r="D102" t="s">
        <v>853</v>
      </c>
      <c r="E102" t="s">
        <v>854</v>
      </c>
      <c r="F102" t="s">
        <v>23</v>
      </c>
      <c r="H102" t="s">
        <v>851</v>
      </c>
      <c r="K102">
        <f t="array" ref="K102">CONCATENATE("update msg_out_fld_config set msg_fld_name = '",A102,"' where cd = 'FE51165D81548E3CF82A88AA8E7FB40D';")</f>
        <v>0</v>
      </c>
      <c r="M102">
        <f t="array" ref="M102">CONCATENATE("update msg_out_fld set description = '",D102,"' where tab_name = 'KUNDE' and fld_name = 'APSYS_CDNOGAS';")</f>
        <v>0</v>
      </c>
    </row>
    <row r="103" spans="1:13">
      <c r="A103" t="s">
        <v>856</v>
      </c>
      <c r="C103" t="s">
        <v>90</v>
      </c>
      <c r="D103" t="s">
        <v>857</v>
      </c>
      <c r="H103" t="s">
        <v>855</v>
      </c>
      <c r="K103">
        <f t="array" ref="K103">CONCATENATE("update msg_out_fld_config set msg_fld_name = '",A103,"' where cd = 'E3E012B6E39FCE6182DA54B124CA9E93';")</f>
        <v>0</v>
      </c>
      <c r="M103">
        <f t="array" ref="M103">CONCATENATE("update msg_out_fld set description = '",D103,"' where tab_name = 'KUNDE' and fld_name = 'APSYS_NBPERSCPARTIEL';")</f>
        <v>0</v>
      </c>
    </row>
    <row r="104" spans="1:13">
      <c r="A104" t="s">
        <v>859</v>
      </c>
      <c r="C104" t="s">
        <v>20</v>
      </c>
      <c r="D104" t="s">
        <v>860</v>
      </c>
      <c r="E104" t="s">
        <v>112</v>
      </c>
      <c r="F104" t="s">
        <v>23</v>
      </c>
      <c r="H104" t="s">
        <v>858</v>
      </c>
      <c r="K104">
        <f t="array" ref="K104">CONCATENATE("update msg_out_fld_config set msg_fld_name = '",A104,"' where cd = '5EE35CF1B67B86A5CCDB2A50ECD93D03';")</f>
        <v>0</v>
      </c>
      <c r="M104">
        <f t="array" ref="M104">CONCATENATE("update msg_out_fld set description = '",D104,"' where tab_name = 'KUNDE' and fld_name = 'APSYS_CDPYHQDOMIS';")</f>
        <v>0</v>
      </c>
    </row>
    <row r="105" spans="1:13">
      <c r="A105" t="s">
        <v>862</v>
      </c>
      <c r="C105" t="s">
        <v>26</v>
      </c>
      <c r="D105" t="s">
        <v>863</v>
      </c>
      <c r="E105" t="s">
        <v>28</v>
      </c>
      <c r="F105" t="s">
        <v>29</v>
      </c>
      <c r="G105" t="s">
        <v>30</v>
      </c>
      <c r="H105" t="s">
        <v>861</v>
      </c>
      <c r="K105">
        <f t="array" ref="K105">CONCATENATE("update msg_out_fld_config set msg_fld_name = '",A105,"' where cd = '73577CDAC38820A0FDE7E5FEFF4D9781';")</f>
        <v>0</v>
      </c>
      <c r="M105">
        <f t="array" ref="M105">CONCATENATE("update msg_out_fld set description = '",D105,"' where tab_name = 'KUNDE' and fld_name = 'PEP_CD';")</f>
        <v>0</v>
      </c>
    </row>
    <row r="106" spans="1:13">
      <c r="A106" t="s">
        <v>865</v>
      </c>
      <c r="C106" t="s">
        <v>20</v>
      </c>
      <c r="D106" t="s">
        <v>866</v>
      </c>
      <c r="E106" t="s">
        <v>867</v>
      </c>
      <c r="F106" t="s">
        <v>23</v>
      </c>
      <c r="H106" t="s">
        <v>864</v>
      </c>
      <c r="K106">
        <f t="array" ref="K106">CONCATENATE("update msg_out_fld_config set msg_fld_name = '",A106,"' where cd = 'C803B95CE46CD1015FDF316263D92AD5';")</f>
        <v>0</v>
      </c>
      <c r="M106">
        <f t="array" ref="M106">CONCATENATE("update msg_out_fld set description = '",D106,"' where tab_name = 'KUNDE' and fld_name = 'APSYS_IDPOCS';")</f>
        <v>0</v>
      </c>
    </row>
    <row r="107" spans="1:13">
      <c r="A107" t="s">
        <v>869</v>
      </c>
      <c r="C107" t="s">
        <v>870</v>
      </c>
      <c r="D107" t="s">
        <v>871</v>
      </c>
      <c r="H107" t="s">
        <v>868</v>
      </c>
      <c r="K107">
        <f t="array" ref="K107">CONCATENATE("update msg_out_fld_config set msg_fld_name = '",A107,"' where cd = 'A50622F239E17FF1594A02DF29D56D05';")</f>
        <v>0</v>
      </c>
      <c r="M107">
        <f t="array" ref="M107">CONCATENATE("update msg_out_fld set description = '",D107,"' where tab_name = 'KUNDE' and fld_name = 'BISHERIGEBETREUUNG';")</f>
        <v>0</v>
      </c>
    </row>
    <row r="108" spans="1:13">
      <c r="A108" t="s">
        <v>873</v>
      </c>
      <c r="C108" t="s">
        <v>104</v>
      </c>
      <c r="D108" t="s">
        <v>874</v>
      </c>
      <c r="H108" t="s">
        <v>872</v>
      </c>
      <c r="K108">
        <f t="array" ref="K108">CONCATENATE("update msg_out_fld_config set msg_fld_name = '",A108,"' where cd = '3ACAD95A396C39ED53EFC93456928AF4';")</f>
        <v>0</v>
      </c>
      <c r="M108">
        <f t="array" ref="M108">CONCATENATE("update msg_out_fld set description = '",D108,"' where tab_name = 'KUNDE' and fld_name = 'BISHERIGEBETREUUNGSEIT';")</f>
        <v>0</v>
      </c>
    </row>
    <row r="109" spans="1:13">
      <c r="A109" t="s">
        <v>876</v>
      </c>
      <c r="C109" t="s">
        <v>26</v>
      </c>
      <c r="D109" t="s">
        <v>877</v>
      </c>
      <c r="E109" t="s">
        <v>28</v>
      </c>
      <c r="F109" t="s">
        <v>29</v>
      </c>
      <c r="G109" t="s">
        <v>30</v>
      </c>
      <c r="H109" t="s">
        <v>875</v>
      </c>
      <c r="K109">
        <f t="array" ref="K109">CONCATENATE("update msg_out_fld_config set msg_fld_name = '",A109,"' where cd = '678A8E06DC9EB9F7361E6E50231F70BB';")</f>
        <v>0</v>
      </c>
      <c r="M109">
        <f t="array" ref="M109">CONCATENATE("update msg_out_fld set description = '",D109,"' where tab_name = 'KUNDE' and fld_name = 'PRINT_SUMMARY_HOLDMAIL_ONLY_CD';")</f>
        <v>0</v>
      </c>
    </row>
    <row r="110" spans="1:13">
      <c r="A110" t="s">
        <v>879</v>
      </c>
      <c r="C110" t="s">
        <v>26</v>
      </c>
      <c r="D110" t="s">
        <v>880</v>
      </c>
      <c r="E110" t="s">
        <v>28</v>
      </c>
      <c r="F110" t="s">
        <v>29</v>
      </c>
      <c r="G110" t="s">
        <v>30</v>
      </c>
      <c r="H110" t="s">
        <v>878</v>
      </c>
      <c r="K110">
        <f t="array" ref="K110">CONCATENATE("update msg_out_fld_config set msg_fld_name = '",A110,"' where cd = '6192E6EFEEB15682243354B5E031147D';")</f>
        <v>0</v>
      </c>
      <c r="M110">
        <f t="array" ref="M110">CONCATENATE("update msg_out_fld set description = '",D110,"' where tab_name = 'KUNDE' and fld_name = 'PSEUDOACCOUNT_CD';")</f>
        <v>0</v>
      </c>
    </row>
    <row r="111" spans="1:13">
      <c r="A111" t="s">
        <v>882</v>
      </c>
      <c r="C111" t="s">
        <v>37</v>
      </c>
      <c r="D111" t="s">
        <v>883</v>
      </c>
      <c r="H111" t="s">
        <v>881</v>
      </c>
      <c r="K111">
        <f t="array" ref="K111">CONCATENATE("update msg_out_fld_config set msg_fld_name = '",A111,"' where cd = '0B3F12200B9BAD180FEB9252B53D2CC5';")</f>
        <v>0</v>
      </c>
      <c r="M111">
        <f t="array" ref="M111">CONCATENATE("update msg_out_fld set description = '",D111,"' where tab_name = 'KUNDE' and fld_name = 'PSEUDONYM';")</f>
        <v>0</v>
      </c>
    </row>
    <row r="112" spans="1:13">
      <c r="A112" t="s">
        <v>885</v>
      </c>
      <c r="C112" t="s">
        <v>886</v>
      </c>
      <c r="D112" t="s">
        <v>887</v>
      </c>
      <c r="H112" t="s">
        <v>884</v>
      </c>
      <c r="K112">
        <f t="array" ref="K112">CONCATENATE("update msg_out_fld_config set msg_fld_name = '",A112,"' where cd = '5C889CA19F8203C4F928815D85BBA3D0';")</f>
        <v>0</v>
      </c>
      <c r="M112">
        <f t="array" ref="M112">CONCATENATE("update msg_out_fld set description = '",D112,"' where tab_name = 'KUNDE' and fld_name = 'VERWENDUNGSZWECK';")</f>
        <v>0</v>
      </c>
    </row>
    <row r="113" spans="1:13">
      <c r="A113" t="s">
        <v>889</v>
      </c>
      <c r="C113" t="s">
        <v>890</v>
      </c>
      <c r="D113" t="s">
        <v>891</v>
      </c>
      <c r="E113" t="s">
        <v>892</v>
      </c>
      <c r="F113" t="s">
        <v>23</v>
      </c>
      <c r="H113" t="s">
        <v>888</v>
      </c>
      <c r="K113">
        <f t="array" ref="K113">CONCATENATE("update msg_out_fld_config set msg_fld_name = '",A113,"' where cd = '349FF52E1418718D690A04554E9352D2';")</f>
        <v>0</v>
      </c>
      <c r="M113">
        <f t="array" ref="M113">CONCATENATE("update msg_out_fld set description = '",D113,"' where tab_name = 'KUNDE' and fld_name = 'RELATIONSHIP_TYPE_AML_CD';")</f>
        <v>0</v>
      </c>
    </row>
    <row r="114" spans="1:13">
      <c r="A114" t="s">
        <v>894</v>
      </c>
      <c r="C114" t="s">
        <v>20</v>
      </c>
      <c r="D114" t="s">
        <v>895</v>
      </c>
      <c r="E114" t="s">
        <v>896</v>
      </c>
      <c r="F114" t="s">
        <v>23</v>
      </c>
      <c r="H114" t="s">
        <v>893</v>
      </c>
      <c r="K114">
        <f t="array" ref="K114">CONCATENATE("update msg_out_fld_config set msg_fld_name = '",A114,"' where cd = 'BAE5397366D0DCF54B18D60AE775E91C';")</f>
        <v>0</v>
      </c>
      <c r="M114">
        <f t="array" ref="M114">CONCATENATE("update msg_out_fld set description = '",D114,"' where tab_name = 'KUNDE' and fld_name = 'RISIKOKATEGORIE_CD';")</f>
        <v>0</v>
      </c>
    </row>
    <row r="115" spans="1:13">
      <c r="A115" t="s">
        <v>898</v>
      </c>
      <c r="C115" t="s">
        <v>20</v>
      </c>
      <c r="D115" t="s">
        <v>899</v>
      </c>
      <c r="E115" t="s">
        <v>112</v>
      </c>
      <c r="F115" t="s">
        <v>23</v>
      </c>
      <c r="H115" t="s">
        <v>897</v>
      </c>
      <c r="K115">
        <f t="array" ref="K115">CONCATENATE("update msg_out_fld_config set msg_fld_name = '",A115,"' where cd = '67A0EB55F9D46FB2533345636F6E1480';")</f>
        <v>0</v>
      </c>
      <c r="M115">
        <f t="array" ref="M115">CONCATENATE("update msg_out_fld set description = '",D115,"' where tab_name = 'KUNDE' and fld_name = 'RISIKOLAND_CD';")</f>
        <v>0</v>
      </c>
    </row>
    <row r="116" spans="1:13">
      <c r="A116" t="s">
        <v>83</v>
      </c>
      <c r="C116" t="s">
        <v>84</v>
      </c>
      <c r="D116" t="s">
        <v>85</v>
      </c>
      <c r="H116" t="s">
        <v>82</v>
      </c>
      <c r="K116">
        <f t="array" ref="K116">CONCATENATE("update msg_out_fld_config set msg_fld_name = '",A116,"' where cd = 'B36BED63FD71AC5FB9EC7FAD7E4ED941';")</f>
        <v>0</v>
      </c>
      <c r="M116">
        <f t="array" ref="M116">CONCATENATE("update msg_out_fld set description = '",D116,"' where tab_name = 'KUNDE' and fld_name = 'RISKINDEX';")</f>
        <v>0</v>
      </c>
    </row>
    <row r="117" spans="1:13">
      <c r="A117" t="s">
        <v>901</v>
      </c>
      <c r="C117" t="s">
        <v>26</v>
      </c>
      <c r="D117" t="s">
        <v>902</v>
      </c>
      <c r="E117" t="s">
        <v>28</v>
      </c>
      <c r="F117" t="s">
        <v>29</v>
      </c>
      <c r="G117" t="s">
        <v>30</v>
      </c>
      <c r="H117" t="s">
        <v>900</v>
      </c>
      <c r="K117">
        <f t="array" ref="K117">CONCATENATE("update msg_out_fld_config set msg_fld_name = '",A117,"' where cd = '6E6B7381F99DC6D36F077A2F82CC7758';")</f>
        <v>0</v>
      </c>
      <c r="M117">
        <f t="array" ref="M117">CONCATENATE("update msg_out_fld set description = '",D117,"' where tab_name = 'KUNDE' and fld_name = 'RISKINDEXBERECHNEN_CD';")</f>
        <v>0</v>
      </c>
    </row>
    <row r="118" spans="1:13">
      <c r="A118" t="s">
        <v>904</v>
      </c>
      <c r="C118" t="s">
        <v>33</v>
      </c>
      <c r="D118" t="s">
        <v>905</v>
      </c>
      <c r="H118" t="s">
        <v>903</v>
      </c>
      <c r="K118">
        <f t="array" ref="K118">CONCATENATE("update msg_out_fld_config set msg_fld_name = '",A118,"' where cd = '4CD3DB66138A12D3369C1E9CBB03FD55';")</f>
        <v>0</v>
      </c>
      <c r="M118">
        <f t="array" ref="M118">CONCATENATE("update msg_out_fld set description = '",D118,"' where tab_name = 'KUNDE' and fld_name = 'RISKINDEX_LETZTEBERECHNUNG';")</f>
        <v>0</v>
      </c>
    </row>
    <row r="119" spans="1:13">
      <c r="A119" t="s">
        <v>907</v>
      </c>
      <c r="C119" t="s">
        <v>33</v>
      </c>
      <c r="D119" t="s">
        <v>908</v>
      </c>
      <c r="H119" t="s">
        <v>906</v>
      </c>
      <c r="K119">
        <f t="array" ref="K119">CONCATENATE("update msg_out_fld_config set msg_fld_name = '",A119,"' where cd = 'D0D8F39CDBDCD3B9A0BF5FA10F6DE727';")</f>
        <v>0</v>
      </c>
      <c r="M119">
        <f t="array" ref="M119">CONCATENATE("update msg_out_fld set description = '",D119,"' where tab_name = 'KUNDE' and fld_name = 'RISKINDEX_GUELTISEIT';")</f>
        <v>0</v>
      </c>
    </row>
    <row r="120" spans="1:13">
      <c r="A120" t="s">
        <v>910</v>
      </c>
      <c r="C120" t="s">
        <v>26</v>
      </c>
      <c r="D120" t="s">
        <v>911</v>
      </c>
      <c r="E120" t="s">
        <v>28</v>
      </c>
      <c r="F120" t="s">
        <v>29</v>
      </c>
      <c r="G120" t="s">
        <v>30</v>
      </c>
      <c r="H120" t="s">
        <v>909</v>
      </c>
      <c r="K120">
        <f t="array" ref="K120">CONCATENATE("update msg_out_fld_config set msg_fld_name = '",A120,"' where cd = '05793A13E162033B470234C28FAB96CC';")</f>
        <v>0</v>
      </c>
      <c r="M120">
        <f t="array" ref="M120">CONCATENATE("update msg_out_fld set description = '",D120,"' where tab_name = 'KUNDE' and fld_name = 'RISIKOTAETIGKEIT_CD';")</f>
        <v>0</v>
      </c>
    </row>
    <row r="121" spans="1:13">
      <c r="A121" t="s">
        <v>913</v>
      </c>
      <c r="C121" t="s">
        <v>20</v>
      </c>
      <c r="D121" t="s">
        <v>914</v>
      </c>
      <c r="E121" t="s">
        <v>915</v>
      </c>
      <c r="F121" t="s">
        <v>23</v>
      </c>
      <c r="H121" t="s">
        <v>912</v>
      </c>
      <c r="K121">
        <f t="array" ref="K121">CONCATENATE("update msg_out_fld_config set msg_fld_name = '",A121,"' where cd = '55B2B299C9B4E144AB7F34156069F7B8';")</f>
        <v>0</v>
      </c>
      <c r="M121">
        <f t="array" ref="M121">CONCATENATE("update msg_out_fld set description = '",D121,"' where tab_name = 'KUNDE' and fld_name = 'APSYS_GRMTEVALS';")</f>
        <v>0</v>
      </c>
    </row>
    <row r="122" spans="1:13">
      <c r="A122" t="s">
        <v>917</v>
      </c>
      <c r="C122" t="s">
        <v>780</v>
      </c>
      <c r="D122" t="s">
        <v>918</v>
      </c>
      <c r="E122" t="s">
        <v>919</v>
      </c>
      <c r="F122" t="s">
        <v>23</v>
      </c>
      <c r="H122" t="s">
        <v>916</v>
      </c>
      <c r="K122">
        <f t="array" ref="K122">CONCATENATE("update msg_out_fld_config set msg_fld_name = '",A122,"' where cd = 'A43402B7BF43391AB7106D47020C859E';")</f>
        <v>0</v>
      </c>
      <c r="M122">
        <f t="array" ref="M122">CONCATENATE("update msg_out_fld set description = '",D122,"' where tab_name = 'KUNDE' and fld_name = 'APSYS_CDINDUSSBNS';")</f>
        <v>0</v>
      </c>
    </row>
    <row r="123" spans="1:13">
      <c r="A123" t="s">
        <v>921</v>
      </c>
      <c r="C123" t="s">
        <v>26</v>
      </c>
      <c r="D123" t="s">
        <v>922</v>
      </c>
      <c r="E123" t="s">
        <v>28</v>
      </c>
      <c r="F123" t="s">
        <v>29</v>
      </c>
      <c r="G123" t="s">
        <v>30</v>
      </c>
      <c r="H123" t="s">
        <v>920</v>
      </c>
      <c r="K123">
        <f t="array" ref="K123">CONCATENATE("update msg_out_fld_config set msg_fld_name = '",A123,"' where cd = '6AD120316E1FE6008B35B6E2CE587CCA';")</f>
        <v>0</v>
      </c>
      <c r="M123">
        <f t="array" ref="M123">CONCATENATE("update msg_out_fld set description = '",D123,"' where tab_name = 'KUNDE' and fld_name = 'SPEZIALKATEGORIE_CD';")</f>
        <v>0</v>
      </c>
    </row>
    <row r="124" spans="1:13">
      <c r="A124" t="s">
        <v>924</v>
      </c>
      <c r="C124" t="s">
        <v>68</v>
      </c>
      <c r="D124" t="s">
        <v>925</v>
      </c>
      <c r="E124" t="s">
        <v>926</v>
      </c>
      <c r="F124" t="s">
        <v>23</v>
      </c>
      <c r="H124" t="s">
        <v>923</v>
      </c>
      <c r="K124">
        <f t="array" ref="K124">CONCATENATE("update msg_out_fld_config set msg_fld_name = '",A124,"' where cd = '6AB779A855B47370CEEAFD63C8E55112';")</f>
        <v>0</v>
      </c>
      <c r="M124">
        <f t="array" ref="M124">CONCATENATE("update msg_out_fld set description = '",D124,"' where tab_name = 'KUNDE' and fld_name = 'SPEZ_WUENSCHE_CD';")</f>
        <v>0</v>
      </c>
    </row>
    <row r="125" spans="1:13">
      <c r="A125" t="s">
        <v>505</v>
      </c>
      <c r="C125" t="s">
        <v>26</v>
      </c>
      <c r="D125" t="s">
        <v>928</v>
      </c>
      <c r="E125" t="s">
        <v>929</v>
      </c>
      <c r="F125" t="s">
        <v>29</v>
      </c>
      <c r="G125" t="s">
        <v>930</v>
      </c>
      <c r="H125" t="s">
        <v>927</v>
      </c>
      <c r="K125">
        <f t="array" ref="K125">CONCATENATE("update msg_out_fld_config set msg_fld_name = '",A125,"' where cd = 'AB608E3FD4150381F9BC48C1A21F50AE';")</f>
        <v>0</v>
      </c>
      <c r="M125">
        <f t="array" ref="M125">CONCATENATE("update msg_out_fld set description = '",D125,"' where tab_name = 'KUNDE' and fld_name = 'CDPARTC';")</f>
        <v>0</v>
      </c>
    </row>
    <row r="126" spans="1:13">
      <c r="A126" t="s">
        <v>932</v>
      </c>
      <c r="C126" t="s">
        <v>37</v>
      </c>
      <c r="D126" t="s">
        <v>931</v>
      </c>
      <c r="H126" t="s">
        <v>931</v>
      </c>
      <c r="K126">
        <f t="array" ref="K126">CONCATENATE("update msg_out_fld_config set msg_fld_name = '",A126,"' where cd = 'C3205F31DE6DF80B560618230A532611';")</f>
        <v>0</v>
      </c>
      <c r="M126">
        <f t="array" ref="M126">CONCATENATE("update msg_out_fld set description = '",D126,"' where tab_name = 'KUNDE' and fld_name = 'TIN';")</f>
        <v>0</v>
      </c>
    </row>
    <row r="127" spans="1:13">
      <c r="A127" t="s">
        <v>934</v>
      </c>
      <c r="C127" t="s">
        <v>90</v>
      </c>
      <c r="D127" t="s">
        <v>935</v>
      </c>
      <c r="E127" t="s">
        <v>936</v>
      </c>
      <c r="F127" t="s">
        <v>23</v>
      </c>
      <c r="H127" t="s">
        <v>933</v>
      </c>
      <c r="K127">
        <f t="array" ref="K127">CONCATENATE("update msg_out_fld_config set msg_fld_name = '",A127,"' where cd = '17AC46CE6B5350FB711EA460DD57F3F2';")</f>
        <v>0</v>
      </c>
      <c r="M127">
        <f t="array" ref="M127">CONCATENATE("update msg_out_fld set description = '",D127,"' where tab_name = 'KUNDE' and fld_name = 'GESAMTVERMOEGEN_CD';")</f>
        <v>0</v>
      </c>
    </row>
    <row r="128" spans="1:13">
      <c r="A128" t="s">
        <v>938</v>
      </c>
      <c r="C128" t="s">
        <v>275</v>
      </c>
      <c r="D128" t="s">
        <v>939</v>
      </c>
      <c r="E128" t="s">
        <v>940</v>
      </c>
      <c r="F128" t="s">
        <v>23</v>
      </c>
      <c r="H128" t="s">
        <v>937</v>
      </c>
      <c r="K128">
        <f t="array" ref="K128">CONCATENATE("update msg_out_fld_config set msg_fld_name = '",A128,"' where cd = 'E5B4D69B817933EC2057AFD4C964BCF9';")</f>
        <v>0</v>
      </c>
      <c r="M128">
        <f t="array" ref="M128">CONCATENATE("update msg_out_fld set description = '",D128,"' where tab_name = 'KUNDE' and fld_name = 'REGIONZAHLUNG_CD';")</f>
        <v>0</v>
      </c>
    </row>
    <row r="129" spans="1:13">
      <c r="A129" t="s">
        <v>942</v>
      </c>
      <c r="C129" t="s">
        <v>26</v>
      </c>
      <c r="D129" t="s">
        <v>943</v>
      </c>
      <c r="E129" t="s">
        <v>562</v>
      </c>
      <c r="F129" t="s">
        <v>29</v>
      </c>
      <c r="G129" t="s">
        <v>30</v>
      </c>
      <c r="H129" t="s">
        <v>941</v>
      </c>
      <c r="K129">
        <f t="array" ref="K129">CONCATENATE("update msg_out_fld_config set msg_fld_name = '",A129,"' where cd = 'A4EF1FF65FA4DAE35B3DE782A170AC37';")</f>
        <v>0</v>
      </c>
      <c r="M129">
        <f t="array" ref="M129">CONCATENATE("update msg_out_fld set description = '",D129,"' where tab_name = 'KUNDE' and fld_name = 'APSYS_FLAGUKTAXC';")</f>
        <v>0</v>
      </c>
    </row>
    <row r="130" spans="1:13">
      <c r="A130" t="s">
        <v>193</v>
      </c>
      <c r="C130" t="s">
        <v>26</v>
      </c>
      <c r="D130" t="s">
        <v>194</v>
      </c>
      <c r="E130" t="s">
        <v>195</v>
      </c>
      <c r="F130" t="s">
        <v>29</v>
      </c>
      <c r="G130" t="s">
        <v>196</v>
      </c>
      <c r="H130" t="s">
        <v>192</v>
      </c>
      <c r="K130">
        <f t="array" ref="K130">CONCATENATE("update msg_out_fld_config set msg_fld_name = '",A130,"' where cd = '87107DC0110EC350F3369EC23AA4740A';")</f>
        <v>0</v>
      </c>
      <c r="M130">
        <f t="array" ref="M130">CONCATENATE("update msg_out_fld set description = '",D130,"' where tab_name = 'KUNDE' and fld_name = 'VALID_CD';")</f>
        <v>0</v>
      </c>
    </row>
    <row r="131" spans="1:13">
      <c r="A131" t="s">
        <v>201</v>
      </c>
      <c r="C131" t="s">
        <v>90</v>
      </c>
      <c r="D131" t="s">
        <v>944</v>
      </c>
      <c r="H131" t="s">
        <v>200</v>
      </c>
      <c r="K131">
        <f t="array" ref="K131">CONCATENATE("update msg_out_fld_config set msg_fld_name = '",A131,"' where cd = '825D1CD54506479EC05A8A38DC43CA60';")</f>
        <v>0</v>
      </c>
      <c r="M131">
        <f t="array" ref="M131">CONCATENATE("update msg_out_fld set description = '",D131,"' where tab_name = 'KUNDE' and fld_name = 'VALIDID';")</f>
        <v>0</v>
      </c>
    </row>
    <row r="132" spans="1:13">
      <c r="A132" t="s">
        <v>207</v>
      </c>
      <c r="C132" t="s">
        <v>37</v>
      </c>
      <c r="D132" t="s">
        <v>208</v>
      </c>
      <c r="E132" t="s">
        <v>39</v>
      </c>
      <c r="F132" t="s">
        <v>23</v>
      </c>
      <c r="H132" t="s">
        <v>206</v>
      </c>
      <c r="K132">
        <f t="array" ref="K132">CONCATENATE("update msg_out_fld_config set msg_fld_name = '",A132,"' where cd = 'A11C7CEBAA7EB4A0699593F2CBE7B952';")</f>
        <v>0</v>
      </c>
      <c r="M132">
        <f t="array" ref="M132">CONCATENATE("update msg_out_fld set description = '",D132,"' where tab_name = 'KUNDE' and fld_name = 'VALIDUSER';")</f>
        <v>0</v>
      </c>
    </row>
    <row r="133" spans="1:13">
      <c r="A133" t="s">
        <v>508</v>
      </c>
      <c r="C133" t="s">
        <v>20</v>
      </c>
      <c r="D133" t="s">
        <v>945</v>
      </c>
      <c r="E133" t="s">
        <v>946</v>
      </c>
      <c r="F133" t="s">
        <v>23</v>
      </c>
      <c r="H133" t="s">
        <v>507</v>
      </c>
      <c r="K133">
        <f t="array" ref="K133">CONCATENATE("update msg_out_fld_config set msg_fld_name = '",A133,"' where cd = '5AB7E9730DB02473FC468EBE9E2B2F97';")</f>
        <v>0</v>
      </c>
      <c r="M133">
        <f t="array" ref="M133">CONCATENATE("update msg_out_fld set description = '",D133,"' where tab_name = 'KUNDE' and fld_name = 'APSYS_DEVEVALS';")</f>
        <v>0</v>
      </c>
    </row>
    <row r="134" spans="1:13">
      <c r="A134" t="s">
        <v>948</v>
      </c>
      <c r="C134" t="s">
        <v>26</v>
      </c>
      <c r="D134" t="s">
        <v>949</v>
      </c>
      <c r="E134" t="s">
        <v>950</v>
      </c>
      <c r="F134" t="s">
        <v>29</v>
      </c>
      <c r="G134" t="s">
        <v>951</v>
      </c>
      <c r="H134" t="s">
        <v>947</v>
      </c>
      <c r="K134">
        <f t="array" ref="K134">CONCATENATE("update msg_out_fld_config set msg_fld_name = '",A134,"' where cd = 'C2C02D8F43B265C7711A8A8578BE69BC';")</f>
        <v>0</v>
      </c>
      <c r="M134">
        <f t="array" ref="M134">CONCATENATE("update msg_out_fld set description = '",D134,"' where tab_name = 'KUNDE' and fld_name = 'APSYS_STATFISCC';")</f>
        <v>0</v>
      </c>
    </row>
    <row r="135" spans="1:13">
      <c r="A135" t="s">
        <v>953</v>
      </c>
      <c r="C135" t="s">
        <v>104</v>
      </c>
      <c r="D135" t="s">
        <v>954</v>
      </c>
      <c r="H135" t="s">
        <v>952</v>
      </c>
      <c r="K135">
        <f t="array" ref="K135">CONCATENATE("update msg_out_fld_config set msg_fld_name = '",A135,"' where cd = 'D544E5F374A373F48E1753C23420F5C8';")</f>
        <v>0</v>
      </c>
      <c r="M135">
        <f t="array" ref="M135">CONCATENATE("update msg_out_fld set description = '",D135,"' where tab_name = 'KUNDE' and fld_name = 'APSYS_DTECHDIARYL';")</f>
        <v>0</v>
      </c>
    </row>
    <row r="136" spans="1:13">
      <c r="A136" t="s">
        <v>956</v>
      </c>
      <c r="C136" t="s">
        <v>37</v>
      </c>
      <c r="D136" t="s">
        <v>957</v>
      </c>
      <c r="H136" t="s">
        <v>955</v>
      </c>
      <c r="K136">
        <f t="array" ref="K136">CONCATENATE("update msg_out_fld_config set msg_fld_name = '",A136,"' where cd = '9F05922E79B5604D62F6A98FE001FA51';")</f>
        <v>0</v>
      </c>
      <c r="M136">
        <f t="array" ref="M136">CONCATENATE("update msg_out_fld set description = '",D136,"' where tab_name = 'KUNDE' and fld_name = 'APSYS_MOTDIARYS';")</f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30.7109375" customWidth="1"/>
    <col min="2" max="2" width="4.28515625" customWidth="1"/>
    <col min="3" max="3" width="15.140625" customWidth="1"/>
    <col min="4" max="4" width="35.5703125" customWidth="1"/>
    <col min="5" max="5" width="34.28515625" customWidth="1"/>
    <col min="6" max="6" width="10.28515625" customWidth="1"/>
    <col min="7" max="7" width="15.140625" customWidth="1"/>
    <col min="8" max="8" width="23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2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958</v>
      </c>
    </row>
    <row r="2" spans="1:13">
      <c r="A2" s="1" t="s">
        <v>959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960</v>
      </c>
      <c r="K6">
        <f t="array" ref="K6">CONCATENATE("update msg_out_fld_config set msg_fld_name = '",A6,"' where cd = '0E5F9F35B9A512239F26BF887ABEE0CA';")</f>
        <v>0</v>
      </c>
      <c r="M6">
        <f t="array" ref="M6">CONCATENATE("update msg_out_fld set description = '",D6,"' where tab_name = 'CATEGORYCODE_APSYS_VB' and fld_name = 'KUNDENKATEGORIE_CD';")</f>
        <v>0</v>
      </c>
    </row>
    <row r="7" spans="1:13">
      <c r="A7" t="s">
        <v>962</v>
      </c>
      <c r="C7" t="s">
        <v>20</v>
      </c>
      <c r="D7" t="s">
        <v>963</v>
      </c>
      <c r="E7" t="s">
        <v>964</v>
      </c>
      <c r="F7" t="s">
        <v>23</v>
      </c>
      <c r="H7" t="s">
        <v>961</v>
      </c>
      <c r="K7">
        <f t="array" ref="K7">CONCATENATE("update msg_out_fld_config set msg_fld_name = '",A7,"' where cd = 'DBF6F817874B8583214102C6B0686A3C';")</f>
        <v>0</v>
      </c>
      <c r="M7">
        <f t="array" ref="M7">CONCATENATE("update msg_out_fld set description = '",D7,"' where tab_name = 'CATEGORYCODE_APSYS_VB' and fld_name = 'CDCTGPTFGRECPTS';")</f>
        <v>0</v>
      </c>
    </row>
    <row r="8" spans="1:13">
      <c r="A8" t="s">
        <v>966</v>
      </c>
      <c r="C8" t="s">
        <v>20</v>
      </c>
      <c r="D8" t="s">
        <v>967</v>
      </c>
      <c r="E8" t="s">
        <v>964</v>
      </c>
      <c r="F8" t="s">
        <v>23</v>
      </c>
      <c r="H8" t="s">
        <v>965</v>
      </c>
      <c r="K8">
        <f t="array" ref="K8">CONCATENATE("update msg_out_fld_config set msg_fld_name = '",A8,"' where cd = '3D8C7A8E028D75912273CCDB33BFA3EB';")</f>
        <v>0</v>
      </c>
      <c r="M8">
        <f t="array" ref="M8">CONCATENATE("update msg_out_fld set description = '",D8,"' where tab_name = 'CATEGORYCODE_APSYS_VB' and fld_name = 'CDCTGPTFCOMAGTCPTS';")</f>
        <v>0</v>
      </c>
    </row>
    <row r="9" spans="1:13">
      <c r="A9" t="s">
        <v>969</v>
      </c>
      <c r="C9" t="s">
        <v>20</v>
      </c>
      <c r="D9" t="s">
        <v>970</v>
      </c>
      <c r="E9" t="s">
        <v>964</v>
      </c>
      <c r="F9" t="s">
        <v>23</v>
      </c>
      <c r="H9" t="s">
        <v>968</v>
      </c>
      <c r="K9">
        <f t="array" ref="K9">CONCATENATE("update msg_out_fld_config set msg_fld_name = '",A9,"' where cd = '616BAECCCA2960BC5258BD4FF7279D41';")</f>
        <v>0</v>
      </c>
      <c r="M9">
        <f t="array" ref="M9">CONCATENATE("update msg_out_fld set description = '",D9,"' where tab_name = 'CATEGORYCODE_APSYS_VB' and fld_name = 'CDCTGPTFSBXPS';")</f>
        <v>0</v>
      </c>
    </row>
    <row r="10" spans="1:13">
      <c r="A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24</v>
      </c>
      <c r="K10">
        <f t="array" ref="K10">CONCATENATE("update msg_out_fld_config set msg_fld_name = '",A10,"' where cd = 'CE84C4BA3FFE9219121BE2B2DCB53B90';")</f>
        <v>0</v>
      </c>
      <c r="M10">
        <f t="array" ref="M10">CONCATENATE("update msg_out_fld set description = '",D10,"' where tab_name = 'CATEGORYCODE_APSYS_VB' and fld_name = 'LOESCH_CD';")</f>
        <v>0</v>
      </c>
    </row>
    <row r="11" spans="1:13">
      <c r="A11" t="s">
        <v>32</v>
      </c>
      <c r="C11" t="s">
        <v>33</v>
      </c>
      <c r="D11" t="s">
        <v>34</v>
      </c>
      <c r="H11" t="s">
        <v>31</v>
      </c>
      <c r="K11">
        <f t="array" ref="K11">CONCATENATE("update msg_out_fld_config set msg_fld_name = '",A11,"' where cd = '7389318B7A7B02D982C5BEE5D6B29078';")</f>
        <v>0</v>
      </c>
      <c r="M11">
        <f t="array" ref="M11">CONCATENATE("update msg_out_fld set description = '",D11,"' where tab_name = 'CATEGORYCODE_APSYS_VB' and fld_name = 'LOESCHDATUM';")</f>
        <v>0</v>
      </c>
    </row>
    <row r="12" spans="1:13">
      <c r="A12" t="s">
        <v>36</v>
      </c>
      <c r="C12" t="s">
        <v>37</v>
      </c>
      <c r="D12" t="s">
        <v>38</v>
      </c>
      <c r="E12" t="s">
        <v>39</v>
      </c>
      <c r="F12" t="s">
        <v>23</v>
      </c>
      <c r="H12" t="s">
        <v>35</v>
      </c>
      <c r="K12">
        <f t="array" ref="K12">CONCATENATE("update msg_out_fld_config set msg_fld_name = '",A12,"' where cd = 'B8D37666AFDCCFA41388E6EAB5BDC372';")</f>
        <v>0</v>
      </c>
      <c r="M12">
        <f t="array" ref="M12">CONCATENATE("update msg_out_fld set description = '",D12,"' where tab_name = 'CATEGORYCODE_APSYS_VB' and fld_name = 'LOESCHUSER';")</f>
        <v>0</v>
      </c>
    </row>
    <row r="13" spans="1:13">
      <c r="A13" t="s">
        <v>972</v>
      </c>
      <c r="C13" t="s">
        <v>20</v>
      </c>
      <c r="D13" t="s">
        <v>973</v>
      </c>
      <c r="E13" t="s">
        <v>964</v>
      </c>
      <c r="F13" t="s">
        <v>23</v>
      </c>
      <c r="H13" t="s">
        <v>971</v>
      </c>
      <c r="K13">
        <f t="array" ref="K13">CONCATENATE("update msg_out_fld_config set msg_fld_name = '",A13,"' where cd = '918B2B102ECD0DFE0A8EC1A36AAC0EC0';")</f>
        <v>0</v>
      </c>
      <c r="M13">
        <f t="array" ref="M13">CONCATENATE("update msg_out_fld set description = '",D13,"' where tab_name = 'CATEGORYCODE_APSYS_VB' and fld_name = 'CDCTGPTFCOUS';")</f>
        <v>0</v>
      </c>
    </row>
    <row r="14" spans="1:13">
      <c r="A14" t="s">
        <v>45</v>
      </c>
      <c r="C14" t="s">
        <v>33</v>
      </c>
      <c r="D14" t="s">
        <v>46</v>
      </c>
      <c r="H14" t="s">
        <v>44</v>
      </c>
      <c r="K14">
        <f t="array" ref="K14">CONCATENATE("update msg_out_fld_config set msg_fld_name = '",A14,"' where cd = 'B223EC74B42B91435D951470CC8BCF00';")</f>
        <v>0</v>
      </c>
      <c r="M14">
        <f t="array" ref="M14">CONCATENATE("update msg_out_fld set description = '",D14,"' where tab_name = 'CATEGORYCODE_APSYS_VB' and fld_name = 'CRTDATUM';")</f>
        <v>0</v>
      </c>
    </row>
    <row r="15" spans="1:13">
      <c r="A15" t="s">
        <v>48</v>
      </c>
      <c r="C15" t="s">
        <v>37</v>
      </c>
      <c r="D15" t="s">
        <v>49</v>
      </c>
      <c r="E15" t="s">
        <v>39</v>
      </c>
      <c r="F15" t="s">
        <v>23</v>
      </c>
      <c r="H15" t="s">
        <v>47</v>
      </c>
      <c r="K15">
        <f t="array" ref="K15">CONCATENATE("update msg_out_fld_config set msg_fld_name = '",A15,"' where cd = 'D82C762623D6F878D0338E28BAA389E5';")</f>
        <v>0</v>
      </c>
      <c r="M15">
        <f t="array" ref="M15">CONCATENATE("update msg_out_fld set description = '",D15,"' where tab_name = 'CATEGORYCODE_APSYS_VB' and fld_name = 'CRTUSER';")</f>
        <v>0</v>
      </c>
    </row>
    <row r="16" spans="1:13">
      <c r="A16" t="s">
        <v>975</v>
      </c>
      <c r="C16" t="s">
        <v>20</v>
      </c>
      <c r="D16" t="s">
        <v>976</v>
      </c>
      <c r="E16" t="s">
        <v>964</v>
      </c>
      <c r="F16" t="s">
        <v>23</v>
      </c>
      <c r="H16" t="s">
        <v>974</v>
      </c>
      <c r="K16">
        <f t="array" ref="K16">CONCATENATE("update msg_out_fld_config set msg_fld_name = '",A16,"' where cd = '220714DD1B149A0F9FB5A85BFC5846DC';")</f>
        <v>0</v>
      </c>
      <c r="M16">
        <f t="array" ref="M16">CONCATENATE("update msg_out_fld set description = '",D16,"' where tab_name = 'CATEGORYCODE_APSYS_VB' and fld_name = 'CDCTGPTFTRSFTITS';")</f>
        <v>0</v>
      </c>
    </row>
    <row r="17" spans="1:13">
      <c r="A17" t="s">
        <v>55</v>
      </c>
      <c r="C17" t="s">
        <v>75</v>
      </c>
      <c r="D17" t="s">
        <v>978</v>
      </c>
      <c r="H17" t="s">
        <v>977</v>
      </c>
      <c r="K17">
        <f t="array" ref="K17">CONCATENATE("update msg_out_fld_config set msg_fld_name = '",A17,"' where cd = '37BDDBD0D48A82CFBA98086C274D7466';")</f>
        <v>0</v>
      </c>
      <c r="M17">
        <f t="array" ref="M17">CONCATENATE("update msg_out_fld set description = '",D17,"' where tab_name = 'CATEGORYCODE_APSYS_VB' and fld_name = 'KUNDENKATEGORIE';")</f>
        <v>0</v>
      </c>
    </row>
    <row r="18" spans="1:13">
      <c r="A18" t="s">
        <v>980</v>
      </c>
      <c r="C18" t="s">
        <v>20</v>
      </c>
      <c r="D18" t="s">
        <v>981</v>
      </c>
      <c r="E18" t="s">
        <v>964</v>
      </c>
      <c r="F18" t="s">
        <v>23</v>
      </c>
      <c r="H18" t="s">
        <v>979</v>
      </c>
      <c r="K18">
        <f t="array" ref="K18">CONCATENATE("update msg_out_fld_config set msg_fld_name = '",A18,"' where cd = '01397C34238B7DC2D415BD121038EB28';")</f>
        <v>0</v>
      </c>
      <c r="M18">
        <f t="array" ref="M18">CONCATENATE("update msg_out_fld set description = '",D18,"' where tab_name = 'CATEGORYCODE_APSYS_VB' and fld_name = 'CDCTGPTFSDOCS';")</f>
        <v>0</v>
      </c>
    </row>
    <row r="19" spans="1:13">
      <c r="A19" t="s">
        <v>983</v>
      </c>
      <c r="C19" t="s">
        <v>20</v>
      </c>
      <c r="D19" t="s">
        <v>984</v>
      </c>
      <c r="E19" t="s">
        <v>964</v>
      </c>
      <c r="F19" t="s">
        <v>23</v>
      </c>
      <c r="H19" t="s">
        <v>982</v>
      </c>
      <c r="K19">
        <f t="array" ref="K19">CONCATENATE("update msg_out_fld_config set msg_fld_name = '",A19,"' where cd = '477F7BA2F468F17579A84F9612F689E6';")</f>
        <v>0</v>
      </c>
      <c r="M19">
        <f t="array" ref="M19">CONCATENATE("update msg_out_fld set description = '",D19,"' where tab_name = 'CATEGORYCODE_APSYS_VB' and fld_name = 'CDCTGPTFMAFS';")</f>
        <v>0</v>
      </c>
    </row>
    <row r="20" spans="1:13">
      <c r="A20" t="s">
        <v>986</v>
      </c>
      <c r="C20" t="s">
        <v>20</v>
      </c>
      <c r="D20" t="s">
        <v>987</v>
      </c>
      <c r="E20" t="s">
        <v>964</v>
      </c>
      <c r="F20" t="s">
        <v>23</v>
      </c>
      <c r="H20" t="s">
        <v>985</v>
      </c>
      <c r="K20">
        <f t="array" ref="K20">CONCATENATE("update msg_out_fld_config set msg_fld_name = '",A20,"' where cd = '2DDD6A9285585609B0D5C4B6FD4CA64F';")</f>
        <v>0</v>
      </c>
      <c r="M20">
        <f t="array" ref="M20">CONCATENATE("update msg_out_fld set description = '",D20,"' where tab_name = 'CATEGORYCODE_APSYS_VB' and fld_name = 'CDCTGPTFINTS';")</f>
        <v>0</v>
      </c>
    </row>
    <row r="21" spans="1:13">
      <c r="A21" t="s">
        <v>989</v>
      </c>
      <c r="C21" t="s">
        <v>20</v>
      </c>
      <c r="D21" t="s">
        <v>990</v>
      </c>
      <c r="E21" t="s">
        <v>964</v>
      </c>
      <c r="F21" t="s">
        <v>23</v>
      </c>
      <c r="H21" t="s">
        <v>988</v>
      </c>
      <c r="K21">
        <f t="array" ref="K21">CONCATENATE("update msg_out_fld_config set msg_fld_name = '",A21,"' where cd = 'A0DEFD9F8A2535BB9AADF4395D199B4F';")</f>
        <v>0</v>
      </c>
      <c r="M21">
        <f t="array" ref="M21">CONCATENATE("update msg_out_fld set description = '",D21,"' where tab_name = 'CATEGORYCODE_APSYS_VB' and fld_name = 'CDCTGPTFTYPPLACS';")</f>
        <v>0</v>
      </c>
    </row>
    <row r="22" spans="1:13">
      <c r="A22" t="s">
        <v>58</v>
      </c>
      <c r="C22" t="s">
        <v>33</v>
      </c>
      <c r="D22" t="s">
        <v>59</v>
      </c>
      <c r="H22" t="s">
        <v>57</v>
      </c>
      <c r="K22">
        <f t="array" ref="K22">CONCATENATE("update msg_out_fld_config set msg_fld_name = '",A22,"' where cd = '8CC8DE1AA89C275E22C86A82235DDCF5';")</f>
        <v>0</v>
      </c>
      <c r="M22">
        <f t="array" ref="M22">CONCATENATE("update msg_out_fld set description = '",D22,"' where tab_name = 'CATEGORYCODE_APSYS_VB' and fld_name = 'MUTDATUM';")</f>
        <v>0</v>
      </c>
    </row>
    <row r="23" spans="1:13">
      <c r="A23" t="s">
        <v>61</v>
      </c>
      <c r="C23" t="s">
        <v>37</v>
      </c>
      <c r="D23" t="s">
        <v>62</v>
      </c>
      <c r="E23" t="s">
        <v>39</v>
      </c>
      <c r="F23" t="s">
        <v>23</v>
      </c>
      <c r="H23" t="s">
        <v>60</v>
      </c>
      <c r="K23">
        <f t="array" ref="K23">CONCATENATE("update msg_out_fld_config set msg_fld_name = '",A23,"' where cd = 'F2C17DB1FC54A1BBB34A91AFA4392938';")</f>
        <v>0</v>
      </c>
      <c r="M23">
        <f t="array" ref="M23">CONCATENATE("update msg_out_fld set description = '",D23,"' where tab_name = 'CATEGORYCODE_APSYS_VB' and fld_name = 'MUTUSER';")</f>
        <v>0</v>
      </c>
    </row>
    <row r="24" spans="1:13">
      <c r="A24" t="s">
        <v>992</v>
      </c>
      <c r="C24" t="s">
        <v>20</v>
      </c>
      <c r="D24" t="s">
        <v>993</v>
      </c>
      <c r="E24" t="s">
        <v>964</v>
      </c>
      <c r="F24" t="s">
        <v>23</v>
      </c>
      <c r="H24" t="s">
        <v>991</v>
      </c>
      <c r="K24">
        <f t="array" ref="K24">CONCATENATE("update msg_out_fld_config set msg_fld_name = '",A24,"' where cd = '6B7331ADCD6A54AC8B0C4036FC636E80';")</f>
        <v>0</v>
      </c>
      <c r="M24">
        <f t="array" ref="M24">CONCATENATE("update msg_out_fld set description = '",D24,"' where tab_name = 'CATEGORYCODE_APSYS_VB' and fld_name = 'CDCTGPTFSTMS';")</f>
        <v>0</v>
      </c>
    </row>
    <row r="25" spans="1:13">
      <c r="A25" t="s">
        <v>995</v>
      </c>
      <c r="C25" t="s">
        <v>20</v>
      </c>
      <c r="D25" t="s">
        <v>996</v>
      </c>
      <c r="E25" t="s">
        <v>964</v>
      </c>
      <c r="F25" t="s">
        <v>23</v>
      </c>
      <c r="H25" t="s">
        <v>994</v>
      </c>
      <c r="K25">
        <f t="array" ref="K25">CONCATENATE("update msg_out_fld_config set msg_fld_name = '",A25,"' where cd = '48061217696CCD081126B5EDB371B747';")</f>
        <v>0</v>
      </c>
      <c r="M25">
        <f t="array" ref="M25">CONCATENATE("update msg_out_fld set description = '",D25,"' where tab_name = 'CATEGORYCODE_APSYS_VB' and fld_name = 'CDCTGPTFROUTORDS';")</f>
        <v>0</v>
      </c>
    </row>
    <row r="26" spans="1:13">
      <c r="A26" t="s">
        <v>894</v>
      </c>
      <c r="C26" t="s">
        <v>20</v>
      </c>
      <c r="D26" t="s">
        <v>998</v>
      </c>
      <c r="E26" t="s">
        <v>964</v>
      </c>
      <c r="F26" t="s">
        <v>23</v>
      </c>
      <c r="H26" t="s">
        <v>997</v>
      </c>
      <c r="K26">
        <f t="array" ref="K26">CONCATENATE("update msg_out_fld_config set msg_fld_name = '",A26,"' where cd = '081CAE3F6B6DC96B0C852B610DA64A27';")</f>
        <v>0</v>
      </c>
      <c r="M26">
        <f t="array" ref="M26">CONCATENATE("update msg_out_fld set description = '",D26,"' where tab_name = 'CATEGORYCODE_APSYS_VB' and fld_name = 'CDCTGPTFRISKS';")</f>
        <v>0</v>
      </c>
    </row>
    <row r="27" spans="1:13">
      <c r="A27" t="s">
        <v>1000</v>
      </c>
      <c r="C27" t="s">
        <v>20</v>
      </c>
      <c r="D27" t="s">
        <v>1001</v>
      </c>
      <c r="E27" t="s">
        <v>964</v>
      </c>
      <c r="F27" t="s">
        <v>23</v>
      </c>
      <c r="H27" t="s">
        <v>999</v>
      </c>
      <c r="K27">
        <f t="array" ref="K27">CONCATENATE("update msg_out_fld_config set msg_fld_name = '",A27,"' where cd = 'EC9CFD1E25B3921A58E07DEBA4A7317E';")</f>
        <v>0</v>
      </c>
      <c r="M27">
        <f t="array" ref="M27">CONCATENATE("update msg_out_fld set description = '",D27,"' where tab_name = 'CATEGORYCODE_APSYS_VB' and fld_name = 'CDCTGPTFSTEBRUTNETS';")</f>
        <v>0</v>
      </c>
    </row>
    <row r="28" spans="1:13">
      <c r="A28" t="s">
        <v>1003</v>
      </c>
      <c r="C28" t="s">
        <v>20</v>
      </c>
      <c r="D28" t="s">
        <v>1004</v>
      </c>
      <c r="E28" t="s">
        <v>964</v>
      </c>
      <c r="F28" t="s">
        <v>23</v>
      </c>
      <c r="H28" t="s">
        <v>1002</v>
      </c>
      <c r="K28">
        <f t="array" ref="K28">CONCATENATE("update msg_out_fld_config set msg_fld_name = '",A28,"' where cd = '2EB895825BA0A9D9BB88DD32351AE9B2';")</f>
        <v>0</v>
      </c>
      <c r="M28">
        <f t="array" ref="M28">CONCATENATE("update msg_out_fld set description = '",D28,"' where tab_name = 'CATEGORYCODE_APSYS_VB' and fld_name = 'CDCTGPTFSTES';")</f>
        <v>0</v>
      </c>
    </row>
    <row r="29" spans="1:13">
      <c r="A29" t="s">
        <v>1006</v>
      </c>
      <c r="C29" t="s">
        <v>20</v>
      </c>
      <c r="D29" t="s">
        <v>1007</v>
      </c>
      <c r="E29" t="s">
        <v>964</v>
      </c>
      <c r="F29" t="s">
        <v>23</v>
      </c>
      <c r="H29" t="s">
        <v>1005</v>
      </c>
      <c r="K29">
        <f t="array" ref="K29">CONCATENATE("update msg_out_fld_config set msg_fld_name = '",A29,"' where cd = '5DC4336D5136151F6E54BD480D52C0C7';")</f>
        <v>0</v>
      </c>
      <c r="M29">
        <f t="array" ref="M29">CONCATENATE("update msg_out_fld set description = '",D29,"' where tab_name = 'CATEGORYCODE_APSYS_VB' and fld_name = 'CDCTGPTFTAXINTS';")</f>
        <v>0</v>
      </c>
    </row>
    <row r="30" spans="1:13">
      <c r="A30" t="s">
        <v>1009</v>
      </c>
      <c r="C30" t="s">
        <v>20</v>
      </c>
      <c r="D30" t="s">
        <v>1010</v>
      </c>
      <c r="E30" t="s">
        <v>964</v>
      </c>
      <c r="F30" t="s">
        <v>23</v>
      </c>
      <c r="H30" t="s">
        <v>1008</v>
      </c>
      <c r="K30">
        <f t="array" ref="K30">CONCATENATE("update msg_out_fld_config set msg_fld_name = '",A30,"' where cd = 'AE0A40A47EED664ABDF2EE112E866735';")</f>
        <v>0</v>
      </c>
      <c r="M30">
        <f t="array" ref="M30">CONCATENATE("update msg_out_fld set description = '",D30,"' where tab_name = 'CATEGORYCODE_APSYS_VB' and fld_name = 'CDCTGPTFTRCS';")</f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cols>
    <col min="1" max="1" width="34.28515625" customWidth="1"/>
    <col min="2" max="2" width="4.28515625" customWidth="1"/>
    <col min="3" max="3" width="16.28515625" customWidth="1"/>
    <col min="4" max="4" width="34.28515625" customWidth="1"/>
    <col min="5" max="5" width="41.5703125" customWidth="1"/>
    <col min="6" max="6" width="10.28515625" customWidth="1"/>
    <col min="7" max="7" width="35.5703125" customWidth="1"/>
    <col min="8" max="8" width="34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5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1011</v>
      </c>
    </row>
    <row r="2" spans="1:13">
      <c r="A2" s="1" t="s">
        <v>1012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1013</v>
      </c>
      <c r="H6" t="s">
        <v>331</v>
      </c>
      <c r="K6">
        <f t="array" ref="K6">CONCATENATE("update msg_out_fld_config set msg_fld_name = '",A6,"' where cd = '8049DB7BA01656FAA431ECBD6E85FF3E';")</f>
        <v>0</v>
      </c>
      <c r="M6">
        <f t="array" ref="M6">CONCATENATE("update msg_out_fld set description = '",D6,"' where tab_name = 'KUNDENDOKUMENTE' and fld_name = 'DOKUMENTENNR';")</f>
        <v>0</v>
      </c>
    </row>
    <row r="7" spans="1:13">
      <c r="A7" t="s">
        <v>93</v>
      </c>
      <c r="C7" t="s">
        <v>90</v>
      </c>
      <c r="D7" t="s">
        <v>94</v>
      </c>
      <c r="H7" t="s">
        <v>92</v>
      </c>
      <c r="K7">
        <f t="array" ref="K7">CONCATENATE("update msg_out_fld_config set msg_fld_name = '",A7,"' where cd = '7734D0D837987582D19C3EB043314BF4';")</f>
        <v>0</v>
      </c>
      <c r="M7">
        <f t="array" ref="M7">CONCATENATE("update msg_out_fld set description = '",D7,"' where tab_name = 'KUNDENDOKUMENTE' and fld_name = 'AKTID';")</f>
        <v>0</v>
      </c>
    </row>
    <row r="8" spans="1:13">
      <c r="A8" t="s">
        <v>1014</v>
      </c>
      <c r="C8" t="s">
        <v>90</v>
      </c>
      <c r="D8" t="s">
        <v>91</v>
      </c>
      <c r="H8" t="s">
        <v>88</v>
      </c>
      <c r="K8">
        <f t="array" ref="K8">CONCATENATE("update msg_out_fld_config set msg_fld_name = '",A8,"' where cd = 'A10A154F748CAD976B4AEE9487DFE18B';")</f>
        <v>0</v>
      </c>
      <c r="M8">
        <f t="array" ref="M8">CONCATENATE("update msg_out_fld set description = '",D8,"' where tab_name = 'KUNDENDOKUMENTE' and fld_name = 'ADRESSID';")</f>
        <v>0</v>
      </c>
    </row>
    <row r="9" spans="1:13">
      <c r="A9" t="s">
        <v>656</v>
      </c>
      <c r="C9" t="s">
        <v>90</v>
      </c>
      <c r="D9" t="s">
        <v>1015</v>
      </c>
      <c r="H9" t="s">
        <v>655</v>
      </c>
      <c r="K9">
        <f t="array" ref="K9">CONCATENATE("update msg_out_fld_config set msg_fld_name = '",A9,"' where cd = 'E5A25C49310273425808644B78BAD18A';")</f>
        <v>0</v>
      </c>
      <c r="M9">
        <f t="array" ref="M9">CONCATENATE("update msg_out_fld set description = '",D9,"' where tab_name = 'KUNDENDOKUMENTE' and fld_name = 'APSYS_ERRI';")</f>
        <v>0</v>
      </c>
    </row>
    <row r="10" spans="1:13">
      <c r="A10" t="s">
        <v>1017</v>
      </c>
      <c r="C10" t="s">
        <v>90</v>
      </c>
      <c r="D10" t="s">
        <v>1018</v>
      </c>
      <c r="H10" t="s">
        <v>1016</v>
      </c>
      <c r="K10">
        <f t="array" ref="K10">CONCATENATE("update msg_out_fld_config set msg_fld_name = '",A10,"' where cd = 'EC30119199C98E63734FF58B22828E2A';")</f>
        <v>0</v>
      </c>
      <c r="M10">
        <f t="array" ref="M10">CONCATENATE("update msg_out_fld set description = '",D10,"' where tab_name = 'KUNDENDOKUMENTE' and fld_name = 'APSYS_INDI';")</f>
        <v>0</v>
      </c>
    </row>
    <row r="11" spans="1:13">
      <c r="A11" t="s">
        <v>659</v>
      </c>
      <c r="C11" t="s">
        <v>75</v>
      </c>
      <c r="D11" t="s">
        <v>660</v>
      </c>
      <c r="H11" t="s">
        <v>658</v>
      </c>
      <c r="K11">
        <f t="array" ref="K11">CONCATENATE("update msg_out_fld_config set msg_fld_name = '",A11,"' where cd = '04FE61C9833CDB207EEFCFD7247B88A6';")</f>
        <v>0</v>
      </c>
      <c r="M11">
        <f t="array" ref="M11">CONCATENATE("update msg_out_fld set description = '",D11,"' where tab_name = 'KUNDENDOKUMENTE' and fld_name = 'APSYS_INFO';")</f>
        <v>0</v>
      </c>
    </row>
    <row r="12" spans="1:13">
      <c r="A12" t="s">
        <v>663</v>
      </c>
      <c r="C12" t="s">
        <v>664</v>
      </c>
      <c r="D12" t="s">
        <v>1019</v>
      </c>
      <c r="E12" t="s">
        <v>666</v>
      </c>
      <c r="F12" t="s">
        <v>29</v>
      </c>
      <c r="G12" t="s">
        <v>667</v>
      </c>
      <c r="H12" t="s">
        <v>662</v>
      </c>
      <c r="K12">
        <f t="array" ref="K12">CONCATENATE("update msg_out_fld_config set msg_fld_name = '",A12,"' where cd = 'B48BD07849B2E2AF09B5085F0F618A2F';")</f>
        <v>0</v>
      </c>
      <c r="M12">
        <f t="array" ref="M12">CONCATENATE("update msg_out_fld set description = '",D12,"' where tab_name = 'KUNDENDOKUMENTE' and fld_name = 'APSYS_STATUS_OPEC';")</f>
        <v>0</v>
      </c>
    </row>
    <row r="13" spans="1:13">
      <c r="A13" t="s">
        <v>1021</v>
      </c>
      <c r="C13" t="s">
        <v>26</v>
      </c>
      <c r="D13" t="s">
        <v>1022</v>
      </c>
      <c r="E13" t="s">
        <v>1023</v>
      </c>
      <c r="F13" t="s">
        <v>29</v>
      </c>
      <c r="G13" t="s">
        <v>1024</v>
      </c>
      <c r="H13" t="s">
        <v>1020</v>
      </c>
      <c r="K13">
        <f t="array" ref="K13">CONCATENATE("update msg_out_fld_config set msg_fld_name = '",A13,"' where cd = 'B6C3FEA1E3C3BA59509B6A8E262CE9C5';")</f>
        <v>0</v>
      </c>
      <c r="M13">
        <f t="array" ref="M13">CONCATENATE("update msg_out_fld set description = '",D13,"' where tab_name = 'KUNDENDOKUMENTE' and fld_name = 'APSYS_CDSOUMBOLC';")</f>
        <v>0</v>
      </c>
    </row>
    <row r="14" spans="1:13">
      <c r="A14" t="s">
        <v>1026</v>
      </c>
      <c r="C14" t="s">
        <v>68</v>
      </c>
      <c r="D14" t="s">
        <v>1027</v>
      </c>
      <c r="E14" t="s">
        <v>1028</v>
      </c>
      <c r="F14" t="s">
        <v>23</v>
      </c>
      <c r="H14" t="s">
        <v>1025</v>
      </c>
      <c r="K14">
        <f t="array" ref="K14">CONCATENATE("update msg_out_fld_config set msg_fld_name = '",A14,"' where cd = 'A91C2C72A00EBB83B523080841DF2DCA';")</f>
        <v>0</v>
      </c>
      <c r="M14">
        <f t="array" ref="M14">CONCATENATE("update msg_out_fld set description = '",D14,"' where tab_name = 'KUNDENDOKUMENTE' and fld_name = 'BUSINESSSTATUS_CD';")</f>
        <v>0</v>
      </c>
    </row>
    <row r="15" spans="1:13">
      <c r="A15" t="s">
        <v>1030</v>
      </c>
      <c r="C15" t="s">
        <v>26</v>
      </c>
      <c r="D15" s="2" t="s">
        <v>1029</v>
      </c>
      <c r="E15" t="s">
        <v>28</v>
      </c>
      <c r="F15" t="s">
        <v>29</v>
      </c>
      <c r="G15" t="s">
        <v>30</v>
      </c>
      <c r="H15" t="s">
        <v>1029</v>
      </c>
      <c r="K15">
        <f t="array" ref="K15">CONCATENATE("update msg_out_fld_config set msg_fld_name = '",A15,"' where cd = '38CDBD59440E6C2F41451207A2C3812E';")</f>
        <v>0</v>
      </c>
      <c r="M15">
        <f t="array" ref="M15">CONCATENATE("update msg_out_fld set description = '",D15,"' where tab_name = 'KUNDENDOKUMENTE' and fld_name = 'COMPANY_BUSINESS_WITH_USA_CD';")</f>
        <v>0</v>
      </c>
    </row>
    <row r="16" spans="1:13">
      <c r="A16" t="s">
        <v>1032</v>
      </c>
      <c r="C16" t="s">
        <v>26</v>
      </c>
      <c r="D16" t="s">
        <v>1033</v>
      </c>
      <c r="E16" t="s">
        <v>28</v>
      </c>
      <c r="F16" t="s">
        <v>29</v>
      </c>
      <c r="G16" t="s">
        <v>30</v>
      </c>
      <c r="H16" t="s">
        <v>1031</v>
      </c>
      <c r="K16">
        <f t="array" ref="K16">CONCATENATE("update msg_out_fld_config set msg_fld_name = '",A16,"' where cd = '517AB42FCA861C3C1D5BD66049878AC4';")</f>
        <v>0</v>
      </c>
      <c r="M16">
        <f t="array" ref="M16">CONCATENATE("update msg_out_fld set description = '",D16,"' where tab_name = 'KUNDENDOKUMENTE' and fld_name = 'REKLAMIERT_CD';")</f>
        <v>0</v>
      </c>
    </row>
    <row r="17" spans="1:13">
      <c r="A17" t="s">
        <v>1035</v>
      </c>
      <c r="C17" t="s">
        <v>104</v>
      </c>
      <c r="D17" t="s">
        <v>1036</v>
      </c>
      <c r="H17" t="s">
        <v>1034</v>
      </c>
      <c r="K17">
        <f t="array" ref="K17">CONCATENATE("update msg_out_fld_config set msg_fld_name = '",A17,"' where cd = 'D99B68385110BEFD4B2F55FBAB434E03';")</f>
        <v>0</v>
      </c>
      <c r="M17">
        <f t="array" ref="M17">CONCATENATE("update msg_out_fld set description = '",D17,"' where tab_name = 'KUNDENDOKUMENTE' and fld_name = 'REKLAMIERTDAT';")</f>
        <v>0</v>
      </c>
    </row>
    <row r="18" spans="1:13">
      <c r="A18" t="s">
        <v>1038</v>
      </c>
      <c r="C18" t="s">
        <v>26</v>
      </c>
      <c r="D18" t="s">
        <v>1039</v>
      </c>
      <c r="E18" t="s">
        <v>28</v>
      </c>
      <c r="F18" t="s">
        <v>29</v>
      </c>
      <c r="G18" t="s">
        <v>30</v>
      </c>
      <c r="H18" t="s">
        <v>1037</v>
      </c>
      <c r="K18">
        <f t="array" ref="K18">CONCATENATE("update msg_out_fld_config set msg_fld_name = '",A18,"' where cd = '048DB0B306007B106F76C1A9F07DB634';")</f>
        <v>0</v>
      </c>
      <c r="M18">
        <f t="array" ref="M18">CONCATENATE("update msg_out_fld set description = '",D18,"' where tab_name = 'KUNDENDOKUMENTE' and fld_name = 'VERTRAG_CD';")</f>
        <v>0</v>
      </c>
    </row>
    <row r="19" spans="1:13">
      <c r="A19" t="s">
        <v>1041</v>
      </c>
      <c r="C19" t="s">
        <v>104</v>
      </c>
      <c r="D19" t="s">
        <v>1042</v>
      </c>
      <c r="H19" t="s">
        <v>1040</v>
      </c>
      <c r="K19">
        <f t="array" ref="K19">CONCATENATE("update msg_out_fld_config set msg_fld_name = '",A19,"' where cd = '48531CD1872FB9D4F77ECC13D870D74B';")</f>
        <v>0</v>
      </c>
      <c r="M19">
        <f t="array" ref="M19">CONCATENATE("update msg_out_fld set description = '",D19,"' where tab_name = 'KUNDENDOKUMENTE' and fld_name = 'VERTRAGSDAT';")</f>
        <v>0</v>
      </c>
    </row>
    <row r="20" spans="1:13">
      <c r="A20" t="s">
        <v>45</v>
      </c>
      <c r="C20" t="s">
        <v>33</v>
      </c>
      <c r="D20" t="s">
        <v>46</v>
      </c>
      <c r="H20" t="s">
        <v>44</v>
      </c>
      <c r="K20">
        <f t="array" ref="K20">CONCATENATE("update msg_out_fld_config set msg_fld_name = '",A20,"' where cd = '2FCA332C9B9B474194201E966DB6AE22';")</f>
        <v>0</v>
      </c>
      <c r="M20">
        <f t="array" ref="M20">CONCATENATE("update msg_out_fld set description = '",D20,"' where tab_name = 'KUNDENDOKUMENTE' and fld_name = 'CRTDATUM';")</f>
        <v>0</v>
      </c>
    </row>
    <row r="21" spans="1:13">
      <c r="A21" t="s">
        <v>48</v>
      </c>
      <c r="C21" t="s">
        <v>37</v>
      </c>
      <c r="D21" t="s">
        <v>49</v>
      </c>
      <c r="E21" t="s">
        <v>39</v>
      </c>
      <c r="F21" t="s">
        <v>23</v>
      </c>
      <c r="H21" t="s">
        <v>47</v>
      </c>
      <c r="K21">
        <f t="array" ref="K21">CONCATENATE("update msg_out_fld_config set msg_fld_name = '",A21,"' where cd = 'D703066E19A603B076BDA6B1E3B408A6';")</f>
        <v>0</v>
      </c>
      <c r="M21">
        <f t="array" ref="M21">CONCATENATE("update msg_out_fld set description = '",D21,"' where tab_name = 'KUNDENDOKUMENTE' and fld_name = 'CRTUSER';")</f>
        <v>0</v>
      </c>
    </row>
    <row r="22" spans="1:13">
      <c r="A22" t="s">
        <v>1044</v>
      </c>
      <c r="C22" t="s">
        <v>26</v>
      </c>
      <c r="D22" t="s">
        <v>1045</v>
      </c>
      <c r="E22" t="s">
        <v>28</v>
      </c>
      <c r="F22" t="s">
        <v>29</v>
      </c>
      <c r="G22" t="s">
        <v>30</v>
      </c>
      <c r="H22" t="s">
        <v>1043</v>
      </c>
      <c r="K22">
        <f t="array" ref="K22">CONCATENATE("update msg_out_fld_config set msg_fld_name = '",A22,"' where cd = '4619B11BB9AE22C3C88662D703D15D49';")</f>
        <v>0</v>
      </c>
      <c r="M22">
        <f t="array" ref="M22">CONCATENATE("update msg_out_fld set description = '",D22,"' where tab_name = 'KUNDENDOKUMENTE' and fld_name = 'ERLEDIGT_CD';")</f>
        <v>0</v>
      </c>
    </row>
    <row r="23" spans="1:13">
      <c r="A23" t="s">
        <v>1047</v>
      </c>
      <c r="C23" t="s">
        <v>104</v>
      </c>
      <c r="D23" t="s">
        <v>1048</v>
      </c>
      <c r="H23" t="s">
        <v>1046</v>
      </c>
      <c r="K23">
        <f t="array" ref="K23">CONCATENATE("update msg_out_fld_config set msg_fld_name = '",A23,"' where cd = '4DD819F51C8B54CFFA928D0C0244F503';")</f>
        <v>0</v>
      </c>
      <c r="M23">
        <f t="array" ref="M23">CONCATENATE("update msg_out_fld set description = '",D23,"' where tab_name = 'KUNDENDOKUMENTE' and fld_name = 'ERLEDIGTDAT';")</f>
        <v>0</v>
      </c>
    </row>
    <row r="24" spans="1:13">
      <c r="A24" t="s">
        <v>1050</v>
      </c>
      <c r="C24" t="s">
        <v>90</v>
      </c>
      <c r="D24" t="s">
        <v>1051</v>
      </c>
      <c r="H24" t="s">
        <v>1049</v>
      </c>
      <c r="K24">
        <f t="array" ref="K24">CONCATENATE("update msg_out_fld_config set msg_fld_name = '",A24,"' where cd = '1BEC8E6E13F74E7077F1ACDB005516F4';")</f>
        <v>0</v>
      </c>
      <c r="M24">
        <f t="array" ref="M24">CONCATENATE("update msg_out_fld set description = '",D24,"' where tab_name = 'KUNDENDOKUMENTE' and fld_name = 'EB_CONTRACTID';")</f>
        <v>0</v>
      </c>
    </row>
    <row r="25" spans="1:13">
      <c r="A25" t="s">
        <v>1053</v>
      </c>
      <c r="C25" t="s">
        <v>26</v>
      </c>
      <c r="D25" s="2" t="s">
        <v>1052</v>
      </c>
      <c r="E25" t="s">
        <v>28</v>
      </c>
      <c r="F25" t="s">
        <v>29</v>
      </c>
      <c r="G25" t="s">
        <v>30</v>
      </c>
      <c r="H25" t="s">
        <v>1052</v>
      </c>
      <c r="K25">
        <f t="array" ref="K25">CONCATENATE("update msg_out_fld_config set msg_fld_name = '",A25,"' where cd = '1D95454B38EC5416BF57CB5E8DE76A23';")</f>
        <v>0</v>
      </c>
      <c r="M25">
        <f t="array" ref="M25">CONCATENATE("update msg_out_fld set description = '",D25,"' where tab_name = 'KUNDENDOKUMENTE' and fld_name = 'EXEMPT_CD';")</f>
        <v>0</v>
      </c>
    </row>
    <row r="26" spans="1:13">
      <c r="A26" t="s">
        <v>1055</v>
      </c>
      <c r="C26" t="s">
        <v>104</v>
      </c>
      <c r="D26" t="s">
        <v>1056</v>
      </c>
      <c r="H26" t="s">
        <v>1054</v>
      </c>
      <c r="K26">
        <f t="array" ref="K26">CONCATENATE("update msg_out_fld_config set msg_fld_name = '",A26,"' where cd = '0825B664A98BCD364996CC87FDADCA03';")</f>
        <v>0</v>
      </c>
      <c r="M26">
        <f t="array" ref="M26">CONCATENATE("update msg_out_fld set description = '",D26,"' where tab_name = 'KUNDENDOKUMENTE' and fld_name = 'ABLAUFDATUM';")</f>
        <v>0</v>
      </c>
    </row>
    <row r="27" spans="1:13">
      <c r="A27" t="s">
        <v>1058</v>
      </c>
      <c r="C27" t="s">
        <v>26</v>
      </c>
      <c r="D27" s="2" t="s">
        <v>1057</v>
      </c>
      <c r="E27" t="s">
        <v>28</v>
      </c>
      <c r="F27" t="s">
        <v>29</v>
      </c>
      <c r="G27" t="s">
        <v>30</v>
      </c>
      <c r="H27" t="s">
        <v>1057</v>
      </c>
      <c r="K27">
        <f t="array" ref="K27">CONCATENATE("update msg_out_fld_config set msg_fld_name = '",A27,"' where cd = '2B2294A0E70CF088C6D0977223977EF9';")</f>
        <v>0</v>
      </c>
      <c r="M27">
        <f t="array" ref="M27">CONCATENATE("update msg_out_fld set description = '",D27,"' where tab_name = 'KUNDENDOKUMENTE' and fld_name = 'FATCA_EXEMPT_CD';")</f>
        <v>0</v>
      </c>
    </row>
    <row r="28" spans="1:13">
      <c r="A28" t="s">
        <v>1060</v>
      </c>
      <c r="C28" t="s">
        <v>68</v>
      </c>
      <c r="D28" t="s">
        <v>1061</v>
      </c>
      <c r="E28" t="s">
        <v>1062</v>
      </c>
      <c r="F28" t="s">
        <v>29</v>
      </c>
      <c r="G28" t="s">
        <v>1063</v>
      </c>
      <c r="H28" t="s">
        <v>1059</v>
      </c>
      <c r="K28">
        <f t="array" ref="K28">CONCATENATE("update msg_out_fld_config set msg_fld_name = '",A28,"' where cd = '56ABB21FD8BA3B48E091831B51E370D4';")</f>
        <v>0</v>
      </c>
      <c r="M28">
        <f t="array" ref="M28">CONCATENATE("update msg_out_fld set description = '",D28,"' where tab_name = 'KUNDENDOKUMENTE' and fld_name = 'UDFSTATUS_CD';")</f>
        <v>0</v>
      </c>
    </row>
    <row r="29" spans="1:13">
      <c r="A29" t="s">
        <v>1065</v>
      </c>
      <c r="C29" t="s">
        <v>37</v>
      </c>
      <c r="D29" t="s">
        <v>1066</v>
      </c>
      <c r="H29" t="s">
        <v>1064</v>
      </c>
      <c r="K29">
        <f t="array" ref="K29">CONCATENATE("update msg_out_fld_config set msg_fld_name = '",A29,"' where cd = '5143067552E0AAB464F4913620DADC6F';")</f>
        <v>0</v>
      </c>
      <c r="M29">
        <f t="array" ref="M29">CONCATENATE("update msg_out_fld set description = '",D29,"' where tab_name = 'KUNDENDOKUMENTE' and fld_name = 'AUSWEISNUMMER';")</f>
        <v>0</v>
      </c>
    </row>
    <row r="30" spans="1:13">
      <c r="A30" t="s">
        <v>1067</v>
      </c>
      <c r="C30" t="s">
        <v>90</v>
      </c>
      <c r="D30" t="s">
        <v>127</v>
      </c>
      <c r="H30" t="s">
        <v>125</v>
      </c>
      <c r="K30">
        <f t="array" ref="K30">CONCATENATE("update msg_out_fld_config set msg_fld_name = '",A30,"' where cd = 'EC9B8F2401A96FF9681B23A8A7AA63B2';")</f>
        <v>0</v>
      </c>
      <c r="M30">
        <f t="array" ref="M30">CONCATENATE("update msg_out_fld set description = '",D30,"' where tab_name = 'KUNDENDOKUMENTE' and fld_name = 'PERSONID';")</f>
        <v>0</v>
      </c>
    </row>
    <row r="31" spans="1:13">
      <c r="A31" t="s">
        <v>1069</v>
      </c>
      <c r="C31" t="s">
        <v>26</v>
      </c>
      <c r="D31" s="2" t="s">
        <v>1068</v>
      </c>
      <c r="E31" t="s">
        <v>28</v>
      </c>
      <c r="F31" t="s">
        <v>29</v>
      </c>
      <c r="G31" t="s">
        <v>30</v>
      </c>
      <c r="H31" t="s">
        <v>1068</v>
      </c>
      <c r="K31">
        <f t="array" ref="K31">CONCATENATE("update msg_out_fld_config set msg_fld_name = '",A31,"' where cd = '11E6AA148C834EA71A6DA468A4BEE767';")</f>
        <v>0</v>
      </c>
      <c r="M31">
        <f t="array" ref="M31">CONCATENATE("update msg_out_fld set description = '",D31,"' where tab_name = 'KUNDENDOKUMENTE' and fld_name = 'IS_DISREGARDED_ENTITY_CD';")</f>
        <v>0</v>
      </c>
    </row>
    <row r="32" spans="1:13">
      <c r="A32" t="s">
        <v>1071</v>
      </c>
      <c r="C32" t="s">
        <v>26</v>
      </c>
      <c r="D32" s="2" t="s">
        <v>1070</v>
      </c>
      <c r="E32" t="s">
        <v>28</v>
      </c>
      <c r="F32" t="s">
        <v>29</v>
      </c>
      <c r="G32" t="s">
        <v>30</v>
      </c>
      <c r="H32" t="s">
        <v>1070</v>
      </c>
      <c r="K32">
        <f t="array" ref="K32">CONCATENATE("update msg_out_fld_config set msg_fld_name = '",A32,"' where cd = '95B62C4109B31CECE4C7B302DCE09C10';")</f>
        <v>0</v>
      </c>
      <c r="M32">
        <f t="array" ref="M32">CONCATENATE("update msg_out_fld set description = '",D32,"' where tab_name = 'KUNDENDOKUMENTE' and fld_name = 'IS_GRANTOR_TRUST_CD';")</f>
        <v>0</v>
      </c>
    </row>
    <row r="33" spans="1:13">
      <c r="A33" t="s">
        <v>1073</v>
      </c>
      <c r="C33" t="s">
        <v>104</v>
      </c>
      <c r="D33" t="s">
        <v>1074</v>
      </c>
      <c r="H33" t="s">
        <v>1072</v>
      </c>
      <c r="K33">
        <f t="array" ref="K33">CONCATENATE("update msg_out_fld_config set msg_fld_name = '",A33,"' where cd = '9F12CE59DFF883209C90609CCDF96A7F';")</f>
        <v>0</v>
      </c>
      <c r="M33">
        <f t="array" ref="M33">CONCATENATE("update msg_out_fld set description = '",D33,"' where tab_name = 'KUNDENDOKUMENTE' and fld_name = 'AUSSTELLDATUM';")</f>
        <v>0</v>
      </c>
    </row>
    <row r="34" spans="1:13">
      <c r="A34" t="s">
        <v>1076</v>
      </c>
      <c r="C34" t="s">
        <v>42</v>
      </c>
      <c r="D34" t="s">
        <v>1077</v>
      </c>
      <c r="H34" t="s">
        <v>1075</v>
      </c>
      <c r="K34">
        <f t="array" ref="K34">CONCATENATE("update msg_out_fld_config set msg_fld_name = '",A34,"' where cd = 'A9CDDF7AF8474C1029D2266A5C88188F';")</f>
        <v>0</v>
      </c>
      <c r="M34">
        <f t="array" ref="M34">CONCATENATE("update msg_out_fld set description = '",D34,"' where tab_name = 'KUNDENDOKUMENTE' and fld_name = 'AUSSTELLER';")</f>
        <v>0</v>
      </c>
    </row>
    <row r="35" spans="1:13">
      <c r="A35" t="s">
        <v>1079</v>
      </c>
      <c r="C35" t="s">
        <v>26</v>
      </c>
      <c r="D35" s="2" t="s">
        <v>1078</v>
      </c>
      <c r="E35" t="s">
        <v>28</v>
      </c>
      <c r="F35" t="s">
        <v>29</v>
      </c>
      <c r="G35" t="s">
        <v>30</v>
      </c>
      <c r="H35" t="s">
        <v>1078</v>
      </c>
      <c r="K35">
        <f t="array" ref="K35">CONCATENATE("update msg_out_fld_config set msg_fld_name = '",A35,"' where cd = '290C0A913E40220DFC0D75C7CC9C01D1';")</f>
        <v>0</v>
      </c>
      <c r="M35">
        <f t="array" ref="M35">CONCATENATE("update msg_out_fld set description = '",D35,"' where tab_name = 'KUNDENDOKUMENTE' and fld_name = 'TAXED_AS_CORPORATION_CD';")</f>
        <v>0</v>
      </c>
    </row>
    <row r="36" spans="1:13">
      <c r="A36" t="s">
        <v>1081</v>
      </c>
      <c r="C36" t="s">
        <v>26</v>
      </c>
      <c r="D36" t="s">
        <v>1082</v>
      </c>
      <c r="E36" t="s">
        <v>28</v>
      </c>
      <c r="F36" t="s">
        <v>29</v>
      </c>
      <c r="G36" t="s">
        <v>30</v>
      </c>
      <c r="H36" t="s">
        <v>1080</v>
      </c>
      <c r="K36">
        <f t="array" ref="K36">CONCATENATE("update msg_out_fld_config set msg_fld_name = '",A36,"' where cd = '8AF8F0FCE1CE79E3699F968FC969116A';")</f>
        <v>0</v>
      </c>
      <c r="M36">
        <f t="array" ref="M36">CONCATENATE("update msg_out_fld set description = '",D36,"' where tab_name = 'KUNDENDOKUMENTE' and fld_name = 'MANDATORY_CD';")</f>
        <v>0</v>
      </c>
    </row>
    <row r="37" spans="1:13">
      <c r="A37" t="s">
        <v>58</v>
      </c>
      <c r="C37" t="s">
        <v>33</v>
      </c>
      <c r="D37" t="s">
        <v>1083</v>
      </c>
      <c r="H37" t="s">
        <v>57</v>
      </c>
      <c r="K37">
        <f t="array" ref="K37">CONCATENATE("update msg_out_fld_config set msg_fld_name = '",A37,"' where cd = '9EA4D237263169A2EDCA3FCD5301DB44';")</f>
        <v>0</v>
      </c>
      <c r="M37">
        <f t="array" ref="M37">CONCATENATE("update msg_out_fld set description = '",D37,"' where tab_name = 'KUNDENDOKUMENTE' and fld_name = 'MUTDATUM';")</f>
        <v>0</v>
      </c>
    </row>
    <row r="38" spans="1:13">
      <c r="A38" t="s">
        <v>61</v>
      </c>
      <c r="C38" t="s">
        <v>37</v>
      </c>
      <c r="D38" t="s">
        <v>1084</v>
      </c>
      <c r="E38" t="s">
        <v>39</v>
      </c>
      <c r="F38" t="s">
        <v>23</v>
      </c>
      <c r="H38" t="s">
        <v>60</v>
      </c>
      <c r="K38">
        <f t="array" ref="K38">CONCATENATE("update msg_out_fld_config set msg_fld_name = '",A38,"' where cd = 'CEDD92EB6E48A697FC7A103BC409C1A5';")</f>
        <v>0</v>
      </c>
      <c r="M38">
        <f t="array" ref="M38">CONCATENATE("update msg_out_fld set description = '",D38,"' where tab_name = 'KUNDENDOKUMENTE' and fld_name = 'MUTUSER';")</f>
        <v>0</v>
      </c>
    </row>
    <row r="39" spans="1:13">
      <c r="A39" t="s">
        <v>843</v>
      </c>
      <c r="C39" t="s">
        <v>20</v>
      </c>
      <c r="D39" t="s">
        <v>1086</v>
      </c>
      <c r="E39" t="s">
        <v>112</v>
      </c>
      <c r="F39" t="s">
        <v>23</v>
      </c>
      <c r="H39" t="s">
        <v>1085</v>
      </c>
      <c r="K39">
        <f t="array" ref="K39">CONCATENATE("update msg_out_fld_config set msg_fld_name = '",A39,"' where cd = '8D898BD01563B1EC19E545D823D8A773';")</f>
        <v>0</v>
      </c>
      <c r="M39">
        <f t="array" ref="M39">CONCATENATE("update msg_out_fld set description = '",D39,"' where tab_name = 'KUNDENDOKUMENTE' and fld_name = 'NATION_CD';")</f>
        <v>0</v>
      </c>
    </row>
    <row r="40" spans="1:13">
      <c r="A40" t="s">
        <v>170</v>
      </c>
      <c r="C40" t="s">
        <v>1087</v>
      </c>
      <c r="D40" t="s">
        <v>1088</v>
      </c>
      <c r="H40" t="s">
        <v>169</v>
      </c>
      <c r="K40">
        <f t="array" ref="K40">CONCATENATE("update msg_out_fld_config set msg_fld_name = '",A40,"' where cd = '9514FE0B8C56078955519F2ED874307F';")</f>
        <v>0</v>
      </c>
      <c r="M40">
        <f t="array" ref="M40">CONCATENATE("update msg_out_fld set description = '",D40,"' where tab_name = 'KUNDENDOKUMENTE' and fld_name = 'BEMERKUNG';")</f>
        <v>0</v>
      </c>
    </row>
    <row r="41" spans="1:13">
      <c r="A41" t="s">
        <v>1090</v>
      </c>
      <c r="C41" t="s">
        <v>26</v>
      </c>
      <c r="D41" t="s">
        <v>1091</v>
      </c>
      <c r="E41" t="s">
        <v>28</v>
      </c>
      <c r="F41" t="s">
        <v>29</v>
      </c>
      <c r="G41" t="s">
        <v>30</v>
      </c>
      <c r="H41" t="s">
        <v>1089</v>
      </c>
      <c r="K41">
        <f t="array" ref="K41">CONCATENATE("update msg_out_fld_config set msg_fld_name = '",A41,"' where cd = '8742095C918CEEEAE2EF6132869942DD';")</f>
        <v>0</v>
      </c>
      <c r="M41">
        <f t="array" ref="M41">CONCATENATE("update msg_out_fld set description = '",D41,"' where tab_name = 'KUNDENDOKUMENTE' and fld_name = 'ANDERE_CD';")</f>
        <v>0</v>
      </c>
    </row>
    <row r="42" spans="1:13">
      <c r="A42" t="s">
        <v>1093</v>
      </c>
      <c r="C42" t="s">
        <v>42</v>
      </c>
      <c r="D42" t="s">
        <v>1094</v>
      </c>
      <c r="H42" t="s">
        <v>1092</v>
      </c>
      <c r="K42">
        <f t="array" ref="K42">CONCATENATE("update msg_out_fld_config set msg_fld_name = '",A42,"' where cd = 'F48C37C47F453B54A9AC9008B2156E0D';")</f>
        <v>0</v>
      </c>
      <c r="M42">
        <f t="array" ref="M42">CONCATENATE("update msg_out_fld set description = '",D42,"' where tab_name = 'KUNDENDOKUMENTE' and fld_name = 'PENDENZBEMERKUNG';")</f>
        <v>0</v>
      </c>
    </row>
    <row r="43" spans="1:13">
      <c r="A43" t="s">
        <v>1096</v>
      </c>
      <c r="C43" t="s">
        <v>68</v>
      </c>
      <c r="D43" t="s">
        <v>1097</v>
      </c>
      <c r="E43" t="s">
        <v>1098</v>
      </c>
      <c r="F43" t="s">
        <v>29</v>
      </c>
      <c r="G43" t="s">
        <v>1099</v>
      </c>
      <c r="H43" t="s">
        <v>1095</v>
      </c>
      <c r="K43">
        <f t="array" ref="K43">CONCATENATE("update msg_out_fld_config set msg_fld_name = '",A43,"' where cd = '46B98933EA9A3357BAB23671BDD25ABF';")</f>
        <v>0</v>
      </c>
      <c r="M43">
        <f t="array" ref="M43">CONCATENATE("update msg_out_fld set description = '",D43,"' where tab_name = 'KUNDENDOKUMENTE' and fld_name = 'PENDENZSTATUS_CD';")</f>
        <v>0</v>
      </c>
    </row>
    <row r="44" spans="1:13">
      <c r="A44" t="s">
        <v>1101</v>
      </c>
      <c r="C44" t="s">
        <v>26</v>
      </c>
      <c r="D44" t="s">
        <v>1102</v>
      </c>
      <c r="E44" t="s">
        <v>28</v>
      </c>
      <c r="F44" t="s">
        <v>29</v>
      </c>
      <c r="G44" t="s">
        <v>30</v>
      </c>
      <c r="H44" t="s">
        <v>1100</v>
      </c>
      <c r="K44">
        <f t="array" ref="K44">CONCATENATE("update msg_out_fld_config set msg_fld_name = '",A44,"' where cd = '0E1201A3F64D2964801EED877738320F';")</f>
        <v>0</v>
      </c>
      <c r="M44">
        <f t="array" ref="M44">CONCATENATE("update msg_out_fld set description = '",D44,"' where tab_name = 'KUNDENDOKUMENTE' and fld_name = 'WIEDERVORLAGE_CD';")</f>
        <v>0</v>
      </c>
    </row>
    <row r="45" spans="1:13">
      <c r="A45" t="s">
        <v>1104</v>
      </c>
      <c r="C45" t="s">
        <v>104</v>
      </c>
      <c r="D45" t="s">
        <v>1105</v>
      </c>
      <c r="H45" t="s">
        <v>1103</v>
      </c>
      <c r="K45">
        <f t="array" ref="K45">CONCATENATE("update msg_out_fld_config set msg_fld_name = '",A45,"' where cd = '66A92A1244883C59A2994B7884A9A02C';")</f>
        <v>0</v>
      </c>
      <c r="M45">
        <f t="array" ref="M45">CONCATENATE("update msg_out_fld set description = '",D45,"' where tab_name = 'KUNDENDOKUMENTE' and fld_name = 'WIEDERVORLAGEDAT';")</f>
        <v>0</v>
      </c>
    </row>
    <row r="46" spans="1:13">
      <c r="A46" t="s">
        <v>1107</v>
      </c>
      <c r="C46" t="s">
        <v>68</v>
      </c>
      <c r="D46" t="s">
        <v>1108</v>
      </c>
      <c r="E46" t="s">
        <v>1109</v>
      </c>
      <c r="F46" t="s">
        <v>29</v>
      </c>
      <c r="G46" t="s">
        <v>1110</v>
      </c>
      <c r="H46" t="s">
        <v>1106</v>
      </c>
      <c r="K46">
        <f t="array" ref="K46">CONCATENATE("update msg_out_fld_config set msg_fld_name = '",A46,"' where cd = '7FEF9F12CDCF3213A999381CF207CEC9';")</f>
        <v>0</v>
      </c>
      <c r="M46">
        <f t="array" ref="M46">CONCATENATE("update msg_out_fld set description = '",D46,"' where tab_name = 'KUNDENDOKUMENTE' and fld_name = 'AUSLIEFERUNG_CD';")</f>
        <v>0</v>
      </c>
    </row>
    <row r="47" spans="1:13">
      <c r="A47" t="s">
        <v>1112</v>
      </c>
      <c r="C47" t="s">
        <v>104</v>
      </c>
      <c r="D47" s="2" t="s">
        <v>1111</v>
      </c>
      <c r="H47" t="s">
        <v>1111</v>
      </c>
      <c r="K47">
        <f t="array" ref="K47">CONCATENATE("update msg_out_fld_config set msg_fld_name = '",A47,"' where cd = 'E8136B320BE1C5E1AF85E37040DDDD63';")</f>
        <v>0</v>
      </c>
      <c r="M47">
        <f t="array" ref="M47">CONCATENATE("update msg_out_fld set description = '",D47,"' where tab_name = 'KUNDENDOKUMENTE' and fld_name = 'RELEASE_YEAR';")</f>
        <v>0</v>
      </c>
    </row>
    <row r="48" spans="1:13">
      <c r="A48" t="s">
        <v>1114</v>
      </c>
      <c r="C48" t="s">
        <v>26</v>
      </c>
      <c r="D48" s="2" t="s">
        <v>1113</v>
      </c>
      <c r="E48" t="s">
        <v>28</v>
      </c>
      <c r="F48" t="s">
        <v>29</v>
      </c>
      <c r="G48" t="s">
        <v>30</v>
      </c>
      <c r="H48" t="s">
        <v>1113</v>
      </c>
      <c r="K48">
        <f t="array" ref="K48">CONCATENATE("update msg_out_fld_config set msg_fld_name = '",A48,"' where cd = 'EE1C1BF04011200AB24128E412E7C707';")</f>
        <v>0</v>
      </c>
      <c r="M48">
        <f t="array" ref="M48">CONCATENATE("update msg_out_fld set description = '",D48,"' where tab_name = 'KUNDENDOKUMENTE' and fld_name = 'REQUEST_TO_APPLY_CDI_CD';")</f>
        <v>0</v>
      </c>
    </row>
    <row r="49" spans="1:13">
      <c r="A49" t="s">
        <v>1116</v>
      </c>
      <c r="C49" t="s">
        <v>16</v>
      </c>
      <c r="D49" t="s">
        <v>503</v>
      </c>
      <c r="E49" t="s">
        <v>336</v>
      </c>
      <c r="F49" t="s">
        <v>23</v>
      </c>
      <c r="H49" t="s">
        <v>1115</v>
      </c>
      <c r="K49">
        <f t="array" ref="K49">CONCATENATE("update msg_out_fld_config set msg_fld_name = '",A49,"' where cd = '9E2B5C4BCD90EF42AC110D432351445F';")</f>
        <v>0</v>
      </c>
      <c r="M49">
        <f t="array" ref="M49">CONCATENATE("update msg_out_fld set description = '",D49,"' where tab_name = 'KUNDENDOKUMENTE' and fld_name = 'ANGEFORDERT_CD';")</f>
        <v>0</v>
      </c>
    </row>
    <row r="50" spans="1:13">
      <c r="A50" t="s">
        <v>1118</v>
      </c>
      <c r="C50" t="s">
        <v>104</v>
      </c>
      <c r="D50" t="s">
        <v>1119</v>
      </c>
      <c r="H50" t="s">
        <v>1117</v>
      </c>
      <c r="K50">
        <f t="array" ref="K50">CONCATENATE("update msg_out_fld_config set msg_fld_name = '",A50,"' where cd = 'C3C16F612D9A4E878979787988E3488E';")</f>
        <v>0</v>
      </c>
      <c r="M50">
        <f t="array" ref="M50">CONCATENATE("update msg_out_fld set description = '",D50,"' where tab_name = 'KUNDENDOKUMENTE' and fld_name = 'ANGEFORDERTDAT';")</f>
        <v>0</v>
      </c>
    </row>
    <row r="51" spans="1:13">
      <c r="A51" t="s">
        <v>1121</v>
      </c>
      <c r="C51" t="s">
        <v>90</v>
      </c>
      <c r="D51" t="s">
        <v>1122</v>
      </c>
      <c r="H51" t="s">
        <v>1120</v>
      </c>
      <c r="K51">
        <f t="array" ref="K51">CONCATENATE("update msg_out_fld_config set msg_fld_name = '",A51,"' where cd = '0E9FB96C1E8A3E8D6857950F469013B4';")</f>
        <v>0</v>
      </c>
      <c r="M51">
        <f t="array" ref="M51">CONCATENATE("update msg_out_fld set description = '",D51,"' where tab_name = 'KUNDENDOKUMENTE' and fld_name = 'SAFENR';")</f>
        <v>0</v>
      </c>
    </row>
    <row r="52" spans="1:13">
      <c r="A52" t="s">
        <v>1124</v>
      </c>
      <c r="C52" t="s">
        <v>26</v>
      </c>
      <c r="D52" t="s">
        <v>1125</v>
      </c>
      <c r="E52" t="s">
        <v>28</v>
      </c>
      <c r="F52" t="s">
        <v>29</v>
      </c>
      <c r="G52" t="s">
        <v>30</v>
      </c>
      <c r="H52" t="s">
        <v>1123</v>
      </c>
      <c r="K52">
        <f t="array" ref="K52">CONCATENATE("update msg_out_fld_config set msg_fld_name = '",A52,"' where cd = '87A6F03B60A71EE22419D1DCCC7DE64A';")</f>
        <v>0</v>
      </c>
      <c r="M52">
        <f t="array" ref="M52">CONCATENATE("update msg_out_fld set description = '",D52,"' where tab_name = 'KUNDENDOKUMENTE' and fld_name = 'SELEKTIERT_CD';")</f>
        <v>0</v>
      </c>
    </row>
    <row r="53" spans="1:13">
      <c r="A53" t="s">
        <v>1127</v>
      </c>
      <c r="C53" t="s">
        <v>104</v>
      </c>
      <c r="D53" t="s">
        <v>1128</v>
      </c>
      <c r="H53" t="s">
        <v>1126</v>
      </c>
      <c r="K53">
        <f t="array" ref="K53">CONCATENATE("update msg_out_fld_config set msg_fld_name = '",A53,"' where cd = '09C6C21CCDBA82B5A565CFEAD18EE5FD';")</f>
        <v>0</v>
      </c>
      <c r="M53">
        <f t="array" ref="M53">CONCATENATE("update msg_out_fld set description = '",D53,"' where tab_name = 'KUNDENDOKUMENTE' and fld_name = 'SELEKTIERTDAT';")</f>
        <v>0</v>
      </c>
    </row>
    <row r="54" spans="1:13">
      <c r="A54" t="s">
        <v>1130</v>
      </c>
      <c r="C54" t="s">
        <v>20</v>
      </c>
      <c r="D54" t="s">
        <v>1131</v>
      </c>
      <c r="E54" t="s">
        <v>112</v>
      </c>
      <c r="F54" t="s">
        <v>23</v>
      </c>
      <c r="H54" t="s">
        <v>1129</v>
      </c>
      <c r="K54">
        <f t="array" ref="K54">CONCATENATE("update msg_out_fld_config set msg_fld_name = '",A54,"' where cd = 'FB379CD39236FCCADF7F11E0CD0B2DD8';")</f>
        <v>0</v>
      </c>
      <c r="M54">
        <f t="array" ref="M54">CONCATENATE("update msg_out_fld set description = '",D54,"' where tab_name = 'KUNDENDOKUMENTE' and fld_name = 'SELF_CERTIFICATION_LAND_CD';")</f>
        <v>0</v>
      </c>
    </row>
    <row r="55" spans="1:13">
      <c r="A55" t="s">
        <v>1133</v>
      </c>
      <c r="C55" t="s">
        <v>68</v>
      </c>
      <c r="D55" t="s">
        <v>1134</v>
      </c>
      <c r="E55" t="s">
        <v>1135</v>
      </c>
      <c r="F55" t="s">
        <v>23</v>
      </c>
      <c r="H55" t="s">
        <v>1132</v>
      </c>
      <c r="K55">
        <f t="array" ref="K55">CONCATENATE("update msg_out_fld_config set msg_fld_name = '",A55,"' where cd = '23DCE8D93F88F4F25E81B6AA5E91D2E7';")</f>
        <v>0</v>
      </c>
      <c r="M55">
        <f t="array" ref="M55">CONCATENATE("update msg_out_fld set description = '",D55,"' where tab_name = 'KUNDENDOKUMENTE' and fld_name = 'SELF_CERTIFICATION_TYPE_CD';")</f>
        <v>0</v>
      </c>
    </row>
    <row r="56" spans="1:13">
      <c r="A56" t="s">
        <v>1137</v>
      </c>
      <c r="C56" t="s">
        <v>104</v>
      </c>
      <c r="D56" t="s">
        <v>1138</v>
      </c>
      <c r="H56" t="s">
        <v>1136</v>
      </c>
      <c r="K56">
        <f t="array" ref="K56">CONCATENATE("update msg_out_fld_config set msg_fld_name = '",A56,"' where cd = '9975D6E2D6BCCBB8D2B6ACA13BC340CB';")</f>
        <v>0</v>
      </c>
      <c r="M56">
        <f t="array" ref="M56">CONCATENATE("update msg_out_fld set description = '",D56,"' where tab_name = 'KUNDENDOKUMENTE' and fld_name = 'VERSANDDAT';")</f>
        <v>0</v>
      </c>
    </row>
    <row r="57" spans="1:13">
      <c r="A57" t="s">
        <v>1139</v>
      </c>
      <c r="C57" t="s">
        <v>26</v>
      </c>
      <c r="D57" t="s">
        <v>1140</v>
      </c>
      <c r="E57" t="s">
        <v>28</v>
      </c>
      <c r="F57" t="s">
        <v>29</v>
      </c>
      <c r="G57" t="s">
        <v>30</v>
      </c>
      <c r="H57" t="s">
        <v>461</v>
      </c>
      <c r="K57">
        <f t="array" ref="K57">CONCATENATE("update msg_out_fld_config set msg_fld_name = '",A57,"' where cd = '8CA7F1EB514F339D0B984B5A3F325496';")</f>
        <v>0</v>
      </c>
      <c r="M57">
        <f t="array" ref="M57">CONCATENATE("update msg_out_fld set description = '",D57,"' where tab_name = 'KUNDENDOKUMENTE' and fld_name = 'VERSAND_CD';")</f>
        <v>0</v>
      </c>
    </row>
    <row r="58" spans="1:13">
      <c r="A58" t="s">
        <v>1142</v>
      </c>
      <c r="C58" t="s">
        <v>104</v>
      </c>
      <c r="D58" s="2" t="s">
        <v>1141</v>
      </c>
      <c r="H58" t="s">
        <v>1141</v>
      </c>
      <c r="K58">
        <f t="array" ref="K58">CONCATENATE("update msg_out_fld_config set msg_fld_name = '",A58,"' where cd = 'F217D079FC07FEF44085CD3E875B7B5E';")</f>
        <v>0</v>
      </c>
      <c r="M58">
        <f t="array" ref="M58">CONCATENATE("update msg_out_fld set description = '",D58,"' where tab_name = 'KUNDENDOKUMENTE' and fld_name = 'DATE_OF_SIGNATURE';")</f>
        <v>0</v>
      </c>
    </row>
    <row r="59" spans="1:13">
      <c r="A59" t="s">
        <v>1144</v>
      </c>
      <c r="C59" t="s">
        <v>26</v>
      </c>
      <c r="D59" t="s">
        <v>1145</v>
      </c>
      <c r="E59" t="s">
        <v>28</v>
      </c>
      <c r="F59" t="s">
        <v>29</v>
      </c>
      <c r="G59" t="s">
        <v>30</v>
      </c>
      <c r="H59" t="s">
        <v>1143</v>
      </c>
      <c r="K59">
        <f t="array" ref="K59">CONCATENATE("update msg_out_fld_config set msg_fld_name = '",A59,"' where cd = '0F467CF7FD5B2663D889BC730830BADE';")</f>
        <v>0</v>
      </c>
      <c r="M59">
        <f t="array" ref="M59">CONCATENATE("update msg_out_fld set description = '",D59,"' where tab_name = 'KUNDENDOKUMENTE' and fld_name = 'UNTERSCHRIEBEN_CD';")</f>
        <v>0</v>
      </c>
    </row>
    <row r="60" spans="1:13">
      <c r="A60" t="s">
        <v>1147</v>
      </c>
      <c r="C60" t="s">
        <v>104</v>
      </c>
      <c r="D60" t="s">
        <v>1148</v>
      </c>
      <c r="H60" t="s">
        <v>1146</v>
      </c>
      <c r="K60">
        <f t="array" ref="K60">CONCATENATE("update msg_out_fld_config set msg_fld_name = '",A60,"' where cd = '03258118368F9D9714EBBD7A14B5693F';")</f>
        <v>0</v>
      </c>
      <c r="M60">
        <f t="array" ref="M60">CONCATENATE("update msg_out_fld set description = '",D60,"' where tab_name = 'KUNDENDOKUMENTE' and fld_name = 'UNTERSCHRIFTDAT';")</f>
        <v>0</v>
      </c>
    </row>
    <row r="61" spans="1:13">
      <c r="A61" t="s">
        <v>1150</v>
      </c>
      <c r="C61" t="s">
        <v>171</v>
      </c>
      <c r="D61" t="s">
        <v>928</v>
      </c>
      <c r="H61" t="s">
        <v>1149</v>
      </c>
      <c r="K61">
        <f t="array" ref="K61">CONCATENATE("update msg_out_fld_config set msg_fld_name = '",A61,"' where cd = '19A47C9F8E669A71BD3C5C252CC1C449';")</f>
        <v>0</v>
      </c>
      <c r="M61">
        <f t="array" ref="M61">CONCATENATE("update msg_out_fld set description = '",D61,"' where tab_name = 'KUNDENDOKUMENTE' and fld_name = 'BEARBEITUNGSSTATUS';")</f>
        <v>0</v>
      </c>
    </row>
    <row r="62" spans="1:13">
      <c r="A62" t="s">
        <v>1152</v>
      </c>
      <c r="C62" t="s">
        <v>20</v>
      </c>
      <c r="D62" t="s">
        <v>1153</v>
      </c>
      <c r="E62" t="s">
        <v>1154</v>
      </c>
      <c r="F62" t="s">
        <v>23</v>
      </c>
      <c r="H62" t="s">
        <v>1151</v>
      </c>
      <c r="K62">
        <f t="array" ref="K62">CONCATENATE("update msg_out_fld_config set msg_fld_name = '",A62,"' where cd = '4AEAA27977503D02B25B0717AF433422';")</f>
        <v>0</v>
      </c>
      <c r="M62">
        <f t="array" ref="M62">CONCATENATE("update msg_out_fld set description = '",D62,"' where tab_name = 'KUNDENDOKUMENTE' and fld_name = 'DOKUMENTTYP_CD';")</f>
        <v>0</v>
      </c>
    </row>
    <row r="63" spans="1:13">
      <c r="A63" t="s">
        <v>932</v>
      </c>
      <c r="C63" t="s">
        <v>1155</v>
      </c>
      <c r="D63" t="s">
        <v>931</v>
      </c>
      <c r="H63" t="s">
        <v>931</v>
      </c>
      <c r="K63">
        <f t="array" ref="K63">CONCATENATE("update msg_out_fld_config set msg_fld_name = '",A63,"' where cd = '344130BF6CB90880892E7A20D76217EE';")</f>
        <v>0</v>
      </c>
      <c r="M63">
        <f t="array" ref="M63">CONCATENATE("update msg_out_fld set description = '",D63,"' where tab_name = 'KUNDENDOKUMENTE' and fld_name = 'TIN';")</f>
        <v>0</v>
      </c>
    </row>
    <row r="64" spans="1:13">
      <c r="A64" t="s">
        <v>1156</v>
      </c>
      <c r="C64" t="s">
        <v>68</v>
      </c>
      <c r="D64" t="s">
        <v>429</v>
      </c>
      <c r="E64" t="s">
        <v>1157</v>
      </c>
      <c r="F64" t="s">
        <v>23</v>
      </c>
      <c r="H64" t="s">
        <v>482</v>
      </c>
      <c r="K64">
        <f t="array" ref="K64">CONCATENATE("update msg_out_fld_config set msg_fld_name = '",A64,"' where cd = '44E0BB39B5F857EF2879B6ED46741940';")</f>
        <v>0</v>
      </c>
      <c r="M64">
        <f t="array" ref="M64">CONCATENATE("update msg_out_fld set description = '",D64,"' where tab_name = 'KUNDENDOKUMENTE' and fld_name = 'DOKUMENT_CD';")</f>
        <v>0</v>
      </c>
    </row>
    <row r="65" spans="1:13">
      <c r="A65" t="s">
        <v>193</v>
      </c>
      <c r="C65" t="s">
        <v>26</v>
      </c>
      <c r="D65" t="s">
        <v>194</v>
      </c>
      <c r="E65" t="s">
        <v>195</v>
      </c>
      <c r="F65" t="s">
        <v>29</v>
      </c>
      <c r="G65" t="s">
        <v>196</v>
      </c>
      <c r="H65" t="s">
        <v>192</v>
      </c>
      <c r="K65">
        <f t="array" ref="K65">CONCATENATE("update msg_out_fld_config set msg_fld_name = '",A65,"' where cd = '458E35AA13CBADB8572E0D50A6BF6A9F';")</f>
        <v>0</v>
      </c>
      <c r="M65">
        <f t="array" ref="M65">CONCATENATE("update msg_out_fld set description = '",D65,"' where tab_name = 'KUNDENDOKUMENTE' and fld_name = 'VALID_CD';")</f>
        <v>0</v>
      </c>
    </row>
    <row r="66" spans="1:13">
      <c r="A66" t="s">
        <v>198</v>
      </c>
      <c r="C66" t="s">
        <v>104</v>
      </c>
      <c r="D66" t="s">
        <v>1159</v>
      </c>
      <c r="H66" t="s">
        <v>1158</v>
      </c>
      <c r="K66">
        <f t="array" ref="K66">CONCATENATE("update msg_out_fld_config set msg_fld_name = '",A66,"' where cd = '2589D7615AC60138B17270C9055F84A2';")</f>
        <v>0</v>
      </c>
      <c r="M66">
        <f t="array" ref="M66">CONCATENATE("update msg_out_fld set description = '",D66,"' where tab_name = 'KUNDENDOKUMENTE' and fld_name = 'APSYS_DTVALIDL';")</f>
        <v>0</v>
      </c>
    </row>
    <row r="67" spans="1:13">
      <c r="A67" t="s">
        <v>201</v>
      </c>
      <c r="C67" t="s">
        <v>90</v>
      </c>
      <c r="D67" t="s">
        <v>202</v>
      </c>
      <c r="H67" t="s">
        <v>200</v>
      </c>
      <c r="K67">
        <f t="array" ref="K67">CONCATENATE("update msg_out_fld_config set msg_fld_name = '",A67,"' where cd = 'F0DB74DAD02DA919E74068AF66431A68';")</f>
        <v>0</v>
      </c>
      <c r="M67">
        <f t="array" ref="M67">CONCATENATE("update msg_out_fld set description = '",D67,"' where tab_name = 'KUNDENDOKUMENTE' and fld_name = 'VALIDID';")</f>
        <v>0</v>
      </c>
    </row>
    <row r="68" spans="1:13">
      <c r="A68" t="s">
        <v>1161</v>
      </c>
      <c r="C68" t="s">
        <v>68</v>
      </c>
      <c r="D68" t="s">
        <v>1162</v>
      </c>
      <c r="E68" t="s">
        <v>1163</v>
      </c>
      <c r="F68" t="s">
        <v>29</v>
      </c>
      <c r="G68" t="s">
        <v>1164</v>
      </c>
      <c r="H68" t="s">
        <v>1160</v>
      </c>
      <c r="K68">
        <f t="array" ref="K68">CONCATENATE("update msg_out_fld_config set msg_fld_name = '",A68,"' where cd = '499CF50CF5C7A4A1F6D900F6A77D6257';")</f>
        <v>0</v>
      </c>
      <c r="M68">
        <f t="array" ref="M68">CONCATENATE("update msg_out_fld set description = '",D68,"' where tab_name = 'KUNDENDOKUMENTE' and fld_name = 'GUELTIGKEITSBEREICH_CD';")</f>
        <v>0</v>
      </c>
    </row>
    <row r="69" spans="1:13">
      <c r="A69" t="s">
        <v>204</v>
      </c>
      <c r="C69" t="s">
        <v>104</v>
      </c>
      <c r="D69" t="s">
        <v>205</v>
      </c>
      <c r="H69" t="s">
        <v>1165</v>
      </c>
      <c r="K69">
        <f t="array" ref="K69">CONCATENATE("update msg_out_fld_config set msg_fld_name = '",A69,"' where cd = 'F45EA3E5886C853501C17EF061815F7F';")</f>
        <v>0</v>
      </c>
      <c r="M69">
        <f t="array" ref="M69">CONCATENATE("update msg_out_fld set description = '",D69,"' where tab_name = 'KUNDENDOKUMENTE' and fld_name = 'GUELTIGBISDAT';")</f>
        <v>0</v>
      </c>
    </row>
    <row r="70" spans="1:13">
      <c r="A70" t="s">
        <v>207</v>
      </c>
      <c r="C70" t="s">
        <v>37</v>
      </c>
      <c r="D70" t="s">
        <v>208</v>
      </c>
      <c r="E70" t="s">
        <v>39</v>
      </c>
      <c r="F70" t="s">
        <v>23</v>
      </c>
      <c r="H70" t="s">
        <v>206</v>
      </c>
      <c r="K70">
        <f t="array" ref="K70">CONCATENATE("update msg_out_fld_config set msg_fld_name = '",A70,"' where cd = '31745D9CEAAC5F815976FCBAE6FF524C';")</f>
        <v>0</v>
      </c>
      <c r="M70">
        <f t="array" ref="M70">CONCATENATE("update msg_out_fld set description = '",D70,"' where tab_name = 'KUNDENDOKUMENTE' and fld_name = 'VALIDUSER';")</f>
        <v>0</v>
      </c>
    </row>
    <row r="71" spans="1:13">
      <c r="A71" t="s">
        <v>1167</v>
      </c>
      <c r="C71" t="s">
        <v>90</v>
      </c>
      <c r="D71" t="s">
        <v>1168</v>
      </c>
      <c r="E71" t="s">
        <v>1169</v>
      </c>
      <c r="F71" t="s">
        <v>23</v>
      </c>
      <c r="H71" t="s">
        <v>1166</v>
      </c>
      <c r="K71">
        <f t="array" ref="K71">CONCATENATE("update msg_out_fld_config set msg_fld_name = '",A71,"' where cd = 'D5F443A560138513ACCDF6F32D6FFBE9';")</f>
        <v>0</v>
      </c>
      <c r="M71">
        <f t="array" ref="M71">CONCATENATE("update msg_out_fld set description = '",D71,"' where tab_name = 'KUNDENDOKUMENTE' and fld_name = 'VERSIONID';")</f>
        <v>0</v>
      </c>
    </row>
    <row r="72" spans="1:13">
      <c r="A72" t="s">
        <v>1171</v>
      </c>
      <c r="C72" t="s">
        <v>90</v>
      </c>
      <c r="D72" s="2" t="s">
        <v>1170</v>
      </c>
      <c r="H72" t="s">
        <v>1170</v>
      </c>
      <c r="K72">
        <f t="array" ref="K72">CONCATENATE("update msg_out_fld_config set msg_fld_name = '",A72,"' where cd = '1DD7CEFE4C445D4338CB60448D8A4F83';")</f>
        <v>0</v>
      </c>
      <c r="M72">
        <f t="array" ref="M72">CONCATENATE("update msg_out_fld set description = '",D72,"' where tab_name = 'KUNDENDOKUMENTE' and fld_name = 'WORST_PERCENTAGE';")</f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27.140625" customWidth="1"/>
    <col min="2" max="2" width="4.28515625" customWidth="1"/>
    <col min="3" max="3" width="16.28515625" customWidth="1"/>
    <col min="4" max="4" width="35.5703125" customWidth="1"/>
    <col min="5" max="5" width="34.28515625" customWidth="1"/>
    <col min="6" max="6" width="10.28515625" customWidth="1"/>
    <col min="7" max="7" width="29.5703125" customWidth="1"/>
    <col min="8" max="8" width="31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83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1172</v>
      </c>
    </row>
    <row r="2" spans="1:13">
      <c r="A2" s="1" t="s">
        <v>1173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1175</v>
      </c>
      <c r="H6" t="s">
        <v>1174</v>
      </c>
      <c r="K6">
        <f t="array" ref="K6">CONCATENATE("update msg_out_fld_config set msg_fld_name = '",A6,"' where cd = '1DC0FA6E116C6615EDF358FD311BF544';")</f>
        <v>0</v>
      </c>
      <c r="M6">
        <f t="array" ref="M6">CONCATENATE("update msg_out_fld set description = '",D6,"' where tab_name = 'KUNDENDOKUMENTEZUWEISUNG' and fld_name = 'KUNDENDOKUMENTEZUWEISUNGID';")</f>
        <v>0</v>
      </c>
    </row>
    <row r="7" spans="1:13">
      <c r="A7" t="s">
        <v>93</v>
      </c>
      <c r="C7" t="s">
        <v>90</v>
      </c>
      <c r="D7" t="s">
        <v>1176</v>
      </c>
      <c r="H7" t="s">
        <v>92</v>
      </c>
      <c r="K7">
        <f t="array" ref="K7">CONCATENATE("update msg_out_fld_config set msg_fld_name = '",A7,"' where cd = '67B704843C1652FD82AD48B33ACE9016';")</f>
        <v>0</v>
      </c>
      <c r="M7">
        <f t="array" ref="M7">CONCATENATE("update msg_out_fld set description = '",D7,"' where tab_name = 'KUNDENDOKUMENTEZUWEISUNG' and fld_name = 'AKTID';")</f>
        <v>0</v>
      </c>
    </row>
    <row r="8" spans="1:13">
      <c r="A8" t="s">
        <v>656</v>
      </c>
      <c r="C8" t="s">
        <v>90</v>
      </c>
      <c r="D8" t="s">
        <v>657</v>
      </c>
      <c r="H8" t="s">
        <v>655</v>
      </c>
      <c r="K8">
        <f t="array" ref="K8">CONCATENATE("update msg_out_fld_config set msg_fld_name = '",A8,"' where cd = 'ACF241A72CD31096DAEACC59DCEB6431';")</f>
        <v>0</v>
      </c>
      <c r="M8">
        <f t="array" ref="M8">CONCATENATE("update msg_out_fld set description = '",D8,"' where tab_name = 'KUNDENDOKUMENTEZUWEISUNG' and fld_name = 'APSYS_ERRI';")</f>
        <v>0</v>
      </c>
    </row>
    <row r="9" spans="1:13">
      <c r="A9" t="s">
        <v>1177</v>
      </c>
      <c r="C9" t="s">
        <v>90</v>
      </c>
      <c r="D9" t="s">
        <v>1178</v>
      </c>
      <c r="H9" t="s">
        <v>1016</v>
      </c>
      <c r="K9">
        <f t="array" ref="K9">CONCATENATE("update msg_out_fld_config set msg_fld_name = '",A9,"' where cd = '24405D132E19B73A176D7F7615F80C1A';")</f>
        <v>0</v>
      </c>
      <c r="M9">
        <f t="array" ref="M9">CONCATENATE("update msg_out_fld set description = '",D9,"' where tab_name = 'KUNDENDOKUMENTEZUWEISUNG' and fld_name = 'APSYS_INDI';")</f>
        <v>0</v>
      </c>
    </row>
    <row r="10" spans="1:13">
      <c r="A10" t="s">
        <v>663</v>
      </c>
      <c r="C10" t="s">
        <v>664</v>
      </c>
      <c r="D10" t="s">
        <v>665</v>
      </c>
      <c r="E10" t="s">
        <v>666</v>
      </c>
      <c r="F10" t="s">
        <v>29</v>
      </c>
      <c r="G10" t="s">
        <v>667</v>
      </c>
      <c r="H10" t="s">
        <v>662</v>
      </c>
      <c r="K10">
        <f t="array" ref="K10">CONCATENATE("update msg_out_fld_config set msg_fld_name = '",A10,"' where cd = '2089A808F21DD7953196A5AE32A2813C';")</f>
        <v>0</v>
      </c>
      <c r="M10">
        <f t="array" ref="M10">CONCATENATE("update msg_out_fld set description = '",D10,"' where tab_name = 'KUNDENDOKUMENTEZUWEISUNG' and fld_name = 'APSYS_STATUS_OPEC';")</f>
        <v>0</v>
      </c>
    </row>
    <row r="11" spans="1:13">
      <c r="A11" t="s">
        <v>1180</v>
      </c>
      <c r="C11" t="s">
        <v>26</v>
      </c>
      <c r="D11" t="s">
        <v>1181</v>
      </c>
      <c r="E11" t="s">
        <v>28</v>
      </c>
      <c r="F11" t="s">
        <v>29</v>
      </c>
      <c r="G11" t="s">
        <v>30</v>
      </c>
      <c r="H11" t="s">
        <v>1179</v>
      </c>
      <c r="K11">
        <f t="array" ref="K11">CONCATENATE("update msg_out_fld_config set msg_fld_name = '",A11,"' where cd = '5A6B0D6735174AED532075905CA34711';")</f>
        <v>0</v>
      </c>
      <c r="M11">
        <f t="array" ref="M11">CONCATENATE("update msg_out_fld set description = '",D11,"' where tab_name = 'KUNDENDOKUMENTEZUWEISUNG' and fld_name = 'BLOCK_SENDING_BOLLO_CD';")</f>
        <v>0</v>
      </c>
    </row>
    <row r="12" spans="1:13">
      <c r="A12" t="s">
        <v>1182</v>
      </c>
      <c r="C12" t="s">
        <v>90</v>
      </c>
      <c r="D12" t="s">
        <v>332</v>
      </c>
      <c r="E12" t="s">
        <v>1183</v>
      </c>
      <c r="H12" t="s">
        <v>331</v>
      </c>
      <c r="K12">
        <f t="array" ref="K12">CONCATENATE("update msg_out_fld_config set msg_fld_name = '",A12,"' where cd = 'AAA74702FA2814CC43B0C2F084CE0EB8';")</f>
        <v>0</v>
      </c>
      <c r="M12">
        <f t="array" ref="M12">CONCATENATE("update msg_out_fld set description = '",D12,"' where tab_name = 'KUNDENDOKUMENTEZUWEISUNG' and fld_name = 'DOKUMENTENNR';")</f>
        <v>0</v>
      </c>
    </row>
    <row r="13" spans="1:13">
      <c r="A13" t="s">
        <v>421</v>
      </c>
      <c r="C13" t="s">
        <v>90</v>
      </c>
      <c r="D13" t="s">
        <v>422</v>
      </c>
      <c r="E13" t="s">
        <v>1184</v>
      </c>
      <c r="H13" t="s">
        <v>420</v>
      </c>
      <c r="K13">
        <f t="array" ref="K13">CONCATENATE("update msg_out_fld_config set msg_fld_name = '",A13,"' where cd = 'BF4802942BD5221FE0575627340900D8';")</f>
        <v>0</v>
      </c>
      <c r="M13">
        <f t="array" ref="M13">CONCATENATE("update msg_out_fld set description = '",D13,"' where tab_name = 'KUNDENDOKUMENTEZUWEISUNG' and fld_name = 'KUNDENID';")</f>
        <v>0</v>
      </c>
    </row>
    <row r="14" spans="1:13">
      <c r="A14" t="s">
        <v>45</v>
      </c>
      <c r="C14" t="s">
        <v>33</v>
      </c>
      <c r="D14" t="s">
        <v>46</v>
      </c>
      <c r="H14" t="s">
        <v>44</v>
      </c>
      <c r="K14">
        <f t="array" ref="K14">CONCATENATE("update msg_out_fld_config set msg_fld_name = '",A14,"' where cd = '8CE4A8F75EC629CDA7B977C1A82BF723';")</f>
        <v>0</v>
      </c>
      <c r="M14">
        <f t="array" ref="M14">CONCATENATE("update msg_out_fld set description = '",D14,"' where tab_name = 'KUNDENDOKUMENTEZUWEISUNG' and fld_name = 'CRTDATUM';")</f>
        <v>0</v>
      </c>
    </row>
    <row r="15" spans="1:13">
      <c r="A15" t="s">
        <v>48</v>
      </c>
      <c r="C15" t="s">
        <v>37</v>
      </c>
      <c r="D15" t="s">
        <v>49</v>
      </c>
      <c r="E15" t="s">
        <v>39</v>
      </c>
      <c r="F15" t="s">
        <v>23</v>
      </c>
      <c r="H15" t="s">
        <v>47</v>
      </c>
      <c r="K15">
        <f t="array" ref="K15">CONCATENATE("update msg_out_fld_config set msg_fld_name = '",A15,"' where cd = 'E0A21BEE5C516AC7D70DF2D830386E26';")</f>
        <v>0</v>
      </c>
      <c r="M15">
        <f t="array" ref="M15">CONCATENATE("update msg_out_fld set description = '",D15,"' where tab_name = 'KUNDENDOKUMENTEZUWEISUNG' and fld_name = 'CRTUSER';")</f>
        <v>0</v>
      </c>
    </row>
    <row r="16" spans="1:13">
      <c r="A16" t="s">
        <v>58</v>
      </c>
      <c r="C16" t="s">
        <v>33</v>
      </c>
      <c r="D16" t="s">
        <v>59</v>
      </c>
      <c r="H16" t="s">
        <v>57</v>
      </c>
      <c r="K16">
        <f t="array" ref="K16">CONCATENATE("update msg_out_fld_config set msg_fld_name = '",A16,"' where cd = 'CE298DA085A012ECBA93C718691F4B7B';")</f>
        <v>0</v>
      </c>
      <c r="M16">
        <f t="array" ref="M16">CONCATENATE("update msg_out_fld set description = '",D16,"' where tab_name = 'KUNDENDOKUMENTEZUWEISUNG' and fld_name = 'MUTDATUM';")</f>
        <v>0</v>
      </c>
    </row>
    <row r="17" spans="1:13">
      <c r="A17" t="s">
        <v>61</v>
      </c>
      <c r="C17" t="s">
        <v>37</v>
      </c>
      <c r="D17" t="s">
        <v>62</v>
      </c>
      <c r="E17" t="s">
        <v>39</v>
      </c>
      <c r="F17" t="s">
        <v>23</v>
      </c>
      <c r="H17" t="s">
        <v>60</v>
      </c>
      <c r="K17">
        <f t="array" ref="K17">CONCATENATE("update msg_out_fld_config set msg_fld_name = '",A17,"' where cd = '081172D53C84031C5F1EBA8F9B44B9FF';")</f>
        <v>0</v>
      </c>
      <c r="M17">
        <f t="array" ref="M17">CONCATENATE("update msg_out_fld set description = '",D17,"' where tab_name = 'KUNDENDOKUMENTEZUWEISUNG' and fld_name = 'MUTUSER';")</f>
        <v>0</v>
      </c>
    </row>
    <row r="18" spans="1:13">
      <c r="A18" t="s">
        <v>491</v>
      </c>
      <c r="C18" t="s">
        <v>90</v>
      </c>
      <c r="D18" t="s">
        <v>492</v>
      </c>
      <c r="E18" t="s">
        <v>493</v>
      </c>
      <c r="G18" t="s">
        <v>494</v>
      </c>
      <c r="H18" t="s">
        <v>490</v>
      </c>
      <c r="K18">
        <f t="array" ref="K18">CONCATENATE("update msg_out_fld_config set msg_fld_name = '",A18,"' where cd = '774215CCDEBEC6C83AF3685FFB32FB8E';")</f>
        <v>0</v>
      </c>
      <c r="M18">
        <f t="array" ref="M18">CONCATENATE("update msg_out_fld set description = '",D18,"' where tab_name = 'KUNDENDOKUMENTEZUWEISUNG' and fld_name = 'PORTFOLIONO';")</f>
        <v>0</v>
      </c>
    </row>
    <row r="19" spans="1:13">
      <c r="A19" t="s">
        <v>193</v>
      </c>
      <c r="C19" t="s">
        <v>26</v>
      </c>
      <c r="D19" t="s">
        <v>194</v>
      </c>
      <c r="E19" t="s">
        <v>195</v>
      </c>
      <c r="F19" t="s">
        <v>29</v>
      </c>
      <c r="G19" t="s">
        <v>196</v>
      </c>
      <c r="H19" t="s">
        <v>192</v>
      </c>
      <c r="K19">
        <f t="array" ref="K19">CONCATENATE("update msg_out_fld_config set msg_fld_name = '",A19,"' where cd = 'DBB08DE78E39F2625273EEF262102438';")</f>
        <v>0</v>
      </c>
      <c r="M19">
        <f t="array" ref="M19">CONCATENATE("update msg_out_fld set description = '",D19,"' where tab_name = 'KUNDENDOKUMENTEZUWEISUNG' and fld_name = 'VALID_CD';")</f>
        <v>0</v>
      </c>
    </row>
    <row r="20" spans="1:13">
      <c r="A20" t="s">
        <v>201</v>
      </c>
      <c r="C20" t="s">
        <v>90</v>
      </c>
      <c r="D20" t="s">
        <v>944</v>
      </c>
      <c r="H20" t="s">
        <v>200</v>
      </c>
      <c r="K20">
        <f t="array" ref="K20">CONCATENATE("update msg_out_fld_config set msg_fld_name = '",A20,"' where cd = 'FA5BE7CAAC358FF0ADAD7D227313D06D';")</f>
        <v>0</v>
      </c>
      <c r="M20">
        <f t="array" ref="M20">CONCATENATE("update msg_out_fld set description = '",D20,"' where tab_name = 'KUNDENDOKUMENTEZUWEISUNG' and fld_name = 'VALIDID';")</f>
        <v>0</v>
      </c>
    </row>
    <row r="21" spans="1:13">
      <c r="A21" t="s">
        <v>207</v>
      </c>
      <c r="C21" t="s">
        <v>37</v>
      </c>
      <c r="D21" t="s">
        <v>208</v>
      </c>
      <c r="E21" t="s">
        <v>39</v>
      </c>
      <c r="F21" t="s">
        <v>23</v>
      </c>
      <c r="H21" t="s">
        <v>206</v>
      </c>
      <c r="K21">
        <f t="array" ref="K21">CONCATENATE("update msg_out_fld_config set msg_fld_name = '",A21,"' where cd = '5873B5ECE7200ECAC2FA49DCA4D2F2FC';")</f>
        <v>0</v>
      </c>
      <c r="M21">
        <f t="array" ref="M21">CONCATENATE("update msg_out_fld set description = '",D21,"' where tab_name = 'KUNDENDOKUMENTEZUWEISUNG' and fld_name = 'VALIDUSER';")</f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9.85546875" customWidth="1"/>
    <col min="5" max="5" width="34.28515625" customWidth="1"/>
    <col min="6" max="6" width="10.28515625" customWidth="1"/>
    <col min="7" max="7" width="15.140625" customWidth="1"/>
    <col min="8" max="8" width="21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8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1185</v>
      </c>
    </row>
    <row r="2" spans="1:13">
      <c r="A2" s="1" t="s">
        <v>1186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1025</v>
      </c>
      <c r="K6">
        <f t="array" ref="K6">CONCATENATE("update msg_out_fld_config set msg_fld_name = '",A6,"' where cd = 'EC317FB4DADC84B10D38AB7BFD0E27FB';")</f>
        <v>0</v>
      </c>
      <c r="M6">
        <f t="array" ref="M6">CONCATENATE("update msg_out_fld set description = '",D6,"' where tab_name = 'KUNDENDOKUMENT_BUSINESSSTATUS' and fld_name = 'BUSINESSSTATUS_CD';")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'5FCE8CCC1D9A6DE9C815D3A15420B33D';")</f>
        <v>0</v>
      </c>
      <c r="M7">
        <f t="array" ref="M7">CONCATENATE("update msg_out_fld set description = '",D7,"' where tab_name = 'KUNDENDOKUMENT_BUSINESSSTATUS'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'1DBBA06448724D4718EF0F83FC495C8F';")</f>
        <v>0</v>
      </c>
      <c r="M8">
        <f t="array" ref="M8">CONCATENATE("update msg_out_fld set description = '",D8,"' where tab_name = 'KUNDENDOKUMENT_BUSINESSSTATUS'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'B3953C27F742D30F836CB9AD02348839';")</f>
        <v>0</v>
      </c>
      <c r="M9">
        <f t="array" ref="M9">CONCATENATE("update msg_out_fld set description = '",D9,"' where tab_name = 'KUNDENDOKUMENT_BUSINESSSTATUS'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'AC4CB74889DFC3423DE2A87CDBE71A7A';")</f>
        <v>0</v>
      </c>
      <c r="M10">
        <f t="array" ref="M10">CONCATENATE("update msg_out_fld set description = '",D10,"' where tab_name = 'KUNDENDOKUMENT_BUSINESSSTATUS'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'6D30A0BFC73DCF458071698B147489F0';")</f>
        <v>0</v>
      </c>
      <c r="M11">
        <f t="array" ref="M11">CONCATENATE("update msg_out_fld set description = '",D11,"' where tab_name = 'KUNDENDOKUMENT_BUSINESSSTATUS' and fld_name = 'CRTUSER';")</f>
        <v>0</v>
      </c>
    </row>
    <row r="12" spans="1:13">
      <c r="A12" t="s">
        <v>55</v>
      </c>
      <c r="C12" t="s">
        <v>37</v>
      </c>
      <c r="D12" t="s">
        <v>1027</v>
      </c>
      <c r="H12" t="s">
        <v>1187</v>
      </c>
      <c r="K12">
        <f t="array" ref="K12">CONCATENATE("update msg_out_fld_config set msg_fld_name = '",A12,"' where cd = '9B60F7D7F2FC746DCB2D631A80A54EAB';")</f>
        <v>0</v>
      </c>
      <c r="M12">
        <f t="array" ref="M12">CONCATENATE("update msg_out_fld set description = '",D12,"' where tab_name = 'KUNDENDOKUMENT_BUSINESSSTATUS' and fld_name = 'BUSINESSSTATUS';")</f>
        <v>0</v>
      </c>
    </row>
    <row r="13" spans="1:13">
      <c r="A13" t="s">
        <v>1189</v>
      </c>
      <c r="C13" t="s">
        <v>26</v>
      </c>
      <c r="D13" t="s">
        <v>1190</v>
      </c>
      <c r="E13" t="s">
        <v>28</v>
      </c>
      <c r="F13" t="s">
        <v>29</v>
      </c>
      <c r="G13" t="s">
        <v>30</v>
      </c>
      <c r="H13" t="s">
        <v>1188</v>
      </c>
      <c r="K13">
        <f t="array" ref="K13">CONCATENATE("update msg_out_fld_config set msg_fld_name = '",A13,"' where cd = '52689E8C97A31F329AA21AA051829400';")</f>
        <v>0</v>
      </c>
      <c r="M13">
        <f t="array" ref="M13">CONCATENATE("update msg_out_fld set description = '",D13,"' where tab_name = 'KUNDENDOKUMENT_BUSINESSSTATUS' and fld_name = 'INACTIVE_CD';")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'7059446850F81B40076B29C6A8E3939A';")</f>
        <v>0</v>
      </c>
      <c r="M14">
        <f t="array" ref="M14">CONCATENATE("update msg_out_fld set description = '",D14,"' where tab_name = 'KUNDENDOKUMENT_BUSINESSSTATUS'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'DE53B83F16C2124C9B921CCD4C019DA2';")</f>
        <v>0</v>
      </c>
      <c r="M15">
        <f t="array" ref="M15">CONCATENATE("update msg_out_fld set description = '",D15,"' where tab_name = 'KUNDENDOKUMENT_BUSINESSSTATUS' and fld_name = 'MUTUSER';")</f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31.85546875" customWidth="1"/>
    <col min="5" max="5" width="28.28515625" customWidth="1"/>
    <col min="6" max="6" width="6.7109375" customWidth="1"/>
    <col min="7" max="7" width="5.5703125" customWidth="1"/>
    <col min="8" max="8" width="22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2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1191</v>
      </c>
    </row>
    <row r="2" spans="1:13">
      <c r="A2" s="1" t="s">
        <v>1192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17</v>
      </c>
      <c r="H6" t="s">
        <v>1193</v>
      </c>
      <c r="K6">
        <f t="array" ref="K6">CONCATENATE("update msg_out_fld_config set msg_fld_name = '",A6,"' where cd = '4F034882E2E79A083FB4C4DA28F063F1';")</f>
        <v>0</v>
      </c>
      <c r="M6">
        <f t="array" ref="M6">CONCATENATE("update msg_out_fld set description = '",D6,"' where tab_name = 'KUNDESTICHWORT' and fld_name = 'KUNDESTICHWORTID';")</f>
        <v>0</v>
      </c>
    </row>
    <row r="7" spans="1:13">
      <c r="A7" t="s">
        <v>421</v>
      </c>
      <c r="C7" t="s">
        <v>90</v>
      </c>
      <c r="D7" t="s">
        <v>422</v>
      </c>
      <c r="E7" t="s">
        <v>1184</v>
      </c>
      <c r="H7" t="s">
        <v>420</v>
      </c>
      <c r="K7">
        <f t="array" ref="K7">CONCATENATE("update msg_out_fld_config set msg_fld_name = '",A7,"' where cd = 'EB9D179151DA96FE3DBE5004F9638E77';")</f>
        <v>0</v>
      </c>
      <c r="M7">
        <f t="array" ref="M7">CONCATENATE("update msg_out_fld set description = '",D7,"' where tab_name = 'KUNDESTICHWORT' and fld_name = 'KUNDENID';")</f>
        <v>0</v>
      </c>
    </row>
    <row r="8" spans="1:13">
      <c r="A8" t="s">
        <v>45</v>
      </c>
      <c r="C8" t="s">
        <v>33</v>
      </c>
      <c r="D8" t="s">
        <v>1194</v>
      </c>
      <c r="H8" t="s">
        <v>44</v>
      </c>
      <c r="K8">
        <f t="array" ref="K8">CONCATENATE("update msg_out_fld_config set msg_fld_name = '",A8,"' where cd = 'A107AE82566A81FE0CA1FEDBE6BBEA70';")</f>
        <v>0</v>
      </c>
      <c r="M8">
        <f t="array" ref="M8">CONCATENATE("update msg_out_fld set description = '",D8,"' where tab_name = 'KUNDESTICHWORT' and fld_name = 'CRTDATUM';")</f>
        <v>0</v>
      </c>
    </row>
    <row r="9" spans="1:13">
      <c r="A9" t="s">
        <v>48</v>
      </c>
      <c r="C9" t="s">
        <v>37</v>
      </c>
      <c r="D9" t="s">
        <v>1195</v>
      </c>
      <c r="E9" t="s">
        <v>39</v>
      </c>
      <c r="F9" t="s">
        <v>23</v>
      </c>
      <c r="H9" t="s">
        <v>47</v>
      </c>
      <c r="K9">
        <f t="array" ref="K9">CONCATENATE("update msg_out_fld_config set msg_fld_name = '",A9,"' where cd = '95243F156AB98D670937EE08CD0B1053';")</f>
        <v>0</v>
      </c>
      <c r="M9">
        <f t="array" ref="M9">CONCATENATE("update msg_out_fld set description = '",D9,"' where tab_name = 'KUNDESTICHWORT' and fld_name = 'CRTUSER';")</f>
        <v>0</v>
      </c>
    </row>
    <row r="10" spans="1:13">
      <c r="A10" t="s">
        <v>1197</v>
      </c>
      <c r="C10" t="s">
        <v>68</v>
      </c>
      <c r="D10" t="s">
        <v>1198</v>
      </c>
      <c r="E10" t="s">
        <v>1199</v>
      </c>
      <c r="F10" t="s">
        <v>23</v>
      </c>
      <c r="H10" t="s">
        <v>1196</v>
      </c>
      <c r="K10">
        <f t="array" ref="K10">CONCATENATE("update msg_out_fld_config set msg_fld_name = '",A10,"' where cd = 'E823A2C56D437F9A5E9E775FD38A6746';")</f>
        <v>0</v>
      </c>
      <c r="M10">
        <f t="array" ref="M10">CONCATENATE("update msg_out_fld set description = '",D10,"' where tab_name = 'KUNDESTICHWORT' and fld_name = 'STICHWORTGRUPPE_CD';")</f>
        <v>0</v>
      </c>
    </row>
    <row r="11" spans="1:13">
      <c r="A11" t="s">
        <v>1201</v>
      </c>
      <c r="C11" t="s">
        <v>42</v>
      </c>
      <c r="D11" t="s">
        <v>1202</v>
      </c>
      <c r="H11" t="s">
        <v>1200</v>
      </c>
      <c r="K11">
        <f t="array" ref="K11">CONCATENATE("update msg_out_fld_config set msg_fld_name = '",A11,"' where cd = '626243DCE9CAC92015F53FEBA81AFC23';")</f>
        <v>0</v>
      </c>
      <c r="M11">
        <f t="array" ref="M11">CONCATENATE("update msg_out_fld set description = '",D11,"' where tab_name = 'KUNDESTICHWORT' and fld_name = 'STICHWORT';")</f>
        <v>0</v>
      </c>
    </row>
    <row r="12" spans="1:13">
      <c r="A12" t="s">
        <v>58</v>
      </c>
      <c r="C12" t="s">
        <v>33</v>
      </c>
      <c r="D12" t="s">
        <v>1203</v>
      </c>
      <c r="H12" t="s">
        <v>57</v>
      </c>
      <c r="K12">
        <f t="array" ref="K12">CONCATENATE("update msg_out_fld_config set msg_fld_name = '",A12,"' where cd = 'D34A33F8AF9EDAE4FC0CD1D0CF3FDE5D';")</f>
        <v>0</v>
      </c>
      <c r="M12">
        <f t="array" ref="M12">CONCATENATE("update msg_out_fld set description = '",D12,"' where tab_name = 'KUNDESTICHWORT' and fld_name = 'MUTDATUM';")</f>
        <v>0</v>
      </c>
    </row>
    <row r="13" spans="1:13">
      <c r="A13" t="s">
        <v>61</v>
      </c>
      <c r="C13" t="s">
        <v>37</v>
      </c>
      <c r="D13" t="s">
        <v>1204</v>
      </c>
      <c r="E13" t="s">
        <v>39</v>
      </c>
      <c r="F13" t="s">
        <v>23</v>
      </c>
      <c r="H13" t="s">
        <v>60</v>
      </c>
      <c r="K13">
        <f t="array" ref="K13">CONCATENATE("update msg_out_fld_config set msg_fld_name = '",A13,"' where cd = '1D50094B6CEA2FA7B702E58A475AE667';")</f>
        <v>0</v>
      </c>
      <c r="M13">
        <f t="array" ref="M13">CONCATENATE("update msg_out_fld set description = '",D13,"' where tab_name = 'KUNDESTICHWORT' and fld_name = 'MUTUSER';")</f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22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2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1205</v>
      </c>
    </row>
    <row r="2" spans="1:13">
      <c r="A2" s="1" t="s">
        <v>1206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1196</v>
      </c>
      <c r="K6">
        <f t="array" ref="K6">CONCATENATE("update msg_out_fld_config set msg_fld_name = '",A6,"' where cd = '1C92940AE2FDA9734A05598319D946AA';")</f>
        <v>0</v>
      </c>
      <c r="M6">
        <f t="array" ref="M6">CONCATENATE("update msg_out_fld set description = '",D6,"' where tab_name = 'STICHWORTGRUPPE' and fld_name = 'STICHWORTGRUPPE_CD';")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'36C1FB2580B9DC9761D09F7161DDD7B9';")</f>
        <v>0</v>
      </c>
      <c r="M7">
        <f t="array" ref="M7">CONCATENATE("update msg_out_fld set description = '",D7,"' where tab_name = 'STICHWORTGRUPPE'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'A6A0D6D06CF73773BCCA1F4F4EE2FB7E';")</f>
        <v>0</v>
      </c>
      <c r="M8">
        <f t="array" ref="M8">CONCATENATE("update msg_out_fld set description = '",D8,"' where tab_name = 'STICHWORTGRUPPE'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'AE76F39F2C4E337E4E9CC3E75ADBC356';")</f>
        <v>0</v>
      </c>
      <c r="M9">
        <f t="array" ref="M9">CONCATENATE("update msg_out_fld set description = '",D9,"' where tab_name = 'STICHWORTGRUPPE'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'DF72BD18E07E33E967FCCBDD75F839A5';")</f>
        <v>0</v>
      </c>
      <c r="M10">
        <f t="array" ref="M10">CONCATENATE("update msg_out_fld set description = '",D10,"' where tab_name = 'STICHWORTGRUPPE'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'297DB0D55DBBE1BFFA9236FCE268024C';")</f>
        <v>0</v>
      </c>
      <c r="M11">
        <f t="array" ref="M11">CONCATENATE("update msg_out_fld set description = '",D11,"' where tab_name = 'STICHWORTGRUPPE' and fld_name = 'CRTUSER';")</f>
        <v>0</v>
      </c>
    </row>
    <row r="12" spans="1:13">
      <c r="A12" t="s">
        <v>55</v>
      </c>
      <c r="C12" t="s">
        <v>37</v>
      </c>
      <c r="D12" t="s">
        <v>1198</v>
      </c>
      <c r="H12" t="s">
        <v>1207</v>
      </c>
      <c r="K12">
        <f t="array" ref="K12">CONCATENATE("update msg_out_fld_config set msg_fld_name = '",A12,"' where cd = '0E8640C9BE02D95FE82F923EA1DFBE3F';")</f>
        <v>0</v>
      </c>
      <c r="M12">
        <f t="array" ref="M12">CONCATENATE("update msg_out_fld set description = '",D12,"' where tab_name = 'STICHWORTGRUPPE' and fld_name = 'STICHWORTGRUPPE';")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'BA60062A76B4D7018FB4653FDE3908AF';")</f>
        <v>0</v>
      </c>
      <c r="M13">
        <f t="array" ref="M13">CONCATENATE("update msg_out_fld set description = '",D13,"' where tab_name = 'STICHWORTGRUPPE'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'A9F95513D36615E153B6622F0F46F6A8';")</f>
        <v>0</v>
      </c>
      <c r="M14">
        <f t="array" ref="M14">CONCATENATE("update msg_out_fld set description = '",D14,"' where tab_name = 'STICHWORTGRUPPE' and fld_name = 'MUTUSER';")</f>
        <v>0</v>
      </c>
    </row>
    <row r="15" spans="1:13">
      <c r="A15" t="s">
        <v>83</v>
      </c>
      <c r="C15" t="s">
        <v>84</v>
      </c>
      <c r="D15" t="s">
        <v>1208</v>
      </c>
      <c r="H15" t="s">
        <v>82</v>
      </c>
      <c r="K15">
        <f t="array" ref="K15">CONCATENATE("update msg_out_fld_config set msg_fld_name = '",A15,"' where cd = '0B5BAF976C6AA64DBEF3DFD36D836B82';")</f>
        <v>0</v>
      </c>
      <c r="M15">
        <f t="array" ref="M15">CONCATENATE("update msg_out_fld set description = '",D15,"' where tab_name = 'STICHWORTGRUPPE' and fld_name = 'RISKINDEX';")</f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27.140625" customWidth="1"/>
    <col min="2" max="2" width="4.28515625" customWidth="1"/>
    <col min="3" max="3" width="12.7109375" customWidth="1"/>
    <col min="4" max="4" width="23.5703125" customWidth="1"/>
    <col min="5" max="5" width="34.28515625" customWidth="1"/>
    <col min="6" max="6" width="10.28515625" customWidth="1"/>
    <col min="7" max="7" width="18.7109375" customWidth="1"/>
    <col min="8" max="8" width="27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8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1209</v>
      </c>
    </row>
    <row r="2" spans="1:13">
      <c r="A2" s="1" t="s">
        <v>1210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664</v>
      </c>
      <c r="D6" t="s">
        <v>17</v>
      </c>
      <c r="H6" t="s">
        <v>1211</v>
      </c>
      <c r="K6">
        <f t="array" ref="K6">CONCATENATE("update msg_out_fld_config set msg_fld_name = '",A6,"' where cd = '05170633338F4D677AB94504F5A52F37';")</f>
        <v>0</v>
      </c>
      <c r="M6">
        <f t="array" ref="M6">CONCATENATE("update msg_out_fld set description = '",D6,"' where tab_name = 'KUNDENTYP_APSYS' and fld_name = 'KUNDENTYP_CD';")</f>
        <v>0</v>
      </c>
    </row>
    <row r="7" spans="1:13">
      <c r="A7" t="s">
        <v>710</v>
      </c>
      <c r="C7" t="s">
        <v>26</v>
      </c>
      <c r="D7" t="s">
        <v>711</v>
      </c>
      <c r="E7" t="s">
        <v>712</v>
      </c>
      <c r="F7" t="s">
        <v>29</v>
      </c>
      <c r="G7" t="s">
        <v>713</v>
      </c>
      <c r="H7" t="s">
        <v>709</v>
      </c>
      <c r="K7">
        <f t="array" ref="K7">CONCATENATE("update msg_out_fld_config set msg_fld_name = '",A7,"' where cd = 'BB6C804F6FCAFCA2CCD24C1186F4A87E';")</f>
        <v>0</v>
      </c>
      <c r="M7">
        <f t="array" ref="M7">CONCATENATE("update msg_out_fld set description = '",D7,"' where tab_name = 'KUNDENTYP_APSYS' and fld_name = 'NATURE_CD';")</f>
        <v>0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'85A6FD0F4DF1DD2E5F72830E5E7043DB';")</f>
        <v>0</v>
      </c>
      <c r="M8">
        <f t="array" ref="M8">CONCATENATE("update msg_out_fld set description = '",D8,"' where tab_name = 'KUNDENTYP_APSYS' and fld_name = 'LOESCH_CD';")</f>
        <v>0</v>
      </c>
    </row>
    <row r="9" spans="1:13">
      <c r="A9" t="s">
        <v>32</v>
      </c>
      <c r="C9" t="s">
        <v>33</v>
      </c>
      <c r="D9" t="s">
        <v>34</v>
      </c>
      <c r="H9" t="s">
        <v>31</v>
      </c>
      <c r="K9">
        <f t="array" ref="K9">CONCATENATE("update msg_out_fld_config set msg_fld_name = '",A9,"' where cd = 'F68C004AC90E2072AB838DA24B69E290';")</f>
        <v>0</v>
      </c>
      <c r="M9">
        <f t="array" ref="M9">CONCATENATE("update msg_out_fld set description = '",D9,"' where tab_name = 'KUNDENTYP_APSYS' and fld_name = 'LOESCHDATUM';")</f>
        <v>0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'091530DF20BF13FEA149BE80DF7AF5B8';")</f>
        <v>0</v>
      </c>
      <c r="M10">
        <f t="array" ref="M10">CONCATENATE("update msg_out_fld set description = '",D10,"' where tab_name = 'KUNDENTYP_APSYS' and fld_name = 'LOESCHUSER';")</f>
        <v>0</v>
      </c>
    </row>
    <row r="11" spans="1:13">
      <c r="A11" t="s">
        <v>45</v>
      </c>
      <c r="C11" t="s">
        <v>33</v>
      </c>
      <c r="D11" t="s">
        <v>46</v>
      </c>
      <c r="H11" t="s">
        <v>44</v>
      </c>
      <c r="K11">
        <f t="array" ref="K11">CONCATENATE("update msg_out_fld_config set msg_fld_name = '",A11,"' where cd = 'EA019DD9108741E299E578CB1B41FFDF';")</f>
        <v>0</v>
      </c>
      <c r="M11">
        <f t="array" ref="M11">CONCATENATE("update msg_out_fld set description = '",D11,"' where tab_name = 'KUNDENTYP_APSYS' and fld_name = 'CRTDATUM';")</f>
        <v>0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  <c r="K12">
        <f t="array" ref="K12">CONCATENATE("update msg_out_fld_config set msg_fld_name = '",A12,"' where cd = 'A92C0A5B751497363A5738D89A8C77BF';")</f>
        <v>0</v>
      </c>
      <c r="M12">
        <f t="array" ref="M12">CONCATENATE("update msg_out_fld set description = '",D12,"' where tab_name = 'KUNDENTYP_APSYS' and fld_name = 'CRTUSER';")</f>
        <v>0</v>
      </c>
    </row>
    <row r="13" spans="1:13">
      <c r="A13" t="s">
        <v>55</v>
      </c>
      <c r="C13" t="s">
        <v>75</v>
      </c>
      <c r="D13" t="s">
        <v>7</v>
      </c>
      <c r="H13" t="s">
        <v>1212</v>
      </c>
      <c r="K13">
        <f t="array" ref="K13">CONCATENATE("update msg_out_fld_config set msg_fld_name = '",A13,"' where cd = '8F7DEE604EA298D8F510A8750B4F1F04';")</f>
        <v>0</v>
      </c>
      <c r="M13">
        <f t="array" ref="M13">CONCATENATE("update msg_out_fld set description = '",D13,"' where tab_name = 'KUNDENTYP_APSYS' and fld_name = 'KUNDENTYP';")</f>
        <v>0</v>
      </c>
    </row>
    <row r="14" spans="1:13">
      <c r="A14" t="s">
        <v>1214</v>
      </c>
      <c r="C14" t="s">
        <v>26</v>
      </c>
      <c r="D14" t="s">
        <v>1215</v>
      </c>
      <c r="E14" t="s">
        <v>28</v>
      </c>
      <c r="F14" t="s">
        <v>29</v>
      </c>
      <c r="G14" t="s">
        <v>30</v>
      </c>
      <c r="H14" t="s">
        <v>1213</v>
      </c>
      <c r="K14">
        <f t="array" ref="K14">CONCATENATE("update msg_out_fld_config set msg_fld_name = '",A14,"' where cd = '84A1B03DBFFC4BD548D72BA9FE3ECA9D';")</f>
        <v>0</v>
      </c>
      <c r="M14">
        <f t="array" ref="M14">CONCATENATE("update msg_out_fld set description = '",D14,"' where tab_name = 'KUNDENTYP_APSYS' and fld_name = 'DOMICILIARY_COMPANY_CD';")</f>
        <v>0</v>
      </c>
    </row>
    <row r="15" spans="1:13">
      <c r="A15" t="s">
        <v>1217</v>
      </c>
      <c r="C15" t="s">
        <v>26</v>
      </c>
      <c r="D15" t="s">
        <v>1218</v>
      </c>
      <c r="E15" t="s">
        <v>28</v>
      </c>
      <c r="F15" t="s">
        <v>29</v>
      </c>
      <c r="G15" t="s">
        <v>30</v>
      </c>
      <c r="H15" t="s">
        <v>1216</v>
      </c>
      <c r="K15">
        <f t="array" ref="K15">CONCATENATE("update msg_out_fld_config set msg_fld_name = '",A15,"' where cd = '5FAC27A67BE5EB2B32DBBC75E8380937';")</f>
        <v>0</v>
      </c>
      <c r="M15">
        <f t="array" ref="M15">CONCATENATE("update msg_out_fld set description = '",D15,"' where tab_name = 'KUNDENTYP_APSYS' and fld_name = 'TECHNICAL_ACCOUNT_CD';")</f>
        <v>0</v>
      </c>
    </row>
    <row r="16" spans="1:13">
      <c r="A16" t="s">
        <v>1220</v>
      </c>
      <c r="C16" t="s">
        <v>26</v>
      </c>
      <c r="D16" t="s">
        <v>1221</v>
      </c>
      <c r="E16" t="s">
        <v>28</v>
      </c>
      <c r="F16" t="s">
        <v>29</v>
      </c>
      <c r="G16" t="s">
        <v>30</v>
      </c>
      <c r="H16" t="s">
        <v>1219</v>
      </c>
      <c r="K16">
        <f t="array" ref="K16">CONCATENATE("update msg_out_fld_config set msg_fld_name = '",A16,"' where cd = 'A217F8FAF25B9F4AC58BA99D3A5B08E6';")</f>
        <v>0</v>
      </c>
      <c r="M16">
        <f t="array" ref="M16">CONCATENATE("update msg_out_fld set description = '",D16,"' where tab_name = 'KUNDENTYP_APSYS' and fld_name = 'TRUST_CD';")</f>
        <v>0</v>
      </c>
    </row>
    <row r="17" spans="1:13">
      <c r="A17" t="s">
        <v>58</v>
      </c>
      <c r="C17" t="s">
        <v>33</v>
      </c>
      <c r="D17" t="s">
        <v>59</v>
      </c>
      <c r="H17" t="s">
        <v>57</v>
      </c>
      <c r="K17">
        <f t="array" ref="K17">CONCATENATE("update msg_out_fld_config set msg_fld_name = '",A17,"' where cd = '5C6C6F0977B377CCF821699FABEEE7BE';")</f>
        <v>0</v>
      </c>
      <c r="M17">
        <f t="array" ref="M17">CONCATENATE("update msg_out_fld set description = '",D17,"' where tab_name = 'KUNDENTYP_APSYS' and fld_name = 'MUTDATUM';")</f>
        <v>0</v>
      </c>
    </row>
    <row r="18" spans="1:13">
      <c r="A18" t="s">
        <v>61</v>
      </c>
      <c r="C18" t="s">
        <v>37</v>
      </c>
      <c r="D18" t="s">
        <v>62</v>
      </c>
      <c r="E18" t="s">
        <v>39</v>
      </c>
      <c r="F18" t="s">
        <v>23</v>
      </c>
      <c r="H18" t="s">
        <v>60</v>
      </c>
      <c r="K18">
        <f t="array" ref="K18">CONCATENATE("update msg_out_fld_config set msg_fld_name = '",A18,"' where cd = 'E9941D7C2FF90195754C4A6D83F13DE7';")</f>
        <v>0</v>
      </c>
      <c r="M18">
        <f t="array" ref="M18">CONCATENATE("update msg_out_fld set description = '",D18,"' where tab_name = 'KUNDENTYP_APSYS' and fld_name = 'MUTUSER';")</f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18.7109375" customWidth="1"/>
    <col min="5" max="5" width="34.28515625" customWidth="1"/>
    <col min="6" max="6" width="10.28515625" customWidth="1"/>
    <col min="7" max="7" width="15.140625" customWidth="1"/>
    <col min="8" max="8" width="24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6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1222</v>
      </c>
    </row>
    <row r="2" spans="1:13">
      <c r="A2" s="1" t="s">
        <v>1223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664</v>
      </c>
      <c r="D6" t="s">
        <v>17</v>
      </c>
      <c r="H6" t="s">
        <v>1224</v>
      </c>
      <c r="K6">
        <f t="array" ref="K6">CONCATENATE("update msg_out_fld_config set msg_fld_name = '",A6,"' where cd = '50282E983907316AB054A206D50D4A4F';")</f>
        <v>0</v>
      </c>
      <c r="M6">
        <f t="array" ref="M6">CONCATENATE("update msg_out_fld set description = '",D6,"' where tab_name = 'IRS_CLIENT_TYPE' and fld_name = 'IRS_CLIENT_TYPE_CD';")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'CC54B8F0E357E8C0DF47C700C1750798';")</f>
        <v>0</v>
      </c>
      <c r="M7">
        <f t="array" ref="M7">CONCATENATE("update msg_out_fld set description = '",D7,"' where tab_name = 'IRS_CLIENT_TYPE' and fld_name = 'LOESCH_CD';")</f>
        <v>0</v>
      </c>
    </row>
    <row r="8" spans="1:13">
      <c r="A8" t="s">
        <v>32</v>
      </c>
      <c r="C8" t="s">
        <v>104</v>
      </c>
      <c r="D8" t="s">
        <v>34</v>
      </c>
      <c r="H8" t="s">
        <v>31</v>
      </c>
      <c r="K8">
        <f t="array" ref="K8">CONCATENATE("update msg_out_fld_config set msg_fld_name = '",A8,"' where cd = '5E0336E53E744EDA65D62D5348BC0C09';")</f>
        <v>0</v>
      </c>
      <c r="M8">
        <f t="array" ref="M8">CONCATENATE("update msg_out_fld set description = '",D8,"' where tab_name = 'IRS_CLIENT_TYPE'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'31CAB174B86B521FB4E06241B21B8FCB';")</f>
        <v>0</v>
      </c>
      <c r="M9">
        <f t="array" ref="M9">CONCATENATE("update msg_out_fld set description = '",D9,"' where tab_name = 'IRS_CLIENT_TYPE' and fld_name = 'LOESCHUSER';")</f>
        <v>0</v>
      </c>
    </row>
    <row r="10" spans="1:13">
      <c r="A10" t="s">
        <v>45</v>
      </c>
      <c r="C10" t="s">
        <v>104</v>
      </c>
      <c r="D10" t="s">
        <v>46</v>
      </c>
      <c r="H10" t="s">
        <v>44</v>
      </c>
      <c r="K10">
        <f t="array" ref="K10">CONCATENATE("update msg_out_fld_config set msg_fld_name = '",A10,"' where cd = '57CB672DF6FABEF6343D2A2E7F573EC8';")</f>
        <v>0</v>
      </c>
      <c r="M10">
        <f t="array" ref="M10">CONCATENATE("update msg_out_fld set description = '",D10,"' where tab_name = 'IRS_CLIENT_TYPE'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'86AF9B26C83AA1282D419D2348D73FF9';")</f>
        <v>0</v>
      </c>
      <c r="M11">
        <f t="array" ref="M11">CONCATENATE("update msg_out_fld set description = '",D11,"' where tab_name = 'IRS_CLIENT_TYPE' and fld_name = 'CRTUSER';")</f>
        <v>0</v>
      </c>
    </row>
    <row r="12" spans="1:13">
      <c r="A12" t="s">
        <v>55</v>
      </c>
      <c r="C12" t="s">
        <v>1226</v>
      </c>
      <c r="D12" t="s">
        <v>1227</v>
      </c>
      <c r="H12" t="s">
        <v>1225</v>
      </c>
      <c r="K12">
        <f t="array" ref="K12">CONCATENATE("update msg_out_fld_config set msg_fld_name = '",A12,"' where cd = '2DDBC063B897C7DCD8FA51F01412416D';")</f>
        <v>0</v>
      </c>
      <c r="M12">
        <f t="array" ref="M12">CONCATENATE("update msg_out_fld set description = '",D12,"' where tab_name = 'IRS_CLIENT_TYPE' and fld_name = 'IRS_CLIENT_TYPE_DESC';")</f>
        <v>0</v>
      </c>
    </row>
    <row r="13" spans="1:13">
      <c r="A13" t="s">
        <v>58</v>
      </c>
      <c r="C13" t="s">
        <v>104</v>
      </c>
      <c r="D13" t="s">
        <v>59</v>
      </c>
      <c r="H13" t="s">
        <v>57</v>
      </c>
      <c r="K13">
        <f t="array" ref="K13">CONCATENATE("update msg_out_fld_config set msg_fld_name = '",A13,"' where cd = '4451464F345FAEB64CA430A2B54A71A3';")</f>
        <v>0</v>
      </c>
      <c r="M13">
        <f t="array" ref="M13">CONCATENATE("update msg_out_fld set description = '",D13,"' where tab_name = 'IRS_CLIENT_TYPE'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'5350748025BBE702476E882F87001052';")</f>
        <v>0</v>
      </c>
      <c r="M14">
        <f t="array" ref="M14">CONCATENATE("update msg_out_fld set description = '",D14,"' where tab_name = 'IRS_CLIENT_TYPE' and fld_name = 'MUTUSER';")</f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17.5703125" customWidth="1"/>
    <col min="2" max="2" width="4.28515625" customWidth="1"/>
    <col min="3" max="3" width="16.28515625" customWidth="1"/>
    <col min="4" max="4" width="30.7109375" customWidth="1"/>
    <col min="5" max="5" width="34.28515625" customWidth="1"/>
    <col min="6" max="6" width="10.28515625" customWidth="1"/>
    <col min="7" max="7" width="15.140625" customWidth="1"/>
    <col min="8" max="8" width="27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6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1228</v>
      </c>
    </row>
    <row r="2" spans="1:13">
      <c r="A2" s="1" t="s">
        <v>1229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1231</v>
      </c>
      <c r="H6" t="s">
        <v>1230</v>
      </c>
      <c r="K6">
        <f t="array" ref="K6">CONCATENATE("update msg_out_fld_config set msg_fld_name = '",A6,"' where cd = '5CAD4700582ACD74D4BAED334F5C32A2';")</f>
        <v>0</v>
      </c>
      <c r="M6">
        <f t="array" ref="M6">CONCATENATE("update msg_out_fld set description = '",D6,"' where tab_name = 'KOMMUNIKATION' and fld_name = 'KOMMUNIKATIONSID';")</f>
        <v>0</v>
      </c>
    </row>
    <row r="7" spans="1:13">
      <c r="A7" t="s">
        <v>1014</v>
      </c>
      <c r="C7" t="s">
        <v>90</v>
      </c>
      <c r="D7" t="s">
        <v>97</v>
      </c>
      <c r="E7" t="s">
        <v>162</v>
      </c>
      <c r="H7" t="s">
        <v>88</v>
      </c>
      <c r="K7">
        <f t="array" ref="K7">CONCATENATE("update msg_out_fld_config set msg_fld_name = '",A7,"' where cd = 'B2F80DC46EED27BD533D623CC67EB54D';")</f>
        <v>0</v>
      </c>
      <c r="M7">
        <f t="array" ref="M7">CONCATENATE("update msg_out_fld set description = '",D7,"' where tab_name = 'KOMMUNIKATION' and fld_name = 'ADRESSID';")</f>
        <v>0</v>
      </c>
    </row>
    <row r="8" spans="1:13">
      <c r="A8" t="s">
        <v>110</v>
      </c>
      <c r="C8" t="s">
        <v>20</v>
      </c>
      <c r="D8" t="s">
        <v>111</v>
      </c>
      <c r="E8" t="s">
        <v>112</v>
      </c>
      <c r="F8" t="s">
        <v>23</v>
      </c>
      <c r="H8" t="s">
        <v>1232</v>
      </c>
      <c r="K8">
        <f t="array" ref="K8">CONCATENATE("update msg_out_fld_config set msg_fld_name = '",A8,"' where cd = '33D890B306A653C37DD9E62BFA813C0F';")</f>
        <v>0</v>
      </c>
      <c r="M8">
        <f t="array" ref="M8">CONCATENATE("update msg_out_fld set description = '",D8,"' where tab_name = 'KOMMUNIKATION' and fld_name = 'KOMMUNIKATIONSLAND_CD';")</f>
        <v>0</v>
      </c>
    </row>
    <row r="9" spans="1:13">
      <c r="A9" t="s">
        <v>45</v>
      </c>
      <c r="C9" t="s">
        <v>33</v>
      </c>
      <c r="D9" t="s">
        <v>46</v>
      </c>
      <c r="H9" t="s">
        <v>44</v>
      </c>
      <c r="K9">
        <f t="array" ref="K9">CONCATENATE("update msg_out_fld_config set msg_fld_name = '",A9,"' where cd = '4F5D0F4761A81C414B29B7794CE5785B';")</f>
        <v>0</v>
      </c>
      <c r="M9">
        <f t="array" ref="M9">CONCATENATE("update msg_out_fld set description = '",D9,"' where tab_name = 'KOMMUNIKATION' and fld_name = 'CRTDATUM';")</f>
        <v>0</v>
      </c>
    </row>
    <row r="10" spans="1:13">
      <c r="A10" t="s">
        <v>48</v>
      </c>
      <c r="C10" t="s">
        <v>37</v>
      </c>
      <c r="D10" t="s">
        <v>49</v>
      </c>
      <c r="E10" t="s">
        <v>39</v>
      </c>
      <c r="F10" t="s">
        <v>23</v>
      </c>
      <c r="H10" t="s">
        <v>47</v>
      </c>
      <c r="K10">
        <f t="array" ref="K10">CONCATENATE("update msg_out_fld_config set msg_fld_name = '",A10,"' where cd = '4A997F24C22EE3B3D4E02615D7AB6EC5';")</f>
        <v>0</v>
      </c>
      <c r="M10">
        <f t="array" ref="M10">CONCATENATE("update msg_out_fld set description = '",D10,"' where tab_name = 'KOMMUNIKATION' and fld_name = 'CRTUSER';")</f>
        <v>0</v>
      </c>
    </row>
    <row r="11" spans="1:13">
      <c r="A11" t="s">
        <v>1067</v>
      </c>
      <c r="C11" t="s">
        <v>90</v>
      </c>
      <c r="D11" t="s">
        <v>127</v>
      </c>
      <c r="H11" t="s">
        <v>125</v>
      </c>
      <c r="K11">
        <f t="array" ref="K11">CONCATENATE("update msg_out_fld_config set msg_fld_name = '",A11,"' where cd = 'AB719EAC4817B815B448F1868E2807AD';")</f>
        <v>0</v>
      </c>
      <c r="M11">
        <f t="array" ref="M11">CONCATENATE("update msg_out_fld set description = '",D11,"' where tab_name = 'KOMMUNIKATION' and fld_name = 'PERSONID';")</f>
        <v>0</v>
      </c>
    </row>
    <row r="12" spans="1:13">
      <c r="A12" t="s">
        <v>1234</v>
      </c>
      <c r="C12" t="s">
        <v>26</v>
      </c>
      <c r="D12" t="s">
        <v>1235</v>
      </c>
      <c r="E12" t="s">
        <v>28</v>
      </c>
      <c r="F12" t="s">
        <v>29</v>
      </c>
      <c r="G12" t="s">
        <v>30</v>
      </c>
      <c r="H12" t="s">
        <v>1233</v>
      </c>
      <c r="K12">
        <f t="array" ref="K12">CONCATENATE("update msg_out_fld_config set msg_fld_name = '",A12,"' where cd = '21E968A27E240873D75ACF055EDFF3AC';")</f>
        <v>0</v>
      </c>
      <c r="M12">
        <f t="array" ref="M12">CONCATENATE("update msg_out_fld set description = '",D12,"' where tab_name = 'KOMMUNIKATION' and fld_name = 'DISPATCH_CD';")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'9633EA152B9C7F883A56E5EB6A0D7FAB';")</f>
        <v>0</v>
      </c>
      <c r="M13">
        <f t="array" ref="M13">CONCATENATE("update msg_out_fld set description = '",D13,"' where tab_name = 'KOMMUNIKATION'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'8D2091F71027F8E6350799F1BAC4D1CF';")</f>
        <v>0</v>
      </c>
      <c r="M14">
        <f t="array" ref="M14">CONCATENATE("update msg_out_fld set description = '",D14,"' where tab_name = 'KOMMUNIKATION' and fld_name = 'MUTUSER';")</f>
        <v>0</v>
      </c>
    </row>
    <row r="15" spans="1:13">
      <c r="A15" t="s">
        <v>170</v>
      </c>
      <c r="C15" t="s">
        <v>1236</v>
      </c>
      <c r="D15" t="s">
        <v>10</v>
      </c>
      <c r="H15" t="s">
        <v>169</v>
      </c>
      <c r="K15">
        <f t="array" ref="K15">CONCATENATE("update msg_out_fld_config set msg_fld_name = '",A15,"' where cd = '22EA1BDFAB9E69CDBB4D890A976D01D9';")</f>
        <v>0</v>
      </c>
      <c r="M15">
        <f t="array" ref="M15">CONCATENATE("update msg_out_fld set description = '",D15,"' where tab_name = 'KOMMUNIKATION' and fld_name = 'BEMERKUNG';")</f>
        <v>0</v>
      </c>
    </row>
    <row r="16" spans="1:13">
      <c r="A16" t="s">
        <v>1238</v>
      </c>
      <c r="C16" t="s">
        <v>75</v>
      </c>
      <c r="D16" t="s">
        <v>1239</v>
      </c>
      <c r="H16" t="s">
        <v>1237</v>
      </c>
      <c r="K16">
        <f t="array" ref="K16">CONCATENATE("update msg_out_fld_config set msg_fld_name = '",A16,"' where cd = 'E8A990AEEE85D8776445646BFD662203';")</f>
        <v>0</v>
      </c>
      <c r="M16">
        <f t="array" ref="M16">CONCATENATE("update msg_out_fld set description = '",D16,"' where tab_name = 'KOMMUNIKATION' and fld_name = 'KOMMUNIKATIONSNR';")</f>
        <v>0</v>
      </c>
    </row>
    <row r="17" spans="1:13">
      <c r="A17" t="s">
        <v>1241</v>
      </c>
      <c r="C17" t="s">
        <v>275</v>
      </c>
      <c r="D17" t="s">
        <v>1242</v>
      </c>
      <c r="H17" t="s">
        <v>1240</v>
      </c>
      <c r="K17">
        <f t="array" ref="K17">CONCATENATE("update msg_out_fld_config set msg_fld_name = '",A17,"' where cd = 'BD635802A61F6A47857540BE09116C90';")</f>
        <v>0</v>
      </c>
      <c r="M17">
        <f t="array" ref="M17">CONCATENATE("update msg_out_fld set description = '",D17,"' where tab_name = 'KOMMUNIKATION' and fld_name = 'KOMMUNIKATIONSREGIONNR';")</f>
        <v>0</v>
      </c>
    </row>
    <row r="18" spans="1:13">
      <c r="A18" t="s">
        <v>1156</v>
      </c>
      <c r="C18" t="s">
        <v>68</v>
      </c>
      <c r="D18" t="s">
        <v>1244</v>
      </c>
      <c r="E18" t="s">
        <v>1245</v>
      </c>
      <c r="F18" t="s">
        <v>23</v>
      </c>
      <c r="H18" t="s">
        <v>1243</v>
      </c>
      <c r="K18">
        <f t="array" ref="K18">CONCATENATE("update msg_out_fld_config set msg_fld_name = '",A18,"' where cd = '31467F058A051E915FD94B4C3C09AB62';")</f>
        <v>0</v>
      </c>
      <c r="M18">
        <f t="array" ref="M18">CONCATENATE("update msg_out_fld set description = '",D18,"' where tab_name = 'KOMMUNIKATION' and fld_name = 'KOMMUNIKATIONSART_CD';")</f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24.7109375" customWidth="1"/>
    <col min="2" max="2" width="4.28515625" customWidth="1"/>
    <col min="3" max="3" width="15.140625" customWidth="1"/>
    <col min="4" max="4" width="22.28515625" customWidth="1"/>
    <col min="5" max="5" width="48.7109375" customWidth="1"/>
    <col min="6" max="6" width="10.28515625" customWidth="1"/>
    <col min="7" max="7" width="29.5703125" customWidth="1"/>
    <col min="8" max="8" width="24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7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1246</v>
      </c>
    </row>
    <row r="2" spans="1:13">
      <c r="A2" s="1" t="s">
        <v>1247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1243</v>
      </c>
      <c r="K6">
        <f t="array" ref="K6">CONCATENATE("update msg_out_fld_config set msg_fld_name = '",A6,"' where cd = 'D638D88A3E29FAE50E46DEB0BA12AC60';")</f>
        <v>0</v>
      </c>
      <c r="M6">
        <f t="array" ref="M6">CONCATENATE("update msg_out_fld set description = '",D6,"' where tab_name = 'KOMMUNIKATIONSART' and fld_name = 'KOMMUNIKATIONSART_CD';")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'92F0830D7CD370981519217DF909882F';")</f>
        <v>0</v>
      </c>
      <c r="M7">
        <f t="array" ref="M7">CONCATENATE("update msg_out_fld set description = '",D7,"' where tab_name = 'KOMMUNIKATIONSART'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'5C97E90DC4588A03914050F71EA500D0';")</f>
        <v>0</v>
      </c>
      <c r="M8">
        <f t="array" ref="M8">CONCATENATE("update msg_out_fld set description = '",D8,"' where tab_name = 'KOMMUNIKATIONSART'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'3DA9420B95381CAB13FE0EA37DAFD6A1';")</f>
        <v>0</v>
      </c>
      <c r="M9">
        <f t="array" ref="M9">CONCATENATE("update msg_out_fld set description = '",D9,"' where tab_name = 'KOMMUNIKATIONSART'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'1438F81D3FAB1AEB24417618E9779110';")</f>
        <v>0</v>
      </c>
      <c r="M10">
        <f t="array" ref="M10">CONCATENATE("update msg_out_fld set description = '",D10,"' where tab_name = 'KOMMUNIKATIONSART'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'CBD9D206FEF271BA0C2CA5DD479CA688';")</f>
        <v>0</v>
      </c>
      <c r="M11">
        <f t="array" ref="M11">CONCATENATE("update msg_out_fld set description = '",D11,"' where tab_name = 'KOMMUNIKATIONSART' and fld_name = 'CRTUSER';")</f>
        <v>0</v>
      </c>
    </row>
    <row r="12" spans="1:13">
      <c r="A12" t="s">
        <v>55</v>
      </c>
      <c r="C12" t="s">
        <v>37</v>
      </c>
      <c r="D12" t="s">
        <v>1249</v>
      </c>
      <c r="H12" t="s">
        <v>1248</v>
      </c>
      <c r="K12">
        <f t="array" ref="K12">CONCATENATE("update msg_out_fld_config set msg_fld_name = '",A12,"' where cd = 'F0B83673E9539854582CCF6162DF83E4';")</f>
        <v>0</v>
      </c>
      <c r="M12">
        <f t="array" ref="M12">CONCATENATE("update msg_out_fld set description = '",D12,"' where tab_name = 'KOMMUNIKATIONSART' and fld_name = 'KOMMUNIKATIONSART';")</f>
        <v>0</v>
      </c>
    </row>
    <row r="13" spans="1:13">
      <c r="A13" t="s">
        <v>1251</v>
      </c>
      <c r="C13" t="s">
        <v>68</v>
      </c>
      <c r="D13" t="s">
        <v>1252</v>
      </c>
      <c r="E13" t="s">
        <v>1253</v>
      </c>
      <c r="F13" t="s">
        <v>29</v>
      </c>
      <c r="G13" t="s">
        <v>1254</v>
      </c>
      <c r="H13" t="s">
        <v>1250</v>
      </c>
      <c r="K13">
        <f t="array" ref="K13">CONCATENATE("update msg_out_fld_config set msg_fld_name = '",A13,"' where cd = '10963069308F12A753C45CB7E9F0BAF1';")</f>
        <v>0</v>
      </c>
      <c r="M13">
        <f t="array" ref="M13">CONCATENATE("update msg_out_fld set description = '",D13,"' where tab_name = 'KOMMUNIKATIONSART' and fld_name = 'VERSANDART_CD';")</f>
        <v>0</v>
      </c>
    </row>
    <row r="14" spans="1:13">
      <c r="A14" t="s">
        <v>1256</v>
      </c>
      <c r="C14" t="s">
        <v>26</v>
      </c>
      <c r="D14" t="s">
        <v>238</v>
      </c>
      <c r="E14" t="s">
        <v>28</v>
      </c>
      <c r="F14" t="s">
        <v>29</v>
      </c>
      <c r="G14" t="s">
        <v>30</v>
      </c>
      <c r="H14" t="s">
        <v>1255</v>
      </c>
      <c r="K14">
        <f t="array" ref="K14">CONCATENATE("update msg_out_fld_config set msg_fld_name = '",A14,"' where cd = 'EC3FE2EE8947A3A4D0030040D1C76188';")</f>
        <v>0</v>
      </c>
      <c r="M14">
        <f t="array" ref="M14">CONCATENATE("update msg_out_fld set description = '",D14,"' where tab_name = 'KOMMUNIKATIONSART' and fld_name = 'AEOI_RELEVANT_CD';")</f>
        <v>0</v>
      </c>
    </row>
    <row r="15" spans="1:13">
      <c r="A15" t="s">
        <v>1258</v>
      </c>
      <c r="C15" t="s">
        <v>26</v>
      </c>
      <c r="D15" t="s">
        <v>1259</v>
      </c>
      <c r="E15" t="s">
        <v>28</v>
      </c>
      <c r="F15" t="s">
        <v>29</v>
      </c>
      <c r="G15" t="s">
        <v>30</v>
      </c>
      <c r="H15" t="s">
        <v>1257</v>
      </c>
      <c r="K15">
        <f t="array" ref="K15">CONCATENATE("update msg_out_fld_config set msg_fld_name = '",A15,"' where cd = 'F77D25988E838DD0004D89A84EA259C4';")</f>
        <v>0</v>
      </c>
      <c r="M15">
        <f t="array" ref="M15">CONCATENATE("update msg_out_fld set description = '",D15,"' where tab_name = 'KOMMUNIKATIONSART' and fld_name = 'EMAIL_CD';")</f>
        <v>0</v>
      </c>
    </row>
    <row r="16" spans="1:13">
      <c r="A16" t="s">
        <v>1261</v>
      </c>
      <c r="C16" t="s">
        <v>26</v>
      </c>
      <c r="D16" t="s">
        <v>1262</v>
      </c>
      <c r="E16" t="s">
        <v>28</v>
      </c>
      <c r="F16" t="s">
        <v>29</v>
      </c>
      <c r="G16" t="s">
        <v>30</v>
      </c>
      <c r="H16" t="s">
        <v>1260</v>
      </c>
      <c r="K16">
        <f t="array" ref="K16">CONCATENATE("update msg_out_fld_config set msg_fld_name = '",A16,"' where cd = 'AD852D131C040D87118CC1D6EEBC897E';")</f>
        <v>0</v>
      </c>
      <c r="M16">
        <f t="array" ref="M16">CONCATENATE("update msg_out_fld set description = '",D16,"' where tab_name = 'KOMMUNIKATIONSART' and fld_name = 'EXTERNALNR_CD';")</f>
        <v>0</v>
      </c>
    </row>
    <row r="17" spans="1:13">
      <c r="A17" t="s">
        <v>1264</v>
      </c>
      <c r="C17" t="s">
        <v>26</v>
      </c>
      <c r="D17" t="s">
        <v>1265</v>
      </c>
      <c r="E17" t="s">
        <v>28</v>
      </c>
      <c r="F17" t="s">
        <v>29</v>
      </c>
      <c r="G17" t="s">
        <v>30</v>
      </c>
      <c r="H17" t="s">
        <v>1263</v>
      </c>
      <c r="K17">
        <f t="array" ref="K17">CONCATENATE("update msg_out_fld_config set msg_fld_name = '",A17,"' where cd = '5BC187F3E6039AF66CDE69F53A4CD980';")</f>
        <v>0</v>
      </c>
      <c r="M17">
        <f t="array" ref="M17">CONCATENATE("update msg_out_fld set description = '",D17,"' where tab_name = 'KOMMUNIKATIONSART' and fld_name = 'INTERNNR_CD';")</f>
        <v>0</v>
      </c>
    </row>
    <row r="18" spans="1:13">
      <c r="A18" t="s">
        <v>1267</v>
      </c>
      <c r="C18" t="s">
        <v>26</v>
      </c>
      <c r="D18" t="s">
        <v>1268</v>
      </c>
      <c r="E18" t="s">
        <v>28</v>
      </c>
      <c r="F18" t="s">
        <v>29</v>
      </c>
      <c r="G18" t="s">
        <v>30</v>
      </c>
      <c r="H18" t="s">
        <v>1266</v>
      </c>
      <c r="K18">
        <f t="array" ref="K18">CONCATENATE("update msg_out_fld_config set msg_fld_name = '",A18,"' where cd = '3E9D36DE1ABD4B8D1E14CF6CCA9BAF76';")</f>
        <v>0</v>
      </c>
      <c r="M18">
        <f t="array" ref="M18">CONCATENATE("update msg_out_fld set description = '",D18,"' where tab_name = 'KOMMUNIKATIONSART' and fld_name = 'NUMERICNR_CD';")</f>
        <v>0</v>
      </c>
    </row>
    <row r="19" spans="1:13">
      <c r="A19" t="s">
        <v>58</v>
      </c>
      <c r="C19" t="s">
        <v>33</v>
      </c>
      <c r="D19" t="s">
        <v>59</v>
      </c>
      <c r="H19" t="s">
        <v>57</v>
      </c>
      <c r="K19">
        <f t="array" ref="K19">CONCATENATE("update msg_out_fld_config set msg_fld_name = '",A19,"' where cd = 'E29E3CA4E49A5C6738259CE8864FD79B';")</f>
        <v>0</v>
      </c>
      <c r="M19">
        <f t="array" ref="M19">CONCATENATE("update msg_out_fld set description = '",D19,"' where tab_name = 'KOMMUNIKATIONSART' and fld_name = 'MUTDATUM';")</f>
        <v>0</v>
      </c>
    </row>
    <row r="20" spans="1:13">
      <c r="A20" t="s">
        <v>61</v>
      </c>
      <c r="C20" t="s">
        <v>37</v>
      </c>
      <c r="D20" t="s">
        <v>62</v>
      </c>
      <c r="E20" t="s">
        <v>39</v>
      </c>
      <c r="F20" t="s">
        <v>23</v>
      </c>
      <c r="H20" t="s">
        <v>60</v>
      </c>
      <c r="K20">
        <f t="array" ref="K20">CONCATENATE("update msg_out_fld_config set msg_fld_name = '",A20,"' where cd = '8C0D47713D7BE48515B74F5880A3891A';")</f>
        <v>0</v>
      </c>
      <c r="M20">
        <f t="array" ref="M20">CONCATENATE("update msg_out_fld set description = '",D20,"' where tab_name = 'KOMMUNIKATIONSART' and fld_name = 'MUTUSER';")</f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27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2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1269</v>
      </c>
    </row>
    <row r="2" spans="1:13">
      <c r="A2" s="1" t="s">
        <v>1270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1271</v>
      </c>
      <c r="K6">
        <f t="array" ref="K6">CONCATENATE("update msg_out_fld_config set msg_fld_name = '",A6,"' where cd = 'CB147A31E83D8F405DA402FFAAB0A9EB';")</f>
        <v>0</v>
      </c>
      <c r="M6">
        <f t="array" ref="M6">CONCATENATE("update msg_out_fld set description = '",D6,"' where tab_name = 'KONTAKTMOEGLICHKEIT' and fld_name = 'KONTAKTMOEGLICHKEIT_CD';")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'2CC97BAE295659D9BC6E7B578BB31DA1';")</f>
        <v>0</v>
      </c>
      <c r="M7">
        <f t="array" ref="M7">CONCATENATE("update msg_out_fld set description = '",D7,"' where tab_name = 'KONTAKTMOEGLICHKEIT'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'B304B4291C675C2A9D0AE31C23204BBE';")</f>
        <v>0</v>
      </c>
      <c r="M8">
        <f t="array" ref="M8">CONCATENATE("update msg_out_fld set description = '",D8,"' where tab_name = 'KONTAKTMOEGLICHKEIT'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'14A40B138B243C656DCF2464257495C8';")</f>
        <v>0</v>
      </c>
      <c r="M9">
        <f t="array" ref="M9">CONCATENATE("update msg_out_fld set description = '",D9,"' where tab_name = 'KONTAKTMOEGLICHKEIT'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'68DAB4ED4736E85B0EB0C4C565646F84';")</f>
        <v>0</v>
      </c>
      <c r="M10">
        <f t="array" ref="M10">CONCATENATE("update msg_out_fld set description = '",D10,"' where tab_name = 'KONTAKTMOEGLICHKEIT'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'3A683368E7F59CA26874054A8C34AD0F';")</f>
        <v>0</v>
      </c>
      <c r="M11">
        <f t="array" ref="M11">CONCATENATE("update msg_out_fld set description = '",D11,"' where tab_name = 'KONTAKTMOEGLICHKEIT' and fld_name = 'CRTUSER';")</f>
        <v>0</v>
      </c>
    </row>
    <row r="12" spans="1:13">
      <c r="A12" t="s">
        <v>55</v>
      </c>
      <c r="C12" t="s">
        <v>37</v>
      </c>
      <c r="D12" t="s">
        <v>1273</v>
      </c>
      <c r="H12" t="s">
        <v>1272</v>
      </c>
      <c r="K12">
        <f t="array" ref="K12">CONCATENATE("update msg_out_fld_config set msg_fld_name = '",A12,"' where cd = 'E0C46E5288A9878642275405600399DB';")</f>
        <v>0</v>
      </c>
      <c r="M12">
        <f t="array" ref="M12">CONCATENATE("update msg_out_fld set description = '",D12,"' where tab_name = 'KONTAKTMOEGLICHKEIT' and fld_name = 'KONTAKTMOEGLICHKEIT';")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'66A9867E77BEF22607A536DA02BCE5B5';")</f>
        <v>0</v>
      </c>
      <c r="M13">
        <f t="array" ref="M13">CONCATENATE("update msg_out_fld set description = '",D13,"' where tab_name = 'KONTAKTMOEGLICHKEIT'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'DC774C44E994189A35C7FDF56FEF51B6';")</f>
        <v>0</v>
      </c>
      <c r="M14">
        <f t="array" ref="M14">CONCATENATE("update msg_out_fld set description = '",D14,"' where tab_name = 'KONTAKTMOEGLICHKEIT' and fld_name = 'MUTUSER';")</f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25.85546875" customWidth="1"/>
    <col min="5" max="5" width="34.28515625" customWidth="1"/>
    <col min="6" max="6" width="10.28515625" customWidth="1"/>
    <col min="7" max="7" width="29.57031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7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1274</v>
      </c>
    </row>
    <row r="2" spans="1:13">
      <c r="A2" s="1" t="s">
        <v>1275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1277</v>
      </c>
      <c r="H6" t="s">
        <v>1276</v>
      </c>
      <c r="K6">
        <f t="array" ref="K6">CONCATENATE("update msg_out_fld_config set msg_fld_name = '",A6,"' where cd = 'B03AC5FDA882847F14980B7B7F545DFC';")</f>
        <v>0</v>
      </c>
      <c r="M6">
        <f t="array" ref="M6">CONCATENATE("update msg_out_fld set description = '",D6,"' where tab_name = 'CONTRACT_EBANKING' and fld_name = 'CONTRACT_ID';")</f>
        <v>0</v>
      </c>
    </row>
    <row r="7" spans="1:13">
      <c r="A7" t="s">
        <v>93</v>
      </c>
      <c r="C7" t="s">
        <v>90</v>
      </c>
      <c r="D7" t="s">
        <v>94</v>
      </c>
      <c r="H7" t="s">
        <v>92</v>
      </c>
      <c r="K7">
        <f t="array" ref="K7">CONCATENATE("update msg_out_fld_config set msg_fld_name = '",A7,"' where cd = 'EF697DB48AAF2EED2D1D605017C0444B';")</f>
        <v>0</v>
      </c>
      <c r="M7">
        <f t="array" ref="M7">CONCATENATE("update msg_out_fld set description = '",D7,"' where tab_name = 'CONTRACT_EBANKING' and fld_name = 'AKTID';")</f>
        <v>0</v>
      </c>
    </row>
    <row r="8" spans="1:13">
      <c r="A8" t="s">
        <v>421</v>
      </c>
      <c r="C8" t="s">
        <v>90</v>
      </c>
      <c r="D8" t="s">
        <v>1278</v>
      </c>
      <c r="E8" t="s">
        <v>1184</v>
      </c>
      <c r="H8" t="s">
        <v>420</v>
      </c>
      <c r="K8">
        <f t="array" ref="K8">CONCATENATE("update msg_out_fld_config set msg_fld_name = '",A8,"' where cd = '7CA2314ACA506C5337DA992655C105EC';")</f>
        <v>0</v>
      </c>
      <c r="M8">
        <f t="array" ref="M8">CONCATENATE("update msg_out_fld set description = '",D8,"' where tab_name = 'CONTRACT_EBANKING' and fld_name = 'KUNDENID';")</f>
        <v>0</v>
      </c>
    </row>
    <row r="9" spans="1:13">
      <c r="A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24</v>
      </c>
      <c r="K9">
        <f t="array" ref="K9">CONCATENATE("update msg_out_fld_config set msg_fld_name = '",A9,"' where cd = '4E8CC98109540F8CC43CC5F0F32F099C';")</f>
        <v>0</v>
      </c>
      <c r="M9">
        <f t="array" ref="M9">CONCATENATE("update msg_out_fld set description = '",D9,"' where tab_name = 'CONTRACT_EBANKING' and fld_name = 'LOESCH_CD';")</f>
        <v>0</v>
      </c>
    </row>
    <row r="10" spans="1:13">
      <c r="A10" t="s">
        <v>32</v>
      </c>
      <c r="C10" t="s">
        <v>104</v>
      </c>
      <c r="D10" t="s">
        <v>34</v>
      </c>
      <c r="H10" t="s">
        <v>31</v>
      </c>
      <c r="K10">
        <f t="array" ref="K10">CONCATENATE("update msg_out_fld_config set msg_fld_name = '",A10,"' where cd = '2F534564DD0D85880D0AB586DDF41B8F';")</f>
        <v>0</v>
      </c>
      <c r="M10">
        <f t="array" ref="M10">CONCATENATE("update msg_out_fld set description = '",D10,"' where tab_name = 'CONTRACT_EBANKING' and fld_name = 'LOESCHDATUM';")</f>
        <v>0</v>
      </c>
    </row>
    <row r="11" spans="1:13">
      <c r="A11" t="s">
        <v>45</v>
      </c>
      <c r="C11" t="s">
        <v>33</v>
      </c>
      <c r="D11" t="s">
        <v>46</v>
      </c>
      <c r="H11" t="s">
        <v>44</v>
      </c>
      <c r="K11">
        <f t="array" ref="K11">CONCATENATE("update msg_out_fld_config set msg_fld_name = '",A11,"' where cd = 'E3BFAB629BE242AD1820389A41FCAB66';")</f>
        <v>0</v>
      </c>
      <c r="M11">
        <f t="array" ref="M11">CONCATENATE("update msg_out_fld set description = '",D11,"' where tab_name = 'CONTRACT_EBANKING' and fld_name = 'CRTDATUM';")</f>
        <v>0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  <c r="K12">
        <f t="array" ref="K12">CONCATENATE("update msg_out_fld_config set msg_fld_name = '",A12,"' where cd = 'F90A8D1CB0CB8AC9282807F5D394AFA9';")</f>
        <v>0</v>
      </c>
      <c r="M12">
        <f t="array" ref="M12">CONCATENATE("update msg_out_fld set description = '",D12,"' where tab_name = 'CONTRACT_EBANKING' and fld_name = 'CRTUSER';")</f>
        <v>0</v>
      </c>
    </row>
    <row r="13" spans="1:13">
      <c r="A13" t="s">
        <v>55</v>
      </c>
      <c r="C13" t="s">
        <v>37</v>
      </c>
      <c r="D13" t="s">
        <v>1279</v>
      </c>
      <c r="H13" t="s">
        <v>549</v>
      </c>
      <c r="K13">
        <f t="array" ref="K13">CONCATENATE("update msg_out_fld_config set msg_fld_name = '",A13,"' where cd = '9C6060EB87C0793D3523AD0A0DF4794F';")</f>
        <v>0</v>
      </c>
      <c r="M13">
        <f t="array" ref="M13">CONCATENATE("update msg_out_fld set description = '",D13,"' where tab_name = 'CONTRACT_EBANKING' and fld_name = 'BEZEICHNUNG';")</f>
        <v>0</v>
      </c>
    </row>
    <row r="14" spans="1:13">
      <c r="A14" t="s">
        <v>1280</v>
      </c>
      <c r="C14" t="s">
        <v>90</v>
      </c>
      <c r="D14" t="s">
        <v>1281</v>
      </c>
      <c r="E14" t="s">
        <v>1157</v>
      </c>
      <c r="F14" t="s">
        <v>23</v>
      </c>
      <c r="H14" t="s">
        <v>482</v>
      </c>
      <c r="K14">
        <f t="array" ref="K14">CONCATENATE("update msg_out_fld_config set msg_fld_name = '",A14,"' where cd = '5B53EF65C0505F6F0259BF28B5651011';")</f>
        <v>0</v>
      </c>
      <c r="M14">
        <f t="array" ref="M14">CONCATENATE("update msg_out_fld set description = '",D14,"' where tab_name = 'CONTRACT_EBANKING' and fld_name = 'DOKUMENT_CD';")</f>
        <v>0</v>
      </c>
    </row>
    <row r="15" spans="1:13">
      <c r="A15" t="s">
        <v>58</v>
      </c>
      <c r="C15" t="s">
        <v>33</v>
      </c>
      <c r="D15" t="s">
        <v>59</v>
      </c>
      <c r="H15" t="s">
        <v>57</v>
      </c>
      <c r="K15">
        <f t="array" ref="K15">CONCATENATE("update msg_out_fld_config set msg_fld_name = '",A15,"' where cd = '693C90D9A5A2A84C796299C07C537002';")</f>
        <v>0</v>
      </c>
      <c r="M15">
        <f t="array" ref="M15">CONCATENATE("update msg_out_fld set description = '",D15,"' where tab_name = 'CONTRACT_EBANKING' and fld_name = 'MUTDATUM';")</f>
        <v>0</v>
      </c>
    </row>
    <row r="16" spans="1:13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  <c r="K16">
        <f t="array" ref="K16">CONCATENATE("update msg_out_fld_config set msg_fld_name = '",A16,"' where cd = 'E2948950D8A2ECF3B8F1E9542687D843';")</f>
        <v>0</v>
      </c>
      <c r="M16">
        <f t="array" ref="M16">CONCATENATE("update msg_out_fld set description = '",D16,"' where tab_name = 'CONTRACT_EBANKING' and fld_name = 'MUTUSER';")</f>
        <v>0</v>
      </c>
    </row>
    <row r="17" spans="1:13">
      <c r="A17" t="s">
        <v>193</v>
      </c>
      <c r="C17" t="s">
        <v>26</v>
      </c>
      <c r="D17" t="s">
        <v>1282</v>
      </c>
      <c r="E17" t="s">
        <v>195</v>
      </c>
      <c r="F17" t="s">
        <v>29</v>
      </c>
      <c r="G17" t="s">
        <v>196</v>
      </c>
      <c r="H17" t="s">
        <v>192</v>
      </c>
      <c r="K17">
        <f t="array" ref="K17">CONCATENATE("update msg_out_fld_config set msg_fld_name = '",A17,"' where cd = '49ABE0F8740758F746B5C329AC88FBA1';")</f>
        <v>0</v>
      </c>
      <c r="M17">
        <f t="array" ref="M17">CONCATENATE("update msg_out_fld set description = '",D17,"' where tab_name = 'CONTRACT_EBANKING' and fld_name = 'VALID_CD';")</f>
        <v>0</v>
      </c>
    </row>
    <row r="18" spans="1:13">
      <c r="A18" t="s">
        <v>201</v>
      </c>
      <c r="C18" t="s">
        <v>90</v>
      </c>
      <c r="D18" t="s">
        <v>202</v>
      </c>
      <c r="H18" t="s">
        <v>200</v>
      </c>
      <c r="K18">
        <f t="array" ref="K18">CONCATENATE("update msg_out_fld_config set msg_fld_name = '",A18,"' where cd = '72DE62C9423F37AFD3878A5434C72FD3';")</f>
        <v>0</v>
      </c>
      <c r="M18">
        <f t="array" ref="M18">CONCATENATE("update msg_out_fld set description = '",D18,"' where tab_name = 'CONTRACT_EBANKING' and fld_name = 'VALIDID';")</f>
        <v>0</v>
      </c>
    </row>
    <row r="19" spans="1:13">
      <c r="A19" t="s">
        <v>207</v>
      </c>
      <c r="C19" t="s">
        <v>37</v>
      </c>
      <c r="D19" t="s">
        <v>1283</v>
      </c>
      <c r="E19" t="s">
        <v>39</v>
      </c>
      <c r="F19" t="s">
        <v>23</v>
      </c>
      <c r="H19" t="s">
        <v>206</v>
      </c>
      <c r="K19">
        <f t="array" ref="K19">CONCATENATE("update msg_out_fld_config set msg_fld_name = '",A19,"' where cd = '31A32FAE3821459E9D3F40434D12717D';")</f>
        <v>0</v>
      </c>
      <c r="M19">
        <f t="array" ref="M19">CONCATENATE("update msg_out_fld set description = '",D19,"' where tab_name = 'CONTRACT_EBANKING' and fld_name = 'VALIDUSER';")</f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27.140625" customWidth="1"/>
    <col min="2" max="2" width="4.28515625" customWidth="1"/>
    <col min="3" max="3" width="15.140625" customWidth="1"/>
    <col min="4" max="4" width="41.5703125" customWidth="1"/>
    <col min="5" max="5" width="34.28515625" customWidth="1"/>
    <col min="6" max="6" width="10.28515625" customWidth="1"/>
    <col min="7" max="7" width="18.7109375" customWidth="1"/>
    <col min="8" max="8" width="30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3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1284</v>
      </c>
    </row>
    <row r="2" spans="1:13">
      <c r="A2" s="1" t="s">
        <v>1285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1286</v>
      </c>
      <c r="K6">
        <f t="array" ref="K6">CONCATENATE("update msg_out_fld_config set msg_fld_name = '",A6,"' where cd = 'A7E37C8E4862791FFD5AAB22EC18933B';")</f>
        <v>0</v>
      </c>
      <c r="M6">
        <f t="array" ref="M6">CONCATENATE("update msg_out_fld set description = '",D6,"' where tab_name = 'GESCHART' and fld_name = 'GESCHART_CD';")</f>
        <v>0</v>
      </c>
    </row>
    <row r="7" spans="1:13">
      <c r="A7" t="s">
        <v>1288</v>
      </c>
      <c r="C7" t="s">
        <v>26</v>
      </c>
      <c r="D7" t="s">
        <v>1289</v>
      </c>
      <c r="E7" t="s">
        <v>28</v>
      </c>
      <c r="F7" t="s">
        <v>29</v>
      </c>
      <c r="G7" t="s">
        <v>30</v>
      </c>
      <c r="H7" t="s">
        <v>1287</v>
      </c>
      <c r="K7">
        <f t="array" ref="K7">CONCATENATE("update msg_out_fld_config set msg_fld_name = '",A7,"' where cd = '6E8E2DEA40DC9065D6F4128A2B857A8C';")</f>
        <v>0</v>
      </c>
      <c r="M7">
        <f t="array" ref="M7">CONCATENATE("update msg_out_fld set description = '",D7,"' where tab_name = 'GESCHART' and fld_name = 'BLANK_DOKUMENTE_CD';")</f>
        <v>0</v>
      </c>
    </row>
    <row r="8" spans="1:13">
      <c r="A8" t="s">
        <v>1291</v>
      </c>
      <c r="C8" t="s">
        <v>26</v>
      </c>
      <c r="D8" t="s">
        <v>978</v>
      </c>
      <c r="E8" t="s">
        <v>1292</v>
      </c>
      <c r="F8" t="s">
        <v>29</v>
      </c>
      <c r="G8" t="s">
        <v>1293</v>
      </c>
      <c r="H8" t="s">
        <v>1290</v>
      </c>
      <c r="K8">
        <f t="array" ref="K8">CONCATENATE("update msg_out_fld_config set msg_fld_name = '",A8,"' where cd = '29874CFCD1B1199E8A0F207DC8D86E65';")</f>
        <v>0</v>
      </c>
      <c r="M8">
        <f t="array" ref="M8">CONCATENATE("update msg_out_fld set description = '",D8,"' where tab_name = 'GESCHART' and fld_name = 'KUNDENART_CD';")</f>
        <v>0</v>
      </c>
    </row>
    <row r="9" spans="1:13">
      <c r="A9" t="s">
        <v>710</v>
      </c>
      <c r="C9" t="s">
        <v>26</v>
      </c>
      <c r="D9" t="s">
        <v>711</v>
      </c>
      <c r="E9" t="s">
        <v>712</v>
      </c>
      <c r="F9" t="s">
        <v>29</v>
      </c>
      <c r="G9" t="s">
        <v>713</v>
      </c>
      <c r="H9" t="s">
        <v>709</v>
      </c>
      <c r="K9">
        <f t="array" ref="K9">CONCATENATE("update msg_out_fld_config set msg_fld_name = '",A9,"' where cd = '5816B55F1AD47C54F0DAA94D130DF0B8';")</f>
        <v>0</v>
      </c>
      <c r="M9">
        <f t="array" ref="M9">CONCATENATE("update msg_out_fld set description = '",D9,"' where tab_name = 'GESCHART' and fld_name = 'NATURE_CD';")</f>
        <v>0</v>
      </c>
    </row>
    <row r="10" spans="1:13">
      <c r="A10" t="s">
        <v>1294</v>
      </c>
      <c r="C10" t="s">
        <v>26</v>
      </c>
      <c r="D10" t="s">
        <v>730</v>
      </c>
      <c r="E10" t="s">
        <v>1295</v>
      </c>
      <c r="F10" t="s">
        <v>29</v>
      </c>
      <c r="G10" t="s">
        <v>1296</v>
      </c>
      <c r="H10" t="s">
        <v>1211</v>
      </c>
      <c r="K10">
        <f t="array" ref="K10">CONCATENATE("update msg_out_fld_config set msg_fld_name = '",A10,"' where cd = 'AC1011A7C80D1F4C4C4706D5C57B86E4';")</f>
        <v>0</v>
      </c>
      <c r="M10">
        <f t="array" ref="M10">CONCATENATE("update msg_out_fld set description = '",D10,"' where tab_name = 'GESCHART' and fld_name = 'KUNDENTYP_CD';")</f>
        <v>0</v>
      </c>
    </row>
    <row r="11" spans="1:13">
      <c r="A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24</v>
      </c>
      <c r="K11">
        <f t="array" ref="K11">CONCATENATE("update msg_out_fld_config set msg_fld_name = '",A11,"' where cd = 'FE645071025DBF83EF36B22134ACC290';")</f>
        <v>0</v>
      </c>
      <c r="M11">
        <f t="array" ref="M11">CONCATENATE("update msg_out_fld set description = '",D11,"' where tab_name = 'GESCHART' and fld_name = 'LOESCH_CD';")</f>
        <v>0</v>
      </c>
    </row>
    <row r="12" spans="1:13">
      <c r="A12" t="s">
        <v>32</v>
      </c>
      <c r="C12" t="s">
        <v>33</v>
      </c>
      <c r="D12" t="s">
        <v>34</v>
      </c>
      <c r="H12" t="s">
        <v>31</v>
      </c>
      <c r="K12">
        <f t="array" ref="K12">CONCATENATE("update msg_out_fld_config set msg_fld_name = '",A12,"' where cd = '1B0189513C2330429EE3CD68A86D8EA7';")</f>
        <v>0</v>
      </c>
      <c r="M12">
        <f t="array" ref="M12">CONCATENATE("update msg_out_fld set description = '",D12,"' where tab_name = 'GESCHART' and fld_name = 'LOESCHDATUM';")</f>
        <v>0</v>
      </c>
    </row>
    <row r="13" spans="1:13">
      <c r="A13" t="s">
        <v>36</v>
      </c>
      <c r="C13" t="s">
        <v>37</v>
      </c>
      <c r="D13" t="s">
        <v>38</v>
      </c>
      <c r="E13" t="s">
        <v>39</v>
      </c>
      <c r="F13" t="s">
        <v>23</v>
      </c>
      <c r="H13" t="s">
        <v>35</v>
      </c>
      <c r="K13">
        <f t="array" ref="K13">CONCATENATE("update msg_out_fld_config set msg_fld_name = '",A13,"' where cd = '8A82AE56484C5A12856CCC195BB78B46';")</f>
        <v>0</v>
      </c>
      <c r="M13">
        <f t="array" ref="M13">CONCATENATE("update msg_out_fld set description = '",D13,"' where tab_name = 'GESCHART' and fld_name = 'LOESCHUSER';")</f>
        <v>0</v>
      </c>
    </row>
    <row r="14" spans="1:13">
      <c r="A14" t="s">
        <v>45</v>
      </c>
      <c r="C14" t="s">
        <v>33</v>
      </c>
      <c r="D14" t="s">
        <v>46</v>
      </c>
      <c r="H14" t="s">
        <v>44</v>
      </c>
      <c r="K14">
        <f t="array" ref="K14">CONCATENATE("update msg_out_fld_config set msg_fld_name = '",A14,"' where cd = 'FC2868DAFDF78B692125E194877AC8CC';")</f>
        <v>0</v>
      </c>
      <c r="M14">
        <f t="array" ref="M14">CONCATENATE("update msg_out_fld set description = '",D14,"' where tab_name = 'GESCHART' and fld_name = 'CRTDATUM';")</f>
        <v>0</v>
      </c>
    </row>
    <row r="15" spans="1:13">
      <c r="A15" t="s">
        <v>48</v>
      </c>
      <c r="C15" t="s">
        <v>37</v>
      </c>
      <c r="D15" t="s">
        <v>49</v>
      </c>
      <c r="E15" t="s">
        <v>39</v>
      </c>
      <c r="F15" t="s">
        <v>23</v>
      </c>
      <c r="H15" t="s">
        <v>47</v>
      </c>
      <c r="K15">
        <f t="array" ref="K15">CONCATENATE("update msg_out_fld_config set msg_fld_name = '",A15,"' where cd = 'DF40772829EB138FF3048EFE268622AC';")</f>
        <v>0</v>
      </c>
      <c r="M15">
        <f t="array" ref="M15">CONCATENATE("update msg_out_fld set description = '",D15,"' where tab_name = 'GESCHART' and fld_name = 'CRTUSER';")</f>
        <v>0</v>
      </c>
    </row>
    <row r="16" spans="1:13">
      <c r="A16" t="s">
        <v>55</v>
      </c>
      <c r="C16" t="s">
        <v>1298</v>
      </c>
      <c r="D16" t="s">
        <v>749</v>
      </c>
      <c r="H16" t="s">
        <v>1297</v>
      </c>
      <c r="K16">
        <f t="array" ref="K16">CONCATENATE("update msg_out_fld_config set msg_fld_name = '",A16,"' where cd = 'F717D4EDB71771DD402074D74C3AC285';")</f>
        <v>0</v>
      </c>
      <c r="M16">
        <f t="array" ref="M16">CONCATENATE("update msg_out_fld set description = '",D16,"' where tab_name = 'GESCHART' and fld_name = 'GESCHART';")</f>
        <v>0</v>
      </c>
    </row>
    <row r="17" spans="1:13">
      <c r="A17" t="s">
        <v>1300</v>
      </c>
      <c r="C17" t="s">
        <v>26</v>
      </c>
      <c r="D17" t="s">
        <v>1301</v>
      </c>
      <c r="E17" t="s">
        <v>28</v>
      </c>
      <c r="F17" t="s">
        <v>29</v>
      </c>
      <c r="G17" t="s">
        <v>30</v>
      </c>
      <c r="H17" t="s">
        <v>1299</v>
      </c>
      <c r="K17">
        <f t="array" ref="K17">CONCATENATE("update msg_out_fld_config set msg_fld_name = '",A17,"' where cd = 'C117D2CC251CCC2C024D6A19E90ED189';")</f>
        <v>0</v>
      </c>
      <c r="M17">
        <f t="array" ref="M17">CONCATENATE("update msg_out_fld set description = '",D17,"' where tab_name = 'GESCHART' and fld_name = 'AKTIV_CD';")</f>
        <v>0</v>
      </c>
    </row>
    <row r="18" spans="1:13">
      <c r="A18" t="s">
        <v>1256</v>
      </c>
      <c r="C18" t="s">
        <v>26</v>
      </c>
      <c r="D18" t="s">
        <v>238</v>
      </c>
      <c r="E18" t="s">
        <v>28</v>
      </c>
      <c r="F18" t="s">
        <v>29</v>
      </c>
      <c r="G18" t="s">
        <v>30</v>
      </c>
      <c r="H18" t="s">
        <v>1255</v>
      </c>
      <c r="K18">
        <f t="array" ref="K18">CONCATENATE("update msg_out_fld_config set msg_fld_name = '",A18,"' where cd = '3E11A3DC1AB2C73746B45757847D8467';")</f>
        <v>0</v>
      </c>
      <c r="M18">
        <f t="array" ref="M18">CONCATENATE("update msg_out_fld set description = '",D18,"' where tab_name = 'GESCHART' and fld_name = 'AEOI_RELEVANT_CD';")</f>
        <v>0</v>
      </c>
    </row>
    <row r="19" spans="1:13">
      <c r="A19" t="s">
        <v>58</v>
      </c>
      <c r="C19" t="s">
        <v>33</v>
      </c>
      <c r="D19" t="s">
        <v>59</v>
      </c>
      <c r="H19" t="s">
        <v>57</v>
      </c>
      <c r="K19">
        <f t="array" ref="K19">CONCATENATE("update msg_out_fld_config set msg_fld_name = '",A19,"' where cd = '2D2C0BE5096AB9E430F59043D9794CBB';")</f>
        <v>0</v>
      </c>
      <c r="M19">
        <f t="array" ref="M19">CONCATENATE("update msg_out_fld set description = '",D19,"' where tab_name = 'GESCHART' and fld_name = 'MUTDATUM';")</f>
        <v>0</v>
      </c>
    </row>
    <row r="20" spans="1:13">
      <c r="A20" t="s">
        <v>61</v>
      </c>
      <c r="C20" t="s">
        <v>37</v>
      </c>
      <c r="D20" t="s">
        <v>62</v>
      </c>
      <c r="E20" t="s">
        <v>39</v>
      </c>
      <c r="F20" t="s">
        <v>23</v>
      </c>
      <c r="H20" t="s">
        <v>60</v>
      </c>
      <c r="K20">
        <f t="array" ref="K20">CONCATENATE("update msg_out_fld_config set msg_fld_name = '",A20,"' where cd = '903D28E4250238870016D50D204B160A';")</f>
        <v>0</v>
      </c>
      <c r="M20">
        <f t="array" ref="M20">CONCATENATE("update msg_out_fld set description = '",D20,"' where tab_name = 'GESCHART' and fld_name = 'MUTUSER';")</f>
        <v>0</v>
      </c>
    </row>
    <row r="21" spans="1:13">
      <c r="A21" t="s">
        <v>1303</v>
      </c>
      <c r="C21" t="s">
        <v>75</v>
      </c>
      <c r="D21" t="s">
        <v>1304</v>
      </c>
      <c r="H21" t="s">
        <v>1302</v>
      </c>
      <c r="K21">
        <f t="array" ref="K21">CONCATENATE("update msg_out_fld_config set msg_fld_name = '",A21,"' where cd = '34B23BC30018FD48B7F0F05603D5D6F8';")</f>
        <v>0</v>
      </c>
      <c r="M21">
        <f t="array" ref="M21">CONCATENATE("update msg_out_fld set description = '",D21,"' where tab_name = 'GESCHART' and fld_name = 'TEXT1';")</f>
        <v>0</v>
      </c>
    </row>
    <row r="22" spans="1:13">
      <c r="A22" t="s">
        <v>1306</v>
      </c>
      <c r="C22" t="s">
        <v>75</v>
      </c>
      <c r="D22" t="s">
        <v>1307</v>
      </c>
      <c r="H22" t="s">
        <v>1305</v>
      </c>
      <c r="K22">
        <f t="array" ref="K22">CONCATENATE("update msg_out_fld_config set msg_fld_name = '",A22,"' where cd = '33CBDD2A4DE39DD76581DCD22CA713E4';")</f>
        <v>0</v>
      </c>
      <c r="M22">
        <f t="array" ref="M22">CONCATENATE("update msg_out_fld set description = '",D22,"' where tab_name = 'GESCHART' and fld_name = 'TEXT2';")</f>
        <v>0</v>
      </c>
    </row>
    <row r="23" spans="1:13">
      <c r="A23" t="s">
        <v>1309</v>
      </c>
      <c r="C23" t="s">
        <v>75</v>
      </c>
      <c r="D23" t="s">
        <v>1310</v>
      </c>
      <c r="H23" t="s">
        <v>1308</v>
      </c>
      <c r="K23">
        <f t="array" ref="K23">CONCATENATE("update msg_out_fld_config set msg_fld_name = '",A23,"' where cd = '917E50254BA6D0184E3BB65D1722E846';")</f>
        <v>0</v>
      </c>
      <c r="M23">
        <f t="array" ref="M23">CONCATENATE("update msg_out_fld set description = '",D23,"' where tab_name = 'GESCHART' and fld_name = 'TEXT3';")</f>
        <v>0</v>
      </c>
    </row>
    <row r="24" spans="1:13">
      <c r="A24" t="s">
        <v>1312</v>
      </c>
      <c r="C24" t="s">
        <v>75</v>
      </c>
      <c r="D24" t="s">
        <v>1313</v>
      </c>
      <c r="H24" t="s">
        <v>1311</v>
      </c>
      <c r="K24">
        <f t="array" ref="K24">CONCATENATE("update msg_out_fld_config set msg_fld_name = '",A24,"' where cd = 'AC984F248474D8D38ACCEE8277A161B1';")</f>
        <v>0</v>
      </c>
      <c r="M24">
        <f t="array" ref="M24">CONCATENATE("update msg_out_fld set description = '",D24,"' where tab_name = 'GESCHART' and fld_name = 'TEXT4';")</f>
        <v>0</v>
      </c>
    </row>
    <row r="25" spans="1:13">
      <c r="A25" t="s">
        <v>1315</v>
      </c>
      <c r="C25" t="s">
        <v>26</v>
      </c>
      <c r="D25" t="s">
        <v>1316</v>
      </c>
      <c r="E25" t="s">
        <v>28</v>
      </c>
      <c r="F25" t="s">
        <v>29</v>
      </c>
      <c r="G25" t="s">
        <v>30</v>
      </c>
      <c r="H25" t="s">
        <v>1314</v>
      </c>
      <c r="K25">
        <f t="array" ref="K25">CONCATENATE("update msg_out_fld_config set msg_fld_name = '",A25,"' where cd = '01F0C7D2765E48B4A4B2065AF3EC89BA';")</f>
        <v>0</v>
      </c>
      <c r="M25">
        <f t="array" ref="M25">CONCATENATE("update msg_out_fld set description = '",D25,"' where tab_name = 'GESCHART' and fld_name = 'USE_STANDARD_DOKUMENTE_CD';")</f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33.140625" customWidth="1"/>
    <col min="2" max="2" width="4.28515625" customWidth="1"/>
    <col min="3" max="3" width="13.85546875" customWidth="1"/>
    <col min="4" max="4" width="49.85546875" customWidth="1"/>
    <col min="5" max="5" width="34.28515625" customWidth="1"/>
    <col min="6" max="6" width="10.28515625" customWidth="1"/>
    <col min="7" max="7" width="15.140625" customWidth="1"/>
    <col min="8" max="8" width="31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83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1317</v>
      </c>
    </row>
    <row r="2" spans="1:13">
      <c r="A2" s="1" t="s">
        <v>1318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1319</v>
      </c>
      <c r="K6">
        <f t="array" ref="K6">CONCATENATE("update msg_out_fld_config set msg_fld_name = '",A6,"' where cd = '90C3BD7983682715C8C0A84709FC335F';")</f>
        <v>0</v>
      </c>
      <c r="M6">
        <f t="array" ref="M6">CONCATENATE("update msg_out_fld set description = '",D6,"' where tab_name = 'CONTROLLING_PERSON_TYPE' and fld_name = 'TYPE_CD';")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'A6A563447FF84308C3AEE9DE6E4E1428';")</f>
        <v>0</v>
      </c>
      <c r="M7">
        <f t="array" ref="M7">CONCATENATE("update msg_out_fld set description = '",D7,"' where tab_name = 'CONTROLLING_PERSON_TYPE'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'EC59EAACCFB973F03FD260B13BDE0183';")</f>
        <v>0</v>
      </c>
      <c r="M8">
        <f t="array" ref="M8">CONCATENATE("update msg_out_fld set description = '",D8,"' where tab_name = 'CONTROLLING_PERSON_TYPE'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'57B0DFD1E17A57A7E37BFD143D04910D';")</f>
        <v>0</v>
      </c>
      <c r="M9">
        <f t="array" ref="M9">CONCATENATE("update msg_out_fld set description = '",D9,"' where tab_name = 'CONTROLLING_PERSON_TYPE' and fld_name = 'LOESCHUSER';")</f>
        <v>0</v>
      </c>
    </row>
    <row r="10" spans="1:13">
      <c r="A10" t="s">
        <v>45</v>
      </c>
      <c r="C10" t="s">
        <v>33</v>
      </c>
      <c r="D10" t="s">
        <v>227</v>
      </c>
      <c r="H10" t="s">
        <v>44</v>
      </c>
      <c r="K10">
        <f t="array" ref="K10">CONCATENATE("update msg_out_fld_config set msg_fld_name = '",A10,"' where cd = '770EEF1491D02EC3FDE34E478A8A49AE';")</f>
        <v>0</v>
      </c>
      <c r="M10">
        <f t="array" ref="M10">CONCATENATE("update msg_out_fld set description = '",D10,"' where tab_name = 'CONTROLLING_PERSON_TYPE' and fld_name = 'CRTDATUM';")</f>
        <v>0</v>
      </c>
    </row>
    <row r="11" spans="1:13">
      <c r="A11" t="s">
        <v>48</v>
      </c>
      <c r="C11" t="s">
        <v>37</v>
      </c>
      <c r="D11" t="s">
        <v>228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'8C862C125395B1D230DD8A1B8B68BBA7';")</f>
        <v>0</v>
      </c>
      <c r="M11">
        <f t="array" ref="M11">CONCATENATE("update msg_out_fld set description = '",D11,"' where tab_name = 'CONTROLLING_PERSON_TYPE' and fld_name = 'CRTUSER';")</f>
        <v>0</v>
      </c>
    </row>
    <row r="12" spans="1:13">
      <c r="A12" t="s">
        <v>55</v>
      </c>
      <c r="C12" t="s">
        <v>230</v>
      </c>
      <c r="D12" t="s">
        <v>7</v>
      </c>
      <c r="H12" t="s">
        <v>229</v>
      </c>
      <c r="K12">
        <f t="array" ref="K12">CONCATENATE("update msg_out_fld_config set msg_fld_name = '",A12,"' where cd = '92E05E3B4E45FE25DBE12BAFCF68D51F';")</f>
        <v>0</v>
      </c>
      <c r="M12">
        <f t="array" ref="M12">CONCATENATE("update msg_out_fld set description = '",D12,"' where tab_name = 'CONTROLLING_PERSON_TYPE' and fld_name = 'DESCRIPTION';")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'FBF626AEDA1860C3CFD2F9C0F12EE9F5';")</f>
        <v>0</v>
      </c>
      <c r="M13">
        <f t="array" ref="M13">CONCATENATE("update msg_out_fld set description = '",D13,"' where tab_name = 'CONTROLLING_PERSON_TYPE'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'367887902F2B7C5F821DEA9B5D43E2FD';")</f>
        <v>0</v>
      </c>
      <c r="M14">
        <f t="array" ref="M14">CONCATENATE("update msg_out_fld set description = '",D14,"' where tab_name = 'CONTROLLING_PERSON_TYPE' and fld_name = 'MUTUSER';")</f>
        <v>0</v>
      </c>
    </row>
    <row r="15" spans="1:13">
      <c r="A15" t="s">
        <v>1321</v>
      </c>
      <c r="C15" t="s">
        <v>26</v>
      </c>
      <c r="D15" t="s">
        <v>1322</v>
      </c>
      <c r="E15" t="s">
        <v>28</v>
      </c>
      <c r="F15" t="s">
        <v>29</v>
      </c>
      <c r="G15" t="s">
        <v>30</v>
      </c>
      <c r="H15" t="s">
        <v>1320</v>
      </c>
      <c r="K15">
        <f t="array" ref="K15">CONCATENATE("update msg_out_fld_config set msg_fld_name = '",A15,"' where cd = '714A636B0C985C5FDDA8EEFC1C06CF1B';")</f>
        <v>0</v>
      </c>
      <c r="M15">
        <f t="array" ref="M15">CONCATENATE("update msg_out_fld set description = '",D15,"' where tab_name = 'CONTROLLING_PERSON_TYPE' and fld_name = 'AKTIEN_ANTEIL_MANDATORY_CD';")</f>
        <v>0</v>
      </c>
    </row>
    <row r="16" spans="1:13">
      <c r="A16" t="s">
        <v>1324</v>
      </c>
      <c r="C16" t="s">
        <v>26</v>
      </c>
      <c r="D16" t="s">
        <v>1325</v>
      </c>
      <c r="E16" t="s">
        <v>28</v>
      </c>
      <c r="F16" t="s">
        <v>29</v>
      </c>
      <c r="G16" t="s">
        <v>30</v>
      </c>
      <c r="H16" t="s">
        <v>1323</v>
      </c>
      <c r="K16">
        <f t="array" ref="K16">CONCATENATE("update msg_out_fld_config set msg_fld_name = '",A16,"' where cd = '28009F6947E9F7535BD2FB6387A88471';")</f>
        <v>0</v>
      </c>
      <c r="M16">
        <f t="array" ref="M16">CONCATENATE("update msg_out_fld set description = '",D16,"' where tab_name = 'CONTROLLING_PERSON_TYPE' and fld_name = 'AKTIEN_ANTEIL_MAX_25_CD';")</f>
        <v>0</v>
      </c>
    </row>
    <row r="17" spans="1:13">
      <c r="A17" t="s">
        <v>1327</v>
      </c>
      <c r="C17" t="s">
        <v>26</v>
      </c>
      <c r="D17" t="s">
        <v>1328</v>
      </c>
      <c r="E17" t="s">
        <v>28</v>
      </c>
      <c r="F17" t="s">
        <v>29</v>
      </c>
      <c r="G17" t="s">
        <v>30</v>
      </c>
      <c r="H17" t="s">
        <v>1326</v>
      </c>
      <c r="K17">
        <f t="array" ref="K17">CONCATENATE("update msg_out_fld_config set msg_fld_name = '",A17,"' where cd = 'F671A343DDA238D5173C1983BB4216F8';")</f>
        <v>0</v>
      </c>
      <c r="M17">
        <f t="array" ref="M17">CONCATENATE("update msg_out_fld set description = '",D17,"' where tab_name = 'CONTROLLING_PERSON_TYPE' and fld_name = 'AKTIEN_ANTEIL_MIN_25_CD';")</f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cols>
    <col min="1" max="1" width="28.28515625" customWidth="1"/>
    <col min="2" max="2" width="4.28515625" customWidth="1"/>
    <col min="3" max="3" width="16.28515625" customWidth="1"/>
    <col min="4" max="4" width="37.85546875" customWidth="1"/>
    <col min="5" max="5" width="34.28515625" customWidth="1"/>
    <col min="6" max="6" width="10.28515625" customWidth="1"/>
    <col min="7" max="7" width="15.140625" customWidth="1"/>
    <col min="8" max="8" width="30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7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1329</v>
      </c>
    </row>
    <row r="2" spans="1:13">
      <c r="A2" s="1" t="s">
        <v>1330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109</v>
      </c>
      <c r="K6">
        <f t="array" ref="K6">CONCATENATE("update msg_out_fld_config set msg_fld_name = '",A6,"' where cd = '7355602A929CF0FC5269B9A8A8BAB529';")</f>
        <v>0</v>
      </c>
      <c r="M6">
        <f t="array" ref="M6">CONCATENATE("update msg_out_fld set description = '",D6,"' where tab_name = 'LAND' and fld_name = 'LAND_CD';")</f>
        <v>0</v>
      </c>
    </row>
    <row r="7" spans="1:13">
      <c r="A7" t="s">
        <v>1332</v>
      </c>
      <c r="C7" t="s">
        <v>275</v>
      </c>
      <c r="D7" t="s">
        <v>1333</v>
      </c>
      <c r="H7" t="s">
        <v>1331</v>
      </c>
      <c r="K7">
        <f t="array" ref="K7">CONCATENATE("update msg_out_fld_config set msg_fld_name = '",A7,"' where cd = '6154C92A6C2B58E0BB319577C5B80372';")</f>
        <v>0</v>
      </c>
      <c r="M7">
        <f t="array" ref="M7">CONCATENATE("update msg_out_fld set description = '",D7,"' where tab_name = 'LAND' and fld_name = 'KURZCODE';")</f>
        <v>0</v>
      </c>
    </row>
    <row r="8" spans="1:13">
      <c r="A8" t="s">
        <v>1335</v>
      </c>
      <c r="C8" t="s">
        <v>104</v>
      </c>
      <c r="D8" t="s">
        <v>1336</v>
      </c>
      <c r="H8" t="s">
        <v>1334</v>
      </c>
      <c r="K8">
        <f t="array" ref="K8">CONCATENATE("update msg_out_fld_config set msg_fld_name = '",A8,"' where cd = '74806F49189971CA5D491B9BB34ABA90';")</f>
        <v>0</v>
      </c>
      <c r="M8">
        <f t="array" ref="M8">CONCATENATE("update msg_out_fld set description = '",D8,"' where tab_name = 'LAND' and fld_name = 'AEOI_START_REPORTING_YEAR';")</f>
        <v>0</v>
      </c>
    </row>
    <row r="9" spans="1:13">
      <c r="A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24</v>
      </c>
      <c r="K9">
        <f t="array" ref="K9">CONCATENATE("update msg_out_fld_config set msg_fld_name = '",A9,"' where cd = '8CF90DC5D1B1C4C208CB7EFD31856C52';")</f>
        <v>0</v>
      </c>
      <c r="M9">
        <f t="array" ref="M9">CONCATENATE("update msg_out_fld set description = '",D9,"' where tab_name = 'LAND' and fld_name = 'LOESCH_CD';")</f>
        <v>0</v>
      </c>
    </row>
    <row r="10" spans="1:13">
      <c r="A10" t="s">
        <v>32</v>
      </c>
      <c r="C10" t="s">
        <v>33</v>
      </c>
      <c r="D10" t="s">
        <v>34</v>
      </c>
      <c r="H10" t="s">
        <v>31</v>
      </c>
      <c r="K10">
        <f t="array" ref="K10">CONCATENATE("update msg_out_fld_config set msg_fld_name = '",A10,"' where cd = '516E9CCE6BB5EE960A4646A63A2F0278';")</f>
        <v>0</v>
      </c>
      <c r="M10">
        <f t="array" ref="M10">CONCATENATE("update msg_out_fld set description = '",D10,"' where tab_name = 'LAND' and fld_name = 'LOESCHDATUM';")</f>
        <v>0</v>
      </c>
    </row>
    <row r="11" spans="1:13">
      <c r="A11" t="s">
        <v>36</v>
      </c>
      <c r="C11" t="s">
        <v>37</v>
      </c>
      <c r="D11" t="s">
        <v>38</v>
      </c>
      <c r="E11" t="s">
        <v>39</v>
      </c>
      <c r="F11" t="s">
        <v>23</v>
      </c>
      <c r="H11" t="s">
        <v>35</v>
      </c>
      <c r="K11">
        <f t="array" ref="K11">CONCATENATE("update msg_out_fld_config set msg_fld_name = '",A11,"' where cd = '448D56A1FB4CBB0C6BF1AF21D3EFB3D4';")</f>
        <v>0</v>
      </c>
      <c r="M11">
        <f t="array" ref="M11">CONCATENATE("update msg_out_fld set description = '",D11,"' where tab_name = 'LAND' and fld_name = 'LOESCHUSER';")</f>
        <v>0</v>
      </c>
    </row>
    <row r="12" spans="1:13">
      <c r="A12" t="s">
        <v>1338</v>
      </c>
      <c r="C12" t="s">
        <v>890</v>
      </c>
      <c r="D12" t="s">
        <v>1339</v>
      </c>
      <c r="H12" t="s">
        <v>1337</v>
      </c>
      <c r="K12">
        <f t="array" ref="K12">CONCATENATE("update msg_out_fld_config set msg_fld_name = '",A12,"' where cd = '71F2B55FC1C15C7041B7CBFA19CE401E';")</f>
        <v>0</v>
      </c>
      <c r="M12">
        <f t="array" ref="M12">CONCATENATE("update msg_out_fld set description = '",D12,"' where tab_name = 'LAND' and fld_name = 'VORWAHL';")</f>
        <v>0</v>
      </c>
    </row>
    <row r="13" spans="1:13">
      <c r="A13" t="s">
        <v>1341</v>
      </c>
      <c r="C13" t="s">
        <v>90</v>
      </c>
      <c r="D13" t="s">
        <v>1342</v>
      </c>
      <c r="E13" t="s">
        <v>1343</v>
      </c>
      <c r="F13" t="s">
        <v>23</v>
      </c>
      <c r="H13" t="s">
        <v>1340</v>
      </c>
      <c r="K13">
        <f t="array" ref="K13">CONCATENATE("update msg_out_fld_config set msg_fld_name = '",A13,"' where cd = '3F40185C7AF5715CAFA8BE9EDB7BEB64';")</f>
        <v>0</v>
      </c>
      <c r="M13">
        <f t="array" ref="M13">CONCATENATE("update msg_out_fld set description = '",D13,"' where tab_name = 'LAND' and fld_name = 'IGA_STATUS';")</f>
        <v>0</v>
      </c>
    </row>
    <row r="14" spans="1:13">
      <c r="A14" t="s">
        <v>45</v>
      </c>
      <c r="C14" t="s">
        <v>33</v>
      </c>
      <c r="D14" t="s">
        <v>46</v>
      </c>
      <c r="H14" t="s">
        <v>44</v>
      </c>
      <c r="K14">
        <f t="array" ref="K14">CONCATENATE("update msg_out_fld_config set msg_fld_name = '",A14,"' where cd = 'EE643A6BC27C932D1B9A972DB0AB9C10';")</f>
        <v>0</v>
      </c>
      <c r="M14">
        <f t="array" ref="M14">CONCATENATE("update msg_out_fld set description = '",D14,"' where tab_name = 'LAND' and fld_name = 'CRTDATUM';")</f>
        <v>0</v>
      </c>
    </row>
    <row r="15" spans="1:13">
      <c r="A15" t="s">
        <v>48</v>
      </c>
      <c r="C15" t="s">
        <v>37</v>
      </c>
      <c r="D15" t="s">
        <v>49</v>
      </c>
      <c r="E15" t="s">
        <v>39</v>
      </c>
      <c r="F15" t="s">
        <v>23</v>
      </c>
      <c r="H15" t="s">
        <v>47</v>
      </c>
      <c r="K15">
        <f t="array" ref="K15">CONCATENATE("update msg_out_fld_config set msg_fld_name = '",A15,"' where cd = '1352FB47C64DE56E9A8D13F2838520A7';")</f>
        <v>0</v>
      </c>
      <c r="M15">
        <f t="array" ref="M15">CONCATENATE("update msg_out_fld set description = '",D15,"' where tab_name = 'LAND' and fld_name = 'CRTUSER';")</f>
        <v>0</v>
      </c>
    </row>
    <row r="16" spans="1:13">
      <c r="A16" t="s">
        <v>426</v>
      </c>
      <c r="C16" t="s">
        <v>20</v>
      </c>
      <c r="D16" t="s">
        <v>1345</v>
      </c>
      <c r="E16" t="s">
        <v>946</v>
      </c>
      <c r="F16" t="s">
        <v>23</v>
      </c>
      <c r="H16" t="s">
        <v>1344</v>
      </c>
      <c r="K16">
        <f t="array" ref="K16">CONCATENATE("update msg_out_fld_config set msg_fld_name = '",A16,"' where cd = 'EBC64DB6C0C186BE927495D6C433D4BC';")</f>
        <v>0</v>
      </c>
      <c r="M16">
        <f t="array" ref="M16">CONCATENATE("update msg_out_fld set description = '",D16,"' where tab_name = 'LAND' and fld_name = 'WAEHRUNGS_CD';")</f>
        <v>0</v>
      </c>
    </row>
    <row r="17" spans="1:13">
      <c r="A17" t="s">
        <v>55</v>
      </c>
      <c r="C17" t="s">
        <v>75</v>
      </c>
      <c r="D17" t="s">
        <v>111</v>
      </c>
      <c r="H17" t="s">
        <v>1346</v>
      </c>
      <c r="K17">
        <f t="array" ref="K17">CONCATENATE("update msg_out_fld_config set msg_fld_name = '",A17,"' where cd = '832C2014D94772C26AA576FD052B1465';")</f>
        <v>0</v>
      </c>
      <c r="M17">
        <f t="array" ref="M17">CONCATENATE("update msg_out_fld set description = '",D17,"' where tab_name = 'LAND' and fld_name = 'LAND';")</f>
        <v>0</v>
      </c>
    </row>
    <row r="18" spans="1:13">
      <c r="A18" t="s">
        <v>1348</v>
      </c>
      <c r="C18" t="s">
        <v>26</v>
      </c>
      <c r="D18" t="s">
        <v>1349</v>
      </c>
      <c r="E18" t="s">
        <v>28</v>
      </c>
      <c r="F18" t="s">
        <v>29</v>
      </c>
      <c r="G18" t="s">
        <v>30</v>
      </c>
      <c r="H18" t="s">
        <v>1347</v>
      </c>
      <c r="K18">
        <f t="array" ref="K18">CONCATENATE("update msg_out_fld_config set msg_fld_name = '",A18,"' where cd = '28947810D6717700FEE14E48AF322B2D';")</f>
        <v>0</v>
      </c>
      <c r="M18">
        <f t="array" ref="M18">CONCATENATE("update msg_out_fld set description = '",D18,"' where tab_name = 'LAND' and fld_name = 'PLZVORAUS_CD';")</f>
        <v>0</v>
      </c>
    </row>
    <row r="19" spans="1:13">
      <c r="A19" t="s">
        <v>1351</v>
      </c>
      <c r="C19" t="s">
        <v>26</v>
      </c>
      <c r="D19" t="s">
        <v>1352</v>
      </c>
      <c r="E19" t="s">
        <v>28</v>
      </c>
      <c r="F19" t="s">
        <v>29</v>
      </c>
      <c r="G19" t="s">
        <v>30</v>
      </c>
      <c r="H19" t="s">
        <v>1350</v>
      </c>
      <c r="K19">
        <f t="array" ref="K19">CONCATENATE("update msg_out_fld_config set msg_fld_name = '",A19,"' where cd = '3C4EBB95FF9CA23995A6147FD759D58E';")</f>
        <v>0</v>
      </c>
      <c r="M19">
        <f t="array" ref="M19">CONCATENATE("update msg_out_fld set description = '",D19,"' where tab_name = 'LAND' and fld_name = 'TIN_AVAILABLE_CD';")</f>
        <v>0</v>
      </c>
    </row>
    <row r="20" spans="1:13">
      <c r="A20" t="s">
        <v>1354</v>
      </c>
      <c r="C20" t="s">
        <v>26</v>
      </c>
      <c r="D20" t="s">
        <v>1355</v>
      </c>
      <c r="E20" t="s">
        <v>28</v>
      </c>
      <c r="F20" t="s">
        <v>29</v>
      </c>
      <c r="G20" t="s">
        <v>30</v>
      </c>
      <c r="H20" t="s">
        <v>1353</v>
      </c>
      <c r="K20">
        <f t="array" ref="K20">CONCATENATE("update msg_out_fld_config set msg_fld_name = '",A20,"' where cd = 'FF8E55A030249E8E2969199220EB12CC';")</f>
        <v>0</v>
      </c>
      <c r="M20">
        <f t="array" ref="M20">CONCATENATE("update msg_out_fld set description = '",D20,"' where tab_name = 'LAND' and fld_name = 'US_FATCA_LAND_CD';")</f>
        <v>0</v>
      </c>
    </row>
    <row r="21" spans="1:13">
      <c r="A21" t="s">
        <v>1357</v>
      </c>
      <c r="C21" t="s">
        <v>26</v>
      </c>
      <c r="D21" t="s">
        <v>1358</v>
      </c>
      <c r="E21" t="s">
        <v>28</v>
      </c>
      <c r="F21" t="s">
        <v>29</v>
      </c>
      <c r="G21" t="s">
        <v>30</v>
      </c>
      <c r="H21" t="s">
        <v>1356</v>
      </c>
      <c r="K21">
        <f t="array" ref="K21">CONCATENATE("update msg_out_fld_config set msg_fld_name = '",A21,"' where cd = '608ECC02440AFBDAD04846D229403C89';")</f>
        <v>0</v>
      </c>
      <c r="M21">
        <f t="array" ref="M21">CONCATENATE("update msg_out_fld set description = '",D21,"' where tab_name = 'LAND' and fld_name = 'STATFISCC_INLAND_CD';")</f>
        <v>0</v>
      </c>
    </row>
    <row r="22" spans="1:13">
      <c r="A22" t="s">
        <v>1360</v>
      </c>
      <c r="C22" t="s">
        <v>26</v>
      </c>
      <c r="D22" t="s">
        <v>238</v>
      </c>
      <c r="E22" t="s">
        <v>28</v>
      </c>
      <c r="F22" t="s">
        <v>29</v>
      </c>
      <c r="G22" t="s">
        <v>30</v>
      </c>
      <c r="H22" t="s">
        <v>1359</v>
      </c>
      <c r="K22">
        <f t="array" ref="K22">CONCATENATE("update msg_out_fld_config set msg_fld_name = '",A22,"' where cd = 'A7595EAAAD414664046DB2B0C300BB6D';")</f>
        <v>0</v>
      </c>
      <c r="M22">
        <f t="array" ref="M22">CONCATENATE("update msg_out_fld set description = '",D22,"' where tab_name = 'LAND' and fld_name = 'AEOI_REPORTABLE_CD';")</f>
        <v>0</v>
      </c>
    </row>
    <row r="23" spans="1:13">
      <c r="A23" t="s">
        <v>1362</v>
      </c>
      <c r="C23" t="s">
        <v>26</v>
      </c>
      <c r="D23" t="s">
        <v>1363</v>
      </c>
      <c r="E23" t="s">
        <v>28</v>
      </c>
      <c r="F23" t="s">
        <v>29</v>
      </c>
      <c r="G23" t="s">
        <v>30</v>
      </c>
      <c r="H23" t="s">
        <v>1361</v>
      </c>
      <c r="K23">
        <f t="array" ref="K23">CONCATENATE("update msg_out_fld_config set msg_fld_name = '",A23,"' where cd = '3894BC16265FA33A7A2475B35017F8B2';")</f>
        <v>0</v>
      </c>
      <c r="M23">
        <f t="array" ref="M23">CONCATENATE("update msg_out_fld set description = '",D23,"' where tab_name = 'LAND' and fld_name = 'INLAND_CD';")</f>
        <v>0</v>
      </c>
    </row>
    <row r="24" spans="1:13">
      <c r="A24" t="s">
        <v>1365</v>
      </c>
      <c r="C24" t="s">
        <v>26</v>
      </c>
      <c r="D24" t="s">
        <v>1366</v>
      </c>
      <c r="E24" t="s">
        <v>28</v>
      </c>
      <c r="F24" t="s">
        <v>29</v>
      </c>
      <c r="G24" t="s">
        <v>30</v>
      </c>
      <c r="H24" t="s">
        <v>1364</v>
      </c>
      <c r="K24">
        <f t="array" ref="K24">CONCATENATE("update msg_out_fld_config set msg_fld_name = '",A24,"' where cd = '020268970666CB9B3ECD7A10D692413B';")</f>
        <v>0</v>
      </c>
      <c r="M24">
        <f t="array" ref="M24">CONCATENATE("update msg_out_fld set description = '",D24,"' where tab_name = 'LAND' and fld_name = 'EU_LAND_CD';")</f>
        <v>0</v>
      </c>
    </row>
    <row r="25" spans="1:13">
      <c r="A25" t="s">
        <v>1368</v>
      </c>
      <c r="C25" t="s">
        <v>26</v>
      </c>
      <c r="D25" t="s">
        <v>1369</v>
      </c>
      <c r="E25" t="s">
        <v>28</v>
      </c>
      <c r="F25" t="s">
        <v>29</v>
      </c>
      <c r="G25" t="s">
        <v>30</v>
      </c>
      <c r="H25" t="s">
        <v>1367</v>
      </c>
      <c r="K25">
        <f t="array" ref="K25">CONCATENATE("update msg_out_fld_config set msg_fld_name = '",A25,"' where cd = '4CF7AA7F9FB25463BEEEC11AF15B48B4';")</f>
        <v>0</v>
      </c>
      <c r="M25">
        <f t="array" ref="M25">CONCATENATE("update msg_out_fld set description = '",D25,"' where tab_name = 'LAND' and fld_name = 'JURISDICTION_OF_BANK_CD';")</f>
        <v>0</v>
      </c>
    </row>
    <row r="26" spans="1:13">
      <c r="A26" t="s">
        <v>1371</v>
      </c>
      <c r="C26" t="s">
        <v>26</v>
      </c>
      <c r="D26" t="s">
        <v>1372</v>
      </c>
      <c r="E26" t="s">
        <v>28</v>
      </c>
      <c r="F26" t="s">
        <v>29</v>
      </c>
      <c r="G26" t="s">
        <v>30</v>
      </c>
      <c r="H26" t="s">
        <v>1370</v>
      </c>
      <c r="K26">
        <f t="array" ref="K26">CONCATENATE("update msg_out_fld_config set msg_fld_name = '",A26,"' where cd = '040CBADE073880D284F386DB26192C84';")</f>
        <v>0</v>
      </c>
      <c r="M26">
        <f t="array" ref="M26">CONCATENATE("update msg_out_fld set description = '",D26,"' where tab_name = 'LAND' and fld_name = 'ABGST_RELEVANT_CD';")</f>
        <v>0</v>
      </c>
    </row>
    <row r="27" spans="1:13">
      <c r="A27" t="s">
        <v>1374</v>
      </c>
      <c r="C27" t="s">
        <v>26</v>
      </c>
      <c r="D27" t="s">
        <v>1375</v>
      </c>
      <c r="E27" t="s">
        <v>28</v>
      </c>
      <c r="F27" t="s">
        <v>29</v>
      </c>
      <c r="G27" t="s">
        <v>30</v>
      </c>
      <c r="H27" t="s">
        <v>1373</v>
      </c>
      <c r="K27">
        <f t="array" ref="K27">CONCATENATE("update msg_out_fld_config set msg_fld_name = '",A27,"' where cd = '65AF4FF0F0E81838AC72F6CCF05C030E';")</f>
        <v>0</v>
      </c>
      <c r="M27">
        <f t="array" ref="M27">CONCATENATE("update msg_out_fld set description = '",D27,"' where tab_name = 'LAND' and fld_name = 'US_TERRITORY_CD';")</f>
        <v>0</v>
      </c>
    </row>
    <row r="28" spans="1:13">
      <c r="A28" t="s">
        <v>1377</v>
      </c>
      <c r="C28" t="s">
        <v>68</v>
      </c>
      <c r="D28" t="s">
        <v>1378</v>
      </c>
      <c r="E28" t="s">
        <v>1379</v>
      </c>
      <c r="F28" t="s">
        <v>23</v>
      </c>
      <c r="H28" t="s">
        <v>1376</v>
      </c>
      <c r="K28">
        <f t="array" ref="K28">CONCATENATE("update msg_out_fld_config set msg_fld_name = '",A28,"' where cd = 'C48456F508993AA2DC529AD06353CD49';")</f>
        <v>0</v>
      </c>
      <c r="M28">
        <f t="array" ref="M28">CONCATENATE("update msg_out_fld set description = '",D28,"' where tab_name = 'LAND' and fld_name = 'DESTINATION_CD';")</f>
        <v>0</v>
      </c>
    </row>
    <row r="29" spans="1:13">
      <c r="A29" t="s">
        <v>156</v>
      </c>
      <c r="C29" t="s">
        <v>68</v>
      </c>
      <c r="D29" t="s">
        <v>157</v>
      </c>
      <c r="E29" t="s">
        <v>158</v>
      </c>
      <c r="F29" t="s">
        <v>23</v>
      </c>
      <c r="H29" t="s">
        <v>155</v>
      </c>
      <c r="K29">
        <f t="array" ref="K29">CONCATENATE("update msg_out_fld_config set msg_fld_name = '",A29,"' where cd = '1F41FE82700F3633F076A553146E4516';")</f>
        <v>0</v>
      </c>
      <c r="M29">
        <f t="array" ref="M29">CONCATENATE("update msg_out_fld set description = '",D29,"' where tab_name = 'LAND' and fld_name = 'VERSANDPRIORITAET_CD';")</f>
        <v>0</v>
      </c>
    </row>
    <row r="30" spans="1:13">
      <c r="A30" t="s">
        <v>58</v>
      </c>
      <c r="C30" t="s">
        <v>33</v>
      </c>
      <c r="D30" t="s">
        <v>59</v>
      </c>
      <c r="H30" t="s">
        <v>57</v>
      </c>
      <c r="K30">
        <f t="array" ref="K30">CONCATENATE("update msg_out_fld_config set msg_fld_name = '",A30,"' where cd = '8EA142BEB4F52130F7C108152D349D20';")</f>
        <v>0</v>
      </c>
      <c r="M30">
        <f t="array" ref="M30">CONCATENATE("update msg_out_fld set description = '",D30,"' where tab_name = 'LAND' and fld_name = 'MUTDATUM';")</f>
        <v>0</v>
      </c>
    </row>
    <row r="31" spans="1:13">
      <c r="A31" t="s">
        <v>61</v>
      </c>
      <c r="C31" t="s">
        <v>37</v>
      </c>
      <c r="D31" t="s">
        <v>62</v>
      </c>
      <c r="E31" t="s">
        <v>39</v>
      </c>
      <c r="F31" t="s">
        <v>23</v>
      </c>
      <c r="H31" t="s">
        <v>60</v>
      </c>
      <c r="K31">
        <f t="array" ref="K31">CONCATENATE("update msg_out_fld_config set msg_fld_name = '",A31,"' where cd = '20643B74BE84007C82F39FF6F7035C44';")</f>
        <v>0</v>
      </c>
      <c r="M31">
        <f t="array" ref="M31">CONCATENATE("update msg_out_fld set description = '",D31,"' where tab_name = 'LAND' and fld_name = 'MUTUSER';")</f>
        <v>0</v>
      </c>
    </row>
    <row r="32" spans="1:13">
      <c r="A32" t="s">
        <v>1381</v>
      </c>
      <c r="C32" t="s">
        <v>26</v>
      </c>
      <c r="D32" t="s">
        <v>1382</v>
      </c>
      <c r="E32" t="s">
        <v>28</v>
      </c>
      <c r="F32" t="s">
        <v>29</v>
      </c>
      <c r="G32" t="s">
        <v>30</v>
      </c>
      <c r="H32" t="s">
        <v>1380</v>
      </c>
      <c r="K32">
        <f t="array" ref="K32">CONCATENATE("update msg_out_fld_config set msg_fld_name = '",A32,"' where cd = '0A2523D3BE09E1EB07EDC5D23BFF2443';")</f>
        <v>0</v>
      </c>
      <c r="M32">
        <f t="array" ref="M32">CONCATENATE("update msg_out_fld set description = '",D32,"' where tab_name = 'LAND' and fld_name = 'AUFETIKETTE_CD';")</f>
        <v>0</v>
      </c>
    </row>
    <row r="33" spans="1:13">
      <c r="A33" t="s">
        <v>83</v>
      </c>
      <c r="C33" t="s">
        <v>84</v>
      </c>
      <c r="D33" t="s">
        <v>85</v>
      </c>
      <c r="H33" t="s">
        <v>82</v>
      </c>
      <c r="K33">
        <f t="array" ref="K33">CONCATENATE("update msg_out_fld_config set msg_fld_name = '",A33,"' where cd = '8E1F8F48977D64811F30B3E7F4EEB302';")</f>
        <v>0</v>
      </c>
      <c r="M33">
        <f t="array" ref="M33">CONCATENATE("update msg_out_fld set description = '",D33,"' where tab_name = 'LAND' and fld_name = 'RISKINDEX';")</f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0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1383</v>
      </c>
    </row>
    <row r="2" spans="1:13">
      <c r="A2" s="1" t="s">
        <v>1384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s="2" t="s">
        <v>1385</v>
      </c>
      <c r="H6" t="s">
        <v>1385</v>
      </c>
      <c r="K6">
        <f t="array" ref="K6">CONCATENATE("update msg_out_fld_config set msg_fld_name = '",A6,"' where cd = 'B8A983B273C44EBEE9D1FDBA6E7226C8';")</f>
        <v>0</v>
      </c>
      <c r="M6">
        <f t="array" ref="M6">CONCATENATE("update msg_out_fld set description = '",D6,"' where tab_name = 'COUNTRY_IGA_STATUS' and fld_name = 'IGA_STATUS_CD';")</f>
        <v>0</v>
      </c>
    </row>
    <row r="7" spans="1:13">
      <c r="A7" t="s">
        <v>25</v>
      </c>
      <c r="C7" t="s">
        <v>26</v>
      </c>
      <c r="D7" s="2" t="s">
        <v>24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'50A72B0EC1C8D6D7EF0891E856540611';")</f>
        <v>0</v>
      </c>
      <c r="M7">
        <f t="array" ref="M7">CONCATENATE("update msg_out_fld set description = '",D7,"' where tab_name = 'COUNTRY_IGA_STATUS' and fld_name = 'LOESCH_CD';")</f>
        <v>0</v>
      </c>
    </row>
    <row r="8" spans="1:13">
      <c r="A8" t="s">
        <v>32</v>
      </c>
      <c r="C8" t="s">
        <v>104</v>
      </c>
      <c r="D8" t="s">
        <v>31</v>
      </c>
      <c r="H8" t="s">
        <v>31</v>
      </c>
      <c r="K8">
        <f t="array" ref="K8">CONCATENATE("update msg_out_fld_config set msg_fld_name = '",A8,"' where cd = 'B1767DE6102609ABA552D463BF0EEA8C';")</f>
        <v>0</v>
      </c>
      <c r="M8">
        <f t="array" ref="M8">CONCATENATE("update msg_out_fld set description = '",D8,"' where tab_name = 'COUNTRY_IGA_STATUS' and fld_name = 'LOESCHDATUM';")</f>
        <v>0</v>
      </c>
    </row>
    <row r="9" spans="1:13">
      <c r="A9" t="s">
        <v>36</v>
      </c>
      <c r="C9" t="s">
        <v>37</v>
      </c>
      <c r="D9" t="s">
        <v>35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'4F87A4797A6F8629F29DD4A06B9E143D';")</f>
        <v>0</v>
      </c>
      <c r="M9">
        <f t="array" ref="M9">CONCATENATE("update msg_out_fld set description = '",D9,"' where tab_name = 'COUNTRY_IGA_STATUS' and fld_name = 'LOESCHUSER';")</f>
        <v>0</v>
      </c>
    </row>
    <row r="10" spans="1:13">
      <c r="A10" t="s">
        <v>45</v>
      </c>
      <c r="C10" t="s">
        <v>104</v>
      </c>
      <c r="D10" t="s">
        <v>44</v>
      </c>
      <c r="H10" t="s">
        <v>44</v>
      </c>
      <c r="K10">
        <f t="array" ref="K10">CONCATENATE("update msg_out_fld_config set msg_fld_name = '",A10,"' where cd = '50DDD8D7078479A108B045AB67E716E1';")</f>
        <v>0</v>
      </c>
      <c r="M10">
        <f t="array" ref="M10">CONCATENATE("update msg_out_fld set description = '",D10,"' where tab_name = 'COUNTRY_IGA_STATUS' and fld_name = 'CRTDATUM';")</f>
        <v>0</v>
      </c>
    </row>
    <row r="11" spans="1:13">
      <c r="A11" t="s">
        <v>48</v>
      </c>
      <c r="C11" t="s">
        <v>37</v>
      </c>
      <c r="D11" t="s">
        <v>47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'DE3A082E5E55F071EA79FA30ED0530C2';")</f>
        <v>0</v>
      </c>
      <c r="M11">
        <f t="array" ref="M11">CONCATENATE("update msg_out_fld set description = '",D11,"' where tab_name = 'COUNTRY_IGA_STATUS' and fld_name = 'CRTUSER';")</f>
        <v>0</v>
      </c>
    </row>
    <row r="12" spans="1:13">
      <c r="A12" t="s">
        <v>55</v>
      </c>
      <c r="C12" t="s">
        <v>75</v>
      </c>
      <c r="D12" s="2" t="s">
        <v>1340</v>
      </c>
      <c r="H12" t="s">
        <v>1340</v>
      </c>
      <c r="K12">
        <f t="array" ref="K12">CONCATENATE("update msg_out_fld_config set msg_fld_name = '",A12,"' where cd = 'FA2B8D23C0502E43F0E5116D714C0952';")</f>
        <v>0</v>
      </c>
      <c r="M12">
        <f t="array" ref="M12">CONCATENATE("update msg_out_fld set description = '",D12,"' where tab_name = 'COUNTRY_IGA_STATUS' and fld_name = 'IGA_STATUS';")</f>
        <v>0</v>
      </c>
    </row>
    <row r="13" spans="1:13">
      <c r="A13" t="s">
        <v>58</v>
      </c>
      <c r="C13" t="s">
        <v>104</v>
      </c>
      <c r="D13" t="s">
        <v>57</v>
      </c>
      <c r="H13" t="s">
        <v>57</v>
      </c>
      <c r="K13">
        <f t="array" ref="K13">CONCATENATE("update msg_out_fld_config set msg_fld_name = '",A13,"' where cd = '71AD2D53150BA49093AC3F15789F7C32';")</f>
        <v>0</v>
      </c>
      <c r="M13">
        <f t="array" ref="M13">CONCATENATE("update msg_out_fld set description = '",D13,"' where tab_name = 'COUNTRY_IGA_STATUS' and fld_name = 'MUTDATUM';")</f>
        <v>0</v>
      </c>
    </row>
    <row r="14" spans="1:13">
      <c r="A14" t="s">
        <v>61</v>
      </c>
      <c r="C14" t="s">
        <v>37</v>
      </c>
      <c r="D14" t="s">
        <v>60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'FD2E8ED18CB1B59E3B0166FE9345ACB1';")</f>
        <v>0</v>
      </c>
      <c r="M14">
        <f t="array" ref="M14">CONCATENATE("update msg_out_fld set description = '",D14,"' where tab_name = 'COUNTRY_IGA_STATUS' and fld_name = 'MUTUSER';")</f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5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1386</v>
      </c>
    </row>
    <row r="2" spans="1:13">
      <c r="A2" s="1" t="s">
        <v>1387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16</v>
      </c>
      <c r="D6" t="s">
        <v>17</v>
      </c>
      <c r="H6" t="s">
        <v>1388</v>
      </c>
      <c r="K6">
        <f t="array" ref="K6">CONCATENATE("update msg_out_fld_config set msg_fld_name = '",A6,"' where cd = 'D14A2DF87BBAB191C2B419E0C16319EF';")</f>
        <v>0</v>
      </c>
      <c r="M6">
        <f t="array" ref="M6">CONCATENATE("update msg_out_fld set description = '",D6,"' where tab_name = 'LANDAUFTEILUNG' and fld_name = 'AUFTEILUNG_CD';")</f>
        <v>0</v>
      </c>
    </row>
    <row r="7" spans="1:13">
      <c r="A7" t="s">
        <v>1389</v>
      </c>
      <c r="B7" t="s">
        <v>15</v>
      </c>
      <c r="C7" t="s">
        <v>20</v>
      </c>
      <c r="D7" t="s">
        <v>111</v>
      </c>
      <c r="E7" t="s">
        <v>112</v>
      </c>
      <c r="F7" t="s">
        <v>23</v>
      </c>
      <c r="H7" t="s">
        <v>109</v>
      </c>
      <c r="K7">
        <f t="array" ref="K7">CONCATENATE("update msg_out_fld_config set msg_fld_name = '",A7,"' where cd = '085762383FA6E039AECBC127D48D114C';")</f>
        <v>0</v>
      </c>
      <c r="M7">
        <f t="array" ref="M7">CONCATENATE("update msg_out_fld set description = '",D7,"' where tab_name = 'LANDAUFTEILUNG' and fld_name = 'LAND_CD';")</f>
        <v>0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'1E3D35523313A20523AC79FC9EEF658D';")</f>
        <v>0</v>
      </c>
      <c r="M8">
        <f t="array" ref="M8">CONCATENATE("update msg_out_fld set description = '",D8,"' where tab_name = 'LANDAUFTEILUNG' and fld_name = 'LOESCH_CD';")</f>
        <v>0</v>
      </c>
    </row>
    <row r="9" spans="1:13">
      <c r="A9" t="s">
        <v>32</v>
      </c>
      <c r="C9" t="s">
        <v>33</v>
      </c>
      <c r="D9" t="s">
        <v>34</v>
      </c>
      <c r="H9" t="s">
        <v>31</v>
      </c>
      <c r="K9">
        <f t="array" ref="K9">CONCATENATE("update msg_out_fld_config set msg_fld_name = '",A9,"' where cd = 'ED76E5E1227C72498824D4ADC192F633';")</f>
        <v>0</v>
      </c>
      <c r="M9">
        <f t="array" ref="M9">CONCATENATE("update msg_out_fld set description = '",D9,"' where tab_name = 'LANDAUFTEILUNG' and fld_name = 'LOESCHDATUM';")</f>
        <v>0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'7F10D95C01B5B29AF173D654FDB7E65E';")</f>
        <v>0</v>
      </c>
      <c r="M10">
        <f t="array" ref="M10">CONCATENATE("update msg_out_fld set description = '",D10,"' where tab_name = 'LANDAUFTEILUNG' and fld_name = 'LOESCHUSER';")</f>
        <v>0</v>
      </c>
    </row>
    <row r="11" spans="1:13">
      <c r="A11" t="s">
        <v>45</v>
      </c>
      <c r="C11" t="s">
        <v>33</v>
      </c>
      <c r="D11" t="s">
        <v>46</v>
      </c>
      <c r="H11" t="s">
        <v>44</v>
      </c>
      <c r="K11">
        <f t="array" ref="K11">CONCATENATE("update msg_out_fld_config set msg_fld_name = '",A11,"' where cd = 'FAB79A274A97FB2DE7746F9F65715A2F';")</f>
        <v>0</v>
      </c>
      <c r="M11">
        <f t="array" ref="M11">CONCATENATE("update msg_out_fld set description = '",D11,"' where tab_name = 'LANDAUFTEILUNG' and fld_name = 'CRTDATUM';")</f>
        <v>0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  <c r="K12">
        <f t="array" ref="K12">CONCATENATE("update msg_out_fld_config set msg_fld_name = '",A12,"' where cd = '922AF37C3BE37E1E110B5E7203E36D20';")</f>
        <v>0</v>
      </c>
      <c r="M12">
        <f t="array" ref="M12">CONCATENATE("update msg_out_fld set description = '",D12,"' where tab_name = 'LANDAUFTEILUNG' and fld_name = 'CRTUSER';")</f>
        <v>0</v>
      </c>
    </row>
    <row r="13" spans="1:13">
      <c r="A13" t="s">
        <v>55</v>
      </c>
      <c r="C13" t="s">
        <v>42</v>
      </c>
      <c r="D13" t="s">
        <v>1391</v>
      </c>
      <c r="H13" t="s">
        <v>1390</v>
      </c>
      <c r="K13">
        <f t="array" ref="K13">CONCATENATE("update msg_out_fld_config set msg_fld_name = '",A13,"' where cd = '09E75373AD240C768524DCCDEC3C06F6';")</f>
        <v>0</v>
      </c>
      <c r="M13">
        <f t="array" ref="M13">CONCATENATE("update msg_out_fld set description = '",D13,"' where tab_name = 'LANDAUFTEILUNG' and fld_name = 'AUFTEILUNG';")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'77801E086EBD1BBEE5E0E6BD9ECF12DF';")</f>
        <v>0</v>
      </c>
      <c r="M14">
        <f t="array" ref="M14">CONCATENATE("update msg_out_fld set description = '",D14,"' where tab_name = 'LANDAUFTEILUNG'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'D61614E12D4660962881C4533EA86E96';")</f>
        <v>0</v>
      </c>
      <c r="M15">
        <f t="array" ref="M15">CONCATENATE("update msg_out_fld set description = '",D15,"' where tab_name = 'LANDAUFTEILUNG' and fld_name = 'MUTUSER';")</f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47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1392</v>
      </c>
    </row>
    <row r="2" spans="1:13">
      <c r="A2" s="1" t="s">
        <v>1393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1344</v>
      </c>
      <c r="K6">
        <f t="array" ref="K6">CONCATENATE("update msg_out_fld_config set msg_fld_name = '",A6,"' where cd = 'C6B2E133A4B7E19AFD5274CEAA858316';")</f>
        <v>0</v>
      </c>
      <c r="M6">
        <f t="array" ref="M6">CONCATENATE("update msg_out_fld set description = '",D6,"' where tab_name = 'WAEHRUNG' and fld_name = 'WAEHRUNGS_CD';")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'23B8209CF953C6CDD76D7CD08D85A0BD';")</f>
        <v>0</v>
      </c>
      <c r="M7">
        <f t="array" ref="M7">CONCATENATE("update msg_out_fld set description = '",D7,"' where tab_name = 'WAEHRUNG'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'BE02A082EEB0B45EB6B0115799CC5FDA';")</f>
        <v>0</v>
      </c>
      <c r="M8">
        <f t="array" ref="M8">CONCATENATE("update msg_out_fld set description = '",D8,"' where tab_name = 'WAEHRUNG'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'C4FCF78953F42676E5ACE602E2654989';")</f>
        <v>0</v>
      </c>
      <c r="M9">
        <f t="array" ref="M9">CONCATENATE("update msg_out_fld set description = '",D9,"' where tab_name = 'WAEHRUNG'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'86D1848285A1751C7A79C90C3ED258C7';")</f>
        <v>0</v>
      </c>
      <c r="M10">
        <f t="array" ref="M10">CONCATENATE("update msg_out_fld set description = '",D10,"' where tab_name = 'WAEHRUNG'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'B6E37798933A4DCFE40CA6BC1464F600';")</f>
        <v>0</v>
      </c>
      <c r="M11">
        <f t="array" ref="M11">CONCATENATE("update msg_out_fld set description = '",D11,"' where tab_name = 'WAEHRUNG' and fld_name = 'CRTUSER';")</f>
        <v>0</v>
      </c>
    </row>
    <row r="12" spans="1:13">
      <c r="A12" t="s">
        <v>55</v>
      </c>
      <c r="C12" t="s">
        <v>1395</v>
      </c>
      <c r="D12" t="s">
        <v>1345</v>
      </c>
      <c r="H12" t="s">
        <v>1394</v>
      </c>
      <c r="K12">
        <f t="array" ref="K12">CONCATENATE("update msg_out_fld_config set msg_fld_name = '",A12,"' where cd = '376880864EAAC5E699B377AFE95CEF68';")</f>
        <v>0</v>
      </c>
      <c r="M12">
        <f t="array" ref="M12">CONCATENATE("update msg_out_fld set description = '",D12,"' where tab_name = 'WAEHRUNG' and fld_name = 'WAEHRUNG';")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'925FEDEC6AD62B2C465EFEFAE868FF09';")</f>
        <v>0</v>
      </c>
      <c r="M13">
        <f t="array" ref="M13">CONCATENATE("update msg_out_fld set description = '",D13,"' where tab_name = 'WAEHRUNG'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'8B76238B7DABC4EA72FB11036654CC99';")</f>
        <v>0</v>
      </c>
      <c r="M14">
        <f t="array" ref="M14">CONCATENATE("update msg_out_fld set description = '",D14,"' where tab_name = 'WAEHRUNG' and fld_name = 'MUTUSER';")</f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48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1396</v>
      </c>
    </row>
    <row r="2" spans="1:13">
      <c r="A2" s="1" t="s">
        <v>1397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50</v>
      </c>
      <c r="K6">
        <f t="array" ref="K6">CONCATENATE("update msg_out_fld_config set msg_fld_name = '",A6,"' where cd = 'E779065132501345474832412AC4EF72';")</f>
        <v>0</v>
      </c>
      <c r="M6">
        <f t="array" ref="M6">CONCATENATE("update msg_out_fld set description = '",D6,"' where tab_name = 'ABTEILUNG' and fld_name = 'ABTEILUNG_CD';")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'D8BAC1B78722ACD2931E8F837D863B1B';")</f>
        <v>0</v>
      </c>
      <c r="M7">
        <f t="array" ref="M7">CONCATENATE("update msg_out_fld set description = '",D7,"' where tab_name = 'ABTEILUNG'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'34473C844E33F40928FCB9AEEB82D58B';")</f>
        <v>0</v>
      </c>
      <c r="M8">
        <f t="array" ref="M8">CONCATENATE("update msg_out_fld set description = '",D8,"' where tab_name = 'ABTEILUNG'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'FB1F50C020957A159A84275ECE0E855A';")</f>
        <v>0</v>
      </c>
      <c r="M9">
        <f t="array" ref="M9">CONCATENATE("update msg_out_fld set description = '",D9,"' where tab_name = 'ABTEILUNG'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'BD87D5D4CB1A83BBEDA959474E4C835F';")</f>
        <v>0</v>
      </c>
      <c r="M10">
        <f t="array" ref="M10">CONCATENATE("update msg_out_fld set description = '",D10,"' where tab_name = 'ABTEILUNG'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'BF6A2286988B145FCAE05DFA70F94A89';")</f>
        <v>0</v>
      </c>
      <c r="M11">
        <f t="array" ref="M11">CONCATENATE("update msg_out_fld set description = '",D11,"' where tab_name = 'ABTEILUNG' and fld_name = 'CRTUSER';")</f>
        <v>0</v>
      </c>
    </row>
    <row r="12" spans="1:13">
      <c r="A12" t="s">
        <v>55</v>
      </c>
      <c r="C12" t="s">
        <v>75</v>
      </c>
      <c r="D12" t="s">
        <v>1399</v>
      </c>
      <c r="H12" t="s">
        <v>1398</v>
      </c>
      <c r="K12">
        <f t="array" ref="K12">CONCATENATE("update msg_out_fld_config set msg_fld_name = '",A12,"' where cd = '3042032E2FA54E49F3BDA525FD508570';")</f>
        <v>0</v>
      </c>
      <c r="M12">
        <f t="array" ref="M12">CONCATENATE("update msg_out_fld set description = '",D12,"' where tab_name = 'ABTEILUNG' and fld_name = 'ABTEILUNG';")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'0361CDC6A7BE6D34D04130FA85A91CAE';")</f>
        <v>0</v>
      </c>
      <c r="M13">
        <f t="array" ref="M13">CONCATENATE("update msg_out_fld set description = '",D13,"' where tab_name = 'ABTEILUNG'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'472AD41A70CF2986872941D1B40CB72A';")</f>
        <v>0</v>
      </c>
      <c r="M14">
        <f t="array" ref="M14">CONCATENATE("update msg_out_fld set description = '",D14,"' where tab_name = 'ABTEILUNG' and fld_name = 'MUTUSER';")</f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8.7109375" customWidth="1"/>
    <col min="5" max="5" width="34.28515625" customWidth="1"/>
    <col min="6" max="6" width="10.28515625" customWidth="1"/>
    <col min="7" max="7" width="15.140625" customWidth="1"/>
    <col min="8" max="8" width="23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5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1400</v>
      </c>
    </row>
    <row r="2" spans="1:13">
      <c r="A2" s="1" t="s">
        <v>1401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1402</v>
      </c>
      <c r="K6">
        <f t="array" ref="K6">CONCATENATE("update msg_out_fld_config set msg_fld_name = '",A6,"' where cd = 'E33063C36078DF42FB2854A9FD0E4E52';")</f>
        <v>0</v>
      </c>
      <c r="M6">
        <f t="array" ref="M6">CONCATENATE("update msg_out_fld set description = '",D6,"' where tab_name = 'VERMOEGENSKLASSE' and fld_name = 'VERMOEGENSKLASSE_CD';")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'5EC689565A334F8714EB78C226DDD4A3';")</f>
        <v>0</v>
      </c>
      <c r="M7">
        <f t="array" ref="M7">CONCATENATE("update msg_out_fld set description = '",D7,"' where tab_name = 'VERMOEGENSKLASSE'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'15D0DD8BDECFA30B153B2560D38D263E';")</f>
        <v>0</v>
      </c>
      <c r="M8">
        <f t="array" ref="M8">CONCATENATE("update msg_out_fld set description = '",D8,"' where tab_name = 'VERMOEGENSKLASSE'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'14E78840BCE8CCAD8BF8D90534F8A7D2';")</f>
        <v>0</v>
      </c>
      <c r="M9">
        <f t="array" ref="M9">CONCATENATE("update msg_out_fld set description = '",D9,"' where tab_name = 'VERMOEGENSKLASSE'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'D7E62A3FF877F268355E16E82E6E4669';")</f>
        <v>0</v>
      </c>
      <c r="M10">
        <f t="array" ref="M10">CONCATENATE("update msg_out_fld set description = '",D10,"' where tab_name = 'VERMOEGENSKLASSE'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'C13113A7847FD1C2B739654E9B1DAB3B';")</f>
        <v>0</v>
      </c>
      <c r="M11">
        <f t="array" ref="M11">CONCATENATE("update msg_out_fld set description = '",D11,"' where tab_name = 'VERMOEGENSKLASSE' and fld_name = 'CRTUSER';")</f>
        <v>0</v>
      </c>
    </row>
    <row r="12" spans="1:13">
      <c r="A12" t="s">
        <v>55</v>
      </c>
      <c r="C12" t="s">
        <v>42</v>
      </c>
      <c r="D12" t="s">
        <v>1404</v>
      </c>
      <c r="H12" t="s">
        <v>1403</v>
      </c>
      <c r="K12">
        <f t="array" ref="K12">CONCATENATE("update msg_out_fld_config set msg_fld_name = '",A12,"' where cd = '4E228DE8F4558328DEA5B8DA5E0BF45D';")</f>
        <v>0</v>
      </c>
      <c r="M12">
        <f t="array" ref="M12">CONCATENATE("update msg_out_fld set description = '",D12,"' where tab_name = 'VERMOEGENSKLASSE' and fld_name = 'VERMOEGENSKLASSE';")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'FCAB4F85D15AF637E935CCCFD41F52FB';")</f>
        <v>0</v>
      </c>
      <c r="M13">
        <f t="array" ref="M13">CONCATENATE("update msg_out_fld set description = '",D13,"' where tab_name = 'VERMOEGENSKLASSE'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'9BBA1408DE8FDA4A4CB6F2FB52906C79';")</f>
        <v>0</v>
      </c>
      <c r="M14">
        <f t="array" ref="M14">CONCATENATE("update msg_out_fld set description = '",D14,"' where tab_name = 'VERMOEGENSKLASSE' and fld_name = 'MUTUSER';")</f>
        <v>0</v>
      </c>
    </row>
    <row r="15" spans="1:13">
      <c r="A15" t="s">
        <v>83</v>
      </c>
      <c r="C15" t="s">
        <v>84</v>
      </c>
      <c r="D15" t="s">
        <v>85</v>
      </c>
      <c r="H15" t="s">
        <v>82</v>
      </c>
      <c r="K15">
        <f t="array" ref="K15">CONCATENATE("update msg_out_fld_config set msg_fld_name = '",A15,"' where cd = '4A8975DE2A1CA03D742EB73228AD1939';")</f>
        <v>0</v>
      </c>
      <c r="M15">
        <f t="array" ref="M15">CONCATENATE("update msg_out_fld set description = '",D15,"' where tab_name = 'VERMOEGENSKLASSE' and fld_name = 'RISKINDEX';")</f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25.85546875" customWidth="1"/>
    <col min="5" max="5" width="34.28515625" customWidth="1"/>
    <col min="6" max="6" width="10.28515625" customWidth="1"/>
    <col min="7" max="7" width="15.140625" customWidth="1"/>
    <col min="8" max="8" width="28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4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1405</v>
      </c>
    </row>
    <row r="2" spans="1:13">
      <c r="A2" s="1" t="s">
        <v>1406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1407</v>
      </c>
      <c r="K6">
        <f t="array" ref="K6">CONCATENATE("update msg_out_fld_config set msg_fld_name = '",A6,"' where cd = '1FFC409DD49C6BA102FBDCD0E9DCD3E6';")</f>
        <v>0</v>
      </c>
      <c r="M6">
        <f t="array" ref="M6">CONCATENATE("update msg_out_fld set description = '",D6,"' where tab_name = 'VERMOEGENEINGANGSART' and fld_name = 'VERMOEGENEINGANGSART_CD';")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'E8896FD2C300BF087209063A94512BD2';")</f>
        <v>0</v>
      </c>
      <c r="M7">
        <f t="array" ref="M7">CONCATENATE("update msg_out_fld set description = '",D7,"' where tab_name = 'VERMOEGENEINGANGSART'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'E5D7A511C90DB94769192096B15641F2';")</f>
        <v>0</v>
      </c>
      <c r="M8">
        <f t="array" ref="M8">CONCATENATE("update msg_out_fld set description = '",D8,"' where tab_name = 'VERMOEGENEINGANGSART'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'2EDA2633515F4028F59AF330B78BD876';")</f>
        <v>0</v>
      </c>
      <c r="M9">
        <f t="array" ref="M9">CONCATENATE("update msg_out_fld set description = '",D9,"' where tab_name = 'VERMOEGENEINGANGSART'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'C10AF856B0E8AA9148A074C7880A7736';")</f>
        <v>0</v>
      </c>
      <c r="M10">
        <f t="array" ref="M10">CONCATENATE("update msg_out_fld set description = '",D10,"' where tab_name = 'VERMOEGENEINGANGSART'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'AB71E3DF266CB42DB78B0B9D1BF6F9D2';")</f>
        <v>0</v>
      </c>
      <c r="M11">
        <f t="array" ref="M11">CONCATENATE("update msg_out_fld set description = '",D11,"' where tab_name = 'VERMOEGENEINGANGSART' and fld_name = 'CRTUSER';")</f>
        <v>0</v>
      </c>
    </row>
    <row r="12" spans="1:13">
      <c r="A12" t="s">
        <v>55</v>
      </c>
      <c r="C12" t="s">
        <v>42</v>
      </c>
      <c r="D12" t="s">
        <v>767</v>
      </c>
      <c r="H12" t="s">
        <v>1408</v>
      </c>
      <c r="K12">
        <f t="array" ref="K12">CONCATENATE("update msg_out_fld_config set msg_fld_name = '",A12,"' where cd = '61A058B88DBFDB67C49B133D7F6D8977';")</f>
        <v>0</v>
      </c>
      <c r="M12">
        <f t="array" ref="M12">CONCATENATE("update msg_out_fld set description = '",D12,"' where tab_name = 'VERMOEGENEINGANGSART' and fld_name = 'VERMOEGENEINGANGSART';")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'26B36D8593A237780C76E234D1366A31';")</f>
        <v>0</v>
      </c>
      <c r="M13">
        <f t="array" ref="M13">CONCATENATE("update msg_out_fld set description = '",D13,"' where tab_name = 'VERMOEGENEINGANGSART'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'C64147AC224A3E1A08A9B8326017A773';")</f>
        <v>0</v>
      </c>
      <c r="M14">
        <f t="array" ref="M14">CONCATENATE("update msg_out_fld set description = '",D14,"' where tab_name = 'VERMOEGENEINGANGSART' and fld_name = 'MUTUSER';")</f>
        <v>0</v>
      </c>
    </row>
    <row r="15" spans="1:13">
      <c r="A15" t="s">
        <v>83</v>
      </c>
      <c r="C15" t="s">
        <v>84</v>
      </c>
      <c r="D15" t="s">
        <v>85</v>
      </c>
      <c r="H15" t="s">
        <v>82</v>
      </c>
      <c r="K15">
        <f t="array" ref="K15">CONCATENATE("update msg_out_fld_config set msg_fld_name = '",A15,"' where cd = '3419AA4BFF62FFFC10A2E39651AD1F0B';")</f>
        <v>0</v>
      </c>
      <c r="M15">
        <f t="array" ref="M15">CONCATENATE("update msg_out_fld set description = '",D15,"' where tab_name = 'VERMOEGENEINGANGSART' and fld_name = 'RISKINDEX';")</f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4.7109375" customWidth="1"/>
    <col min="2" max="2" width="4.28515625" customWidth="1"/>
    <col min="3" max="3" width="15.140625" customWidth="1"/>
    <col min="4" max="4" width="13.85546875" customWidth="1"/>
    <col min="5" max="5" width="48.7109375" customWidth="1"/>
    <col min="6" max="6" width="10.28515625" customWidth="1"/>
    <col min="7" max="7" width="29.5703125" customWidth="1"/>
    <col min="8" max="8" width="17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3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1409</v>
      </c>
    </row>
    <row r="2" spans="1:13">
      <c r="A2" s="1" t="s">
        <v>1410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1376</v>
      </c>
      <c r="K6">
        <f t="array" ref="K6">CONCATENATE("update msg_out_fld_config set msg_fld_name = '",A6,"' where cd = '1733D9C880B08919562C80DF95C694A2';")</f>
        <v>0</v>
      </c>
      <c r="M6">
        <f t="array" ref="M6">CONCATENATE("update msg_out_fld set description = '",D6,"' where tab_name = 'DESTINATION' and fld_name = 'DESTINATION_CD';")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'35E1CCA43F441E315A36BF968E45F6F8';")</f>
        <v>0</v>
      </c>
      <c r="M7">
        <f t="array" ref="M7">CONCATENATE("update msg_out_fld set description = '",D7,"' where tab_name = 'DESTINATION'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'CFA16A1295461E5AD563301ED7A31F1F';")</f>
        <v>0</v>
      </c>
      <c r="M8">
        <f t="array" ref="M8">CONCATENATE("update msg_out_fld set description = '",D8,"' where tab_name = 'DESTINATION'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'ECE18211DAABABE5A71F851D47314978';")</f>
        <v>0</v>
      </c>
      <c r="M9">
        <f t="array" ref="M9">CONCATENATE("update msg_out_fld set description = '",D9,"' where tab_name = 'DESTINATION'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'16CA30B184DD1E8C757A20BE3EF37B4E';")</f>
        <v>0</v>
      </c>
      <c r="M10">
        <f t="array" ref="M10">CONCATENATE("update msg_out_fld set description = '",D10,"' where tab_name = 'DESTINATION'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'4DF4D44232E21215CBE6E0F88E9AAA92';")</f>
        <v>0</v>
      </c>
      <c r="M11">
        <f t="array" ref="M11">CONCATENATE("update msg_out_fld set description = '",D11,"' where tab_name = 'DESTINATION' and fld_name = 'CRTUSER';")</f>
        <v>0</v>
      </c>
    </row>
    <row r="12" spans="1:13">
      <c r="A12" t="s">
        <v>55</v>
      </c>
      <c r="C12" t="s">
        <v>37</v>
      </c>
      <c r="D12" t="s">
        <v>1412</v>
      </c>
      <c r="H12" t="s">
        <v>1411</v>
      </c>
      <c r="K12">
        <f t="array" ref="K12">CONCATENATE("update msg_out_fld_config set msg_fld_name = '",A12,"' where cd = '48ACE23BD52BAC41DA441DA79B4C800E';")</f>
        <v>0</v>
      </c>
      <c r="M12">
        <f t="array" ref="M12">CONCATENATE("update msg_out_fld set description = '",D12,"' where tab_name = 'DESTINATION' and fld_name = 'DESTINATION';")</f>
        <v>0</v>
      </c>
    </row>
    <row r="13" spans="1:13">
      <c r="A13" t="s">
        <v>1251</v>
      </c>
      <c r="C13" t="s">
        <v>68</v>
      </c>
      <c r="D13" t="s">
        <v>1252</v>
      </c>
      <c r="E13" t="s">
        <v>1253</v>
      </c>
      <c r="F13" t="s">
        <v>29</v>
      </c>
      <c r="G13" t="s">
        <v>1254</v>
      </c>
      <c r="H13" t="s">
        <v>1250</v>
      </c>
      <c r="K13">
        <f t="array" ref="K13">CONCATENATE("update msg_out_fld_config set msg_fld_name = '",A13,"' where cd = 'FC0547F9E959980CDB59444D2E15CF5E';")</f>
        <v>0</v>
      </c>
      <c r="M13">
        <f t="array" ref="M13">CONCATENATE("update msg_out_fld set description = '",D13,"' where tab_name = 'DESTINATION' and fld_name = 'VERSANDART_CD';")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'7824295FE63CA5A5D658C38F3825BC13';")</f>
        <v>0</v>
      </c>
      <c r="M14">
        <f t="array" ref="M14">CONCATENATE("update msg_out_fld set description = '",D14,"' where tab_name = 'DESTINATION'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'BE2F5EDF343CEB98F4A86B069391E799';")</f>
        <v>0</v>
      </c>
      <c r="M15">
        <f t="array" ref="M15">CONCATENATE("update msg_out_fld set description = '",D15,"' where tab_name = 'DESTINATION' and fld_name = 'MUTUSER';")</f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7.570312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0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1413</v>
      </c>
    </row>
    <row r="2" spans="1:13">
      <c r="A2" s="1" t="s">
        <v>1414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314</v>
      </c>
      <c r="K6">
        <f t="array" ref="K6">CONCATENATE("update msg_out_fld_config set msg_fld_name = '",A6,"' where cd = '8A286E45A642936D2D7CE79F6A47E31B';")</f>
        <v>0</v>
      </c>
      <c r="M6">
        <f t="array" ref="M6">CONCATENATE("update msg_out_fld set description = '",D6,"' where tab_name = 'DOKUMENTENKATEGORIE' and fld_name = 'KATEGORIE_CD';")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'D8C1239E1C777F6AB75E69E7ACCD8E92';")</f>
        <v>0</v>
      </c>
      <c r="M7">
        <f t="array" ref="M7">CONCATENATE("update msg_out_fld set description = '",D7,"' where tab_name = 'DOKUMENTENKATEGORIE'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'2DD3DC7AB85A9E7EFD03EBCB8AF34765';")</f>
        <v>0</v>
      </c>
      <c r="M8">
        <f t="array" ref="M8">CONCATENATE("update msg_out_fld set description = '",D8,"' where tab_name = 'DOKUMENTENKATEGORIE'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'29BF18C2F9D01CB8ACEF8C3B4AD92FDC';")</f>
        <v>0</v>
      </c>
      <c r="M9">
        <f t="array" ref="M9">CONCATENATE("update msg_out_fld set description = '",D9,"' where tab_name = 'DOKUMENTENKATEGORIE'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'09E4B93FAB1A0B7EE44C1CF327AED0A6';")</f>
        <v>0</v>
      </c>
      <c r="M10">
        <f t="array" ref="M10">CONCATENATE("update msg_out_fld set description = '",D10,"' where tab_name = 'DOKUMENTENKATEGORIE'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'F38CDF6A543F6B7E07E8B4F9A6FE4DFD';")</f>
        <v>0</v>
      </c>
      <c r="M11">
        <f t="array" ref="M11">CONCATENATE("update msg_out_fld set description = '",D11,"' where tab_name = 'DOKUMENTENKATEGORIE' and fld_name = 'CRTUSER';")</f>
        <v>0</v>
      </c>
    </row>
    <row r="12" spans="1:13">
      <c r="A12" t="s">
        <v>55</v>
      </c>
      <c r="C12" t="s">
        <v>1298</v>
      </c>
      <c r="D12" t="s">
        <v>1416</v>
      </c>
      <c r="H12" t="s">
        <v>1415</v>
      </c>
      <c r="K12">
        <f t="array" ref="K12">CONCATENATE("update msg_out_fld_config set msg_fld_name = '",A12,"' where cd = '3079DC08FE981679F3A648D648AC950B';")</f>
        <v>0</v>
      </c>
      <c r="M12">
        <f t="array" ref="M12">CONCATENATE("update msg_out_fld set description = '",D12,"' where tab_name = 'DOKUMENTENKATEGORIE' and fld_name = 'KATEGORIE';")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'CA1234C0FFC98E4B24696B75A60FDA5A';")</f>
        <v>0</v>
      </c>
      <c r="M13">
        <f t="array" ref="M13">CONCATENATE("update msg_out_fld set description = '",D13,"' where tab_name = 'DOKUMENTENKATEGORIE'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'99BCF0B50FF10620CE0F03C193E54567';")</f>
        <v>0</v>
      </c>
      <c r="M14">
        <f t="array" ref="M14">CONCATENATE("update msg_out_fld set description = '",D14,"' where tab_name = 'DOKUMENTENKATEGORIE' and fld_name = 'MUTUSER';")</f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18.7109375" customWidth="1"/>
    <col min="2" max="2" width="4.28515625" customWidth="1"/>
    <col min="3" max="3" width="15.140625" customWidth="1"/>
    <col min="4" max="4" width="36.7109375" customWidth="1"/>
    <col min="5" max="5" width="34.28515625" customWidth="1"/>
    <col min="6" max="6" width="10.28515625" customWidth="1"/>
    <col min="7" max="7" width="15.140625" customWidth="1"/>
    <col min="8" max="8" width="22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5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1417</v>
      </c>
    </row>
    <row r="2" spans="1:13">
      <c r="A2" s="1" t="s">
        <v>1418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486</v>
      </c>
      <c r="K6">
        <f t="array" ref="K6">CONCATENATE("update msg_out_fld_config set msg_fld_name = '",A6,"' where cd = '4A48332A552D26F4A2079B7EBCF75135';")</f>
        <v>0</v>
      </c>
      <c r="M6">
        <f t="array" ref="M6">CONCATENATE("update msg_out_fld set description = '",D6,"' where tab_name = 'DOKUMENTENGRUPPE' and fld_name = 'GRUPPEN_CD';")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'4B6C38F14DEDFB68F55739F5767A8070';")</f>
        <v>0</v>
      </c>
      <c r="M7">
        <f t="array" ref="M7">CONCATENATE("update msg_out_fld set description = '",D7,"' where tab_name = 'DOKUMENTENGRUPPE'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'8DDC44F0EFE4D8A7E1CF078AA17E15C1';")</f>
        <v>0</v>
      </c>
      <c r="M8">
        <f t="array" ref="M8">CONCATENATE("update msg_out_fld set description = '",D8,"' where tab_name = 'DOKUMENTENGRUPPE'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'EACC34A5B6E75A9956685B514E9BD830';")</f>
        <v>0</v>
      </c>
      <c r="M9">
        <f t="array" ref="M9">CONCATENATE("update msg_out_fld set description = '",D9,"' where tab_name = 'DOKUMENTENGRUPPE'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'EB79BEDD65FF39E735E218C4AE532CB2';")</f>
        <v>0</v>
      </c>
      <c r="M10">
        <f t="array" ref="M10">CONCATENATE("update msg_out_fld set description = '",D10,"' where tab_name = 'DOKUMENTENGRUPPE'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'8B745B1CA68CF6397796FF10A1A68B40';")</f>
        <v>0</v>
      </c>
      <c r="M11">
        <f t="array" ref="M11">CONCATENATE("update msg_out_fld set description = '",D11,"' where tab_name = 'DOKUMENTENGRUPPE' and fld_name = 'CRTUSER';")</f>
        <v>0</v>
      </c>
    </row>
    <row r="12" spans="1:13">
      <c r="A12" t="s">
        <v>55</v>
      </c>
      <c r="C12" t="s">
        <v>1298</v>
      </c>
      <c r="D12" t="s">
        <v>1420</v>
      </c>
      <c r="H12" t="s">
        <v>1419</v>
      </c>
      <c r="K12">
        <f t="array" ref="K12">CONCATENATE("update msg_out_fld_config set msg_fld_name = '",A12,"' where cd = '2C0907B76769F2DC1E0A9BC6ABFCB0EE';")</f>
        <v>0</v>
      </c>
      <c r="M12">
        <f t="array" ref="M12">CONCATENATE("update msg_out_fld set description = '",D12,"' where tab_name = 'DOKUMENTENGRUPPE' and fld_name = 'GRUPPE';")</f>
        <v>0</v>
      </c>
    </row>
    <row r="13" spans="1:13">
      <c r="A13" t="s">
        <v>1422</v>
      </c>
      <c r="C13" t="s">
        <v>26</v>
      </c>
      <c r="D13" t="s">
        <v>1423</v>
      </c>
      <c r="E13" t="s">
        <v>28</v>
      </c>
      <c r="F13" t="s">
        <v>29</v>
      </c>
      <c r="G13" t="s">
        <v>30</v>
      </c>
      <c r="H13" t="s">
        <v>1421</v>
      </c>
      <c r="K13">
        <f t="array" ref="K13">CONCATENATE("update msg_out_fld_config set msg_fld_name = '",A13,"' where cd = '60AD20F6E483EB27CAE408DE5C575232';")</f>
        <v>0</v>
      </c>
      <c r="M13">
        <f t="array" ref="M13">CONCATENATE("update msg_out_fld set description = '",D13,"' where tab_name = 'DOKUMENTENGRUPPE' and fld_name = 'ACCOUNT_EDITING_CD';")</f>
        <v>0</v>
      </c>
    </row>
    <row r="14" spans="1:13">
      <c r="A14" t="s">
        <v>1425</v>
      </c>
      <c r="C14" t="s">
        <v>26</v>
      </c>
      <c r="D14" t="s">
        <v>1426</v>
      </c>
      <c r="E14" t="s">
        <v>28</v>
      </c>
      <c r="F14" t="s">
        <v>29</v>
      </c>
      <c r="G14" t="s">
        <v>30</v>
      </c>
      <c r="H14" t="s">
        <v>1424</v>
      </c>
      <c r="K14">
        <f t="array" ref="K14">CONCATENATE("update msg_out_fld_config set msg_fld_name = '",A14,"' where cd = '9B52DDBF10CA6C40BCE6251F30EFF219';")</f>
        <v>0</v>
      </c>
      <c r="M14">
        <f t="array" ref="M14">CONCATENATE("update msg_out_fld set description = '",D14,"' where tab_name = 'DOKUMENTENGRUPPE' and fld_name = 'ACCOUNT_OPENING_CD';")</f>
        <v>0</v>
      </c>
    </row>
    <row r="15" spans="1:13">
      <c r="A15" t="s">
        <v>58</v>
      </c>
      <c r="C15" t="s">
        <v>33</v>
      </c>
      <c r="D15" t="s">
        <v>59</v>
      </c>
      <c r="H15" t="s">
        <v>57</v>
      </c>
      <c r="K15">
        <f t="array" ref="K15">CONCATENATE("update msg_out_fld_config set msg_fld_name = '",A15,"' where cd = '59A477F6279B23B9A7544AF43FBB2DE6';")</f>
        <v>0</v>
      </c>
      <c r="M15">
        <f t="array" ref="M15">CONCATENATE("update msg_out_fld set description = '",D15,"' where tab_name = 'DOKUMENTENGRUPPE' and fld_name = 'MUTDATUM';")</f>
        <v>0</v>
      </c>
    </row>
    <row r="16" spans="1:13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  <c r="K16">
        <f t="array" ref="K16">CONCATENATE("update msg_out_fld_config set msg_fld_name = '",A16,"' where cd = 'E852C9CB104EB0CBA5C41849875BB711';")</f>
        <v>0</v>
      </c>
      <c r="M16">
        <f t="array" ref="M16">CONCATENATE("update msg_out_fld set description = '",D16,"' where tab_name = 'DOKUMENTENGRUPPE' and fld_name = 'MUTUSER';")</f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25.85546875" customWidth="1"/>
    <col min="2" max="2" width="4.28515625" customWidth="1"/>
    <col min="3" max="3" width="12.7109375" customWidth="1"/>
    <col min="4" max="4" width="35.5703125" customWidth="1"/>
    <col min="5" max="5" width="34.28515625" customWidth="1"/>
    <col min="6" max="6" width="10.28515625" customWidth="1"/>
    <col min="7" max="7" width="15.140625" customWidth="1"/>
    <col min="8" max="8" width="25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5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1427</v>
      </c>
    </row>
    <row r="2" spans="1:13">
      <c r="A2" s="1" t="s">
        <v>1428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1429</v>
      </c>
      <c r="K6">
        <f t="array" ref="K6">CONCATENATE("update msg_out_fld_config set msg_fld_name = '",A6,"' where cd = '42CABE5AD366B62C8CC9560569C8759F';")</f>
        <v>0</v>
      </c>
      <c r="M6">
        <f t="array" ref="M6">CONCATENATE("update msg_out_fld set description = '",D6,"' where tab_name = 'DOKUMENTENTYP' and fld_name = 'DOKUMENTENTYP_CD';")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'544159FD0D1FC93E1B2328C13D417F12';")</f>
        <v>0</v>
      </c>
      <c r="M7">
        <f t="array" ref="M7">CONCATENATE("update msg_out_fld set description = '",D7,"' where tab_name = 'DOKUMENTENTYP'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'139B173565CAD7A74CE164332326615B';")</f>
        <v>0</v>
      </c>
      <c r="M8">
        <f t="array" ref="M8">CONCATENATE("update msg_out_fld set description = '",D8,"' where tab_name = 'DOKUMENTENTYP'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'D0710F06F5BCD5B18D3E9D37E6EB6591';")</f>
        <v>0</v>
      </c>
      <c r="M9">
        <f t="array" ref="M9">CONCATENATE("update msg_out_fld set description = '",D9,"' where tab_name = 'DOKUMENTENTYP'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'EB2A896C399EA1B39D8BEBE11F9E2A62';")</f>
        <v>0</v>
      </c>
      <c r="M10">
        <f t="array" ref="M10">CONCATENATE("update msg_out_fld set description = '",D10,"' where tab_name = 'DOKUMENTENTYP'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'C1D4611476DD11DEBDC383F323CE0AA6';")</f>
        <v>0</v>
      </c>
      <c r="M11">
        <f t="array" ref="M11">CONCATENATE("update msg_out_fld set description = '",D11,"' where tab_name = 'DOKUMENTENTYP' and fld_name = 'CRTUSER';")</f>
        <v>0</v>
      </c>
    </row>
    <row r="12" spans="1:13">
      <c r="A12" t="s">
        <v>55</v>
      </c>
      <c r="C12" t="s">
        <v>42</v>
      </c>
      <c r="D12" t="s">
        <v>1153</v>
      </c>
      <c r="H12" t="s">
        <v>1430</v>
      </c>
      <c r="K12">
        <f t="array" ref="K12">CONCATENATE("update msg_out_fld_config set msg_fld_name = '",A12,"' where cd = '14D32545BA4A820A67E0CC498C77A155';")</f>
        <v>0</v>
      </c>
      <c r="M12">
        <f t="array" ref="M12">CONCATENATE("update msg_out_fld set description = '",D12,"' where tab_name = 'DOKUMENTENTYP' and fld_name = 'DOKUMENTENTYP';")</f>
        <v>0</v>
      </c>
    </row>
    <row r="13" spans="1:13">
      <c r="A13" t="s">
        <v>1432</v>
      </c>
      <c r="C13" t="s">
        <v>26</v>
      </c>
      <c r="D13" t="s">
        <v>1433</v>
      </c>
      <c r="E13" t="s">
        <v>28</v>
      </c>
      <c r="F13" t="s">
        <v>29</v>
      </c>
      <c r="G13" t="s">
        <v>30</v>
      </c>
      <c r="H13" t="s">
        <v>1431</v>
      </c>
      <c r="K13">
        <f t="array" ref="K13">CONCATENATE("update msg_out_fld_config set msg_fld_name = '",A13,"' where cd = '519DDA14114EE6FFFFA67DC2F9496AC4';")</f>
        <v>0</v>
      </c>
      <c r="M13">
        <f t="array" ref="M13">CONCATENATE("update msg_out_fld set description = '",D13,"' where tab_name = 'DOKUMENTENTYP' and fld_name = 'TAX_EUTAX_RELEVANT_CD';")</f>
        <v>0</v>
      </c>
    </row>
    <row r="14" spans="1:13">
      <c r="A14" t="s">
        <v>1371</v>
      </c>
      <c r="C14" t="s">
        <v>26</v>
      </c>
      <c r="D14" t="s">
        <v>1435</v>
      </c>
      <c r="E14" t="s">
        <v>28</v>
      </c>
      <c r="F14" t="s">
        <v>29</v>
      </c>
      <c r="G14" t="s">
        <v>30</v>
      </c>
      <c r="H14" t="s">
        <v>1434</v>
      </c>
      <c r="K14">
        <f t="array" ref="K14">CONCATENATE("update msg_out_fld_config set msg_fld_name = '",A14,"' where cd = '8C08AF59A487A43CD0873383F92DD22B';")</f>
        <v>0</v>
      </c>
      <c r="M14">
        <f t="array" ref="M14">CONCATENATE("update msg_out_fld set description = '",D14,"' where tab_name = 'DOKUMENTENTYP' and fld_name = 'TAX_FWHT_RELEVANT_CD';")</f>
        <v>0</v>
      </c>
    </row>
    <row r="15" spans="1:13">
      <c r="A15" t="s">
        <v>1437</v>
      </c>
      <c r="C15" t="s">
        <v>26</v>
      </c>
      <c r="D15" t="s">
        <v>1438</v>
      </c>
      <c r="E15" t="s">
        <v>28</v>
      </c>
      <c r="F15" t="s">
        <v>29</v>
      </c>
      <c r="G15" t="s">
        <v>30</v>
      </c>
      <c r="H15" t="s">
        <v>1436</v>
      </c>
      <c r="K15">
        <f t="array" ref="K15">CONCATENATE("update msg_out_fld_config set msg_fld_name = '",A15,"' where cd = '0B48295ED3CF52D47A1BBACC245E4DE4';")</f>
        <v>0</v>
      </c>
      <c r="M15">
        <f t="array" ref="M15">CONCATENATE("update msg_out_fld set description = '",D15,"' where tab_name = 'DOKUMENTENTYP' and fld_name = 'TAX_USWHT_RELEVANT_CD';")</f>
        <v>0</v>
      </c>
    </row>
    <row r="16" spans="1:13">
      <c r="A16" t="s">
        <v>58</v>
      </c>
      <c r="C16" t="s">
        <v>33</v>
      </c>
      <c r="D16" t="s">
        <v>59</v>
      </c>
      <c r="H16" t="s">
        <v>57</v>
      </c>
      <c r="K16">
        <f t="array" ref="K16">CONCATENATE("update msg_out_fld_config set msg_fld_name = '",A16,"' where cd = 'CA46A1847A31AB4DD3CDC7AB349E1509';")</f>
        <v>0</v>
      </c>
      <c r="M16">
        <f t="array" ref="M16">CONCATENATE("update msg_out_fld set description = '",D16,"' where tab_name = 'DOKUMENTENTYP' and fld_name = 'MUTDATUM';")</f>
        <v>0</v>
      </c>
    </row>
    <row r="17" spans="1:13">
      <c r="A17" t="s">
        <v>61</v>
      </c>
      <c r="C17" t="s">
        <v>37</v>
      </c>
      <c r="D17" t="s">
        <v>62</v>
      </c>
      <c r="E17" t="s">
        <v>39</v>
      </c>
      <c r="F17" t="s">
        <v>23</v>
      </c>
      <c r="H17" t="s">
        <v>60</v>
      </c>
      <c r="K17">
        <f t="array" ref="K17">CONCATENATE("update msg_out_fld_config set msg_fld_name = '",A17,"' where cd = 'E955F793928BDEF52F4826FA4556E175';")</f>
        <v>0</v>
      </c>
      <c r="M17">
        <f t="array" ref="M17">CONCATENATE("update msg_out_fld set description = '",D17,"' where tab_name = 'DOKUMENTENTYP' and fld_name = 'MUTUSER';")</f>
        <v>0</v>
      </c>
    </row>
    <row r="18" spans="1:13">
      <c r="A18" t="s">
        <v>1440</v>
      </c>
      <c r="C18" t="s">
        <v>26</v>
      </c>
      <c r="D18" t="s">
        <v>1441</v>
      </c>
      <c r="E18" t="s">
        <v>28</v>
      </c>
      <c r="F18" t="s">
        <v>29</v>
      </c>
      <c r="G18" t="s">
        <v>30</v>
      </c>
      <c r="H18" t="s">
        <v>1439</v>
      </c>
      <c r="K18">
        <f t="array" ref="K18">CONCATENATE("update msg_out_fld_config set msg_fld_name = '",A18,"' where cd = '7C5DE12CFF7330163DCEDDB87845DDB2';")</f>
        <v>0</v>
      </c>
      <c r="M18">
        <f t="array" ref="M18">CONCATENATE("update msg_out_fld set description = '",D18,"' where tab_name = 'DOKUMENTENTYP' and fld_name = 'DRUCKEN_CD';")</f>
        <v>0</v>
      </c>
    </row>
    <row r="19" spans="1:13">
      <c r="A19" t="s">
        <v>1443</v>
      </c>
      <c r="C19" t="s">
        <v>26</v>
      </c>
      <c r="D19" t="s">
        <v>1444</v>
      </c>
      <c r="E19" t="s">
        <v>28</v>
      </c>
      <c r="F19" t="s">
        <v>29</v>
      </c>
      <c r="G19" t="s">
        <v>30</v>
      </c>
      <c r="H19" t="s">
        <v>1442</v>
      </c>
      <c r="K19">
        <f t="array" ref="K19">CONCATENATE("update msg_out_fld_config set msg_fld_name = '",A19,"' where cd = '4CB05140F94D904CCA4FD8E004C72341';")</f>
        <v>0</v>
      </c>
      <c r="M19">
        <f t="array" ref="M19">CONCATENATE("update msg_out_fld set description = '",D19,"' where tab_name = 'DOKUMENTENTYP' and fld_name = 'TAX_CHVAT_RELEVANT_CD';")</f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cols>
    <col min="1" max="1" width="37.85546875" customWidth="1"/>
    <col min="2" max="2" width="4.28515625" customWidth="1"/>
    <col min="3" max="3" width="15.140625" customWidth="1"/>
    <col min="4" max="4" width="66.7109375" customWidth="1"/>
    <col min="5" max="5" width="53.5703125" customWidth="1"/>
    <col min="6" max="6" width="10.28515625" customWidth="1"/>
    <col min="7" max="7" width="18.7109375" customWidth="1"/>
    <col min="8" max="8" width="35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3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1445</v>
      </c>
    </row>
    <row r="2" spans="1:13">
      <c r="A2" s="1" t="s">
        <v>1446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482</v>
      </c>
      <c r="K6">
        <f t="array" ref="K6">CONCATENATE("update msg_out_fld_config set msg_fld_name = '",A6,"' where cd = '4C9F2C484AE0490C70F0193F5963AC0B';")</f>
        <v>0</v>
      </c>
      <c r="M6">
        <f t="array" ref="M6">CONCATENATE("update msg_out_fld set description = '",D6,"' where tab_name = 'DOKUMENTENART' and fld_name = 'DOKUMENT_CD';")</f>
        <v>0</v>
      </c>
    </row>
    <row r="7" spans="1:13">
      <c r="A7" t="s">
        <v>1448</v>
      </c>
      <c r="C7" t="s">
        <v>20</v>
      </c>
      <c r="D7" t="s">
        <v>1449</v>
      </c>
      <c r="H7" t="s">
        <v>1447</v>
      </c>
      <c r="K7">
        <f t="array" ref="K7">CONCATENATE("update msg_out_fld_config set msg_fld_name = '",A7,"' where cd = 'C2126C66B5E62A3CD12E7483D31EBD71';")</f>
        <v>0</v>
      </c>
      <c r="M7">
        <f t="array" ref="M7">CONCATENATE("update msg_out_fld set description = '",D7,"' where tab_name = 'DOKUMENTENART' and fld_name = 'TYPDOCS';")</f>
        <v>0</v>
      </c>
    </row>
    <row r="8" spans="1:13">
      <c r="A8" t="s">
        <v>1451</v>
      </c>
      <c r="C8" t="s">
        <v>26</v>
      </c>
      <c r="D8" t="s">
        <v>1452</v>
      </c>
      <c r="E8" t="s">
        <v>28</v>
      </c>
      <c r="F8" t="s">
        <v>29</v>
      </c>
      <c r="G8" t="s">
        <v>30</v>
      </c>
      <c r="H8" t="s">
        <v>1450</v>
      </c>
      <c r="K8">
        <f t="array" ref="K8">CONCATENATE("update msg_out_fld_config set msg_fld_name = '",A8,"' where cd = '8464AEDBDA62499C38F56842E98A4289';")</f>
        <v>0</v>
      </c>
      <c r="M8">
        <f t="array" ref="M8">CONCATENATE("update msg_out_fld set description = '",D8,"' where tab_name = 'DOKUMENTENART' and fld_name = 'AUTO_CREATE_DOC_FROM_FIRST_PO';")</f>
        <v>0</v>
      </c>
    </row>
    <row r="9" spans="1:13">
      <c r="A9" t="s">
        <v>1291</v>
      </c>
      <c r="C9" t="s">
        <v>26</v>
      </c>
      <c r="D9" t="s">
        <v>1453</v>
      </c>
      <c r="E9" t="s">
        <v>1292</v>
      </c>
      <c r="F9" t="s">
        <v>29</v>
      </c>
      <c r="G9" t="s">
        <v>1293</v>
      </c>
      <c r="H9" t="s">
        <v>1290</v>
      </c>
      <c r="K9">
        <f t="array" ref="K9">CONCATENATE("update msg_out_fld_config set msg_fld_name = '",A9,"' where cd = '3F22EBE55E6F98FD855FDEC73EAFDB29';")</f>
        <v>0</v>
      </c>
      <c r="M9">
        <f t="array" ref="M9">CONCATENATE("update msg_out_fld set description = '",D9,"' where tab_name = 'DOKUMENTENART' and fld_name = 'KUNDENART_CD';")</f>
        <v>0</v>
      </c>
    </row>
    <row r="10" spans="1:13">
      <c r="A10" t="s">
        <v>724</v>
      </c>
      <c r="C10" t="s">
        <v>68</v>
      </c>
      <c r="D10" t="s">
        <v>1455</v>
      </c>
      <c r="E10" t="s">
        <v>1456</v>
      </c>
      <c r="F10" t="s">
        <v>23</v>
      </c>
      <c r="H10" t="s">
        <v>1454</v>
      </c>
      <c r="K10">
        <f t="array" ref="K10">CONCATENATE("update msg_out_fld_config set msg_fld_name = '",A10,"' where cd = '80D602AA3AA7A23FEE92CF0C4E9ECE8F';")</f>
        <v>0</v>
      </c>
      <c r="M10">
        <f t="array" ref="M10">CONCATENATE("update msg_out_fld set description = '",D10,"' where tab_name = 'DOKUMENTENART' and fld_name = 'KUNDENSTATUS_CD';")</f>
        <v>0</v>
      </c>
    </row>
    <row r="11" spans="1:13">
      <c r="A11" t="s">
        <v>1294</v>
      </c>
      <c r="C11" t="s">
        <v>26</v>
      </c>
      <c r="D11" t="s">
        <v>1457</v>
      </c>
      <c r="E11" t="s">
        <v>1295</v>
      </c>
      <c r="F11" t="s">
        <v>29</v>
      </c>
      <c r="G11" t="s">
        <v>1296</v>
      </c>
      <c r="H11" t="s">
        <v>1211</v>
      </c>
      <c r="K11">
        <f t="array" ref="K11">CONCATENATE("update msg_out_fld_config set msg_fld_name = '",A11,"' where cd = '669B004C2259DD887E48964FF2C66C37';")</f>
        <v>0</v>
      </c>
      <c r="M11">
        <f t="array" ref="M11">CONCATENATE("update msg_out_fld set description = '",D11,"' where tab_name = 'DOKUMENTENART' and fld_name = 'KUNDENTYP_CD';")</f>
        <v>0</v>
      </c>
    </row>
    <row r="12" spans="1:13">
      <c r="A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24</v>
      </c>
      <c r="K12">
        <f t="array" ref="K12">CONCATENATE("update msg_out_fld_config set msg_fld_name = '",A12,"' where cd = 'B4CD46B5421CEF24F6BA575A5A8B660A';")</f>
        <v>0</v>
      </c>
      <c r="M12">
        <f t="array" ref="M12">CONCATENATE("update msg_out_fld set description = '",D12,"' where tab_name = 'DOKUMENTENART' and fld_name = 'LOESCH_CD';")</f>
        <v>0</v>
      </c>
    </row>
    <row r="13" spans="1:13">
      <c r="A13" t="s">
        <v>32</v>
      </c>
      <c r="C13" t="s">
        <v>33</v>
      </c>
      <c r="D13" t="s">
        <v>34</v>
      </c>
      <c r="H13" t="s">
        <v>31</v>
      </c>
      <c r="K13">
        <f t="array" ref="K13">CONCATENATE("update msg_out_fld_config set msg_fld_name = '",A13,"' where cd = '2E6675201E03B9ADBB01446C1F09BC4A';")</f>
        <v>0</v>
      </c>
      <c r="M13">
        <f t="array" ref="M13">CONCATENATE("update msg_out_fld set description = '",D13,"' where tab_name = 'DOKUMENTENART' and fld_name = 'LOESCHDATUM';")</f>
        <v>0</v>
      </c>
    </row>
    <row r="14" spans="1:13">
      <c r="A14" t="s">
        <v>36</v>
      </c>
      <c r="C14" t="s">
        <v>37</v>
      </c>
      <c r="D14" t="s">
        <v>38</v>
      </c>
      <c r="E14" t="s">
        <v>39</v>
      </c>
      <c r="F14" t="s">
        <v>23</v>
      </c>
      <c r="H14" t="s">
        <v>35</v>
      </c>
      <c r="K14">
        <f t="array" ref="K14">CONCATENATE("update msg_out_fld_config set msg_fld_name = '",A14,"' where cd = 'D90DBCF1EAB107AC20E8C723B0220FDB';")</f>
        <v>0</v>
      </c>
      <c r="M14">
        <f t="array" ref="M14">CONCATENATE("update msg_out_fld set description = '",D14,"' where tab_name = 'DOKUMENTENART' and fld_name = 'LOESCHUSER';")</f>
        <v>0</v>
      </c>
    </row>
    <row r="15" spans="1:13">
      <c r="A15" t="s">
        <v>45</v>
      </c>
      <c r="C15" t="s">
        <v>33</v>
      </c>
      <c r="D15" t="s">
        <v>46</v>
      </c>
      <c r="H15" t="s">
        <v>44</v>
      </c>
      <c r="K15">
        <f t="array" ref="K15">CONCATENATE("update msg_out_fld_config set msg_fld_name = '",A15,"' where cd = 'C9CA388F42D9ABB0F99BE53A9869E1B8';")</f>
        <v>0</v>
      </c>
      <c r="M15">
        <f t="array" ref="M15">CONCATENATE("update msg_out_fld set description = '",D15,"' where tab_name = 'DOKUMENTENART' and fld_name = 'CRTDATUM';")</f>
        <v>0</v>
      </c>
    </row>
    <row r="16" spans="1:13">
      <c r="A16" t="s">
        <v>48</v>
      </c>
      <c r="C16" t="s">
        <v>37</v>
      </c>
      <c r="D16" t="s">
        <v>49</v>
      </c>
      <c r="E16" t="s">
        <v>39</v>
      </c>
      <c r="F16" t="s">
        <v>23</v>
      </c>
      <c r="H16" t="s">
        <v>47</v>
      </c>
      <c r="K16">
        <f t="array" ref="K16">CONCATENATE("update msg_out_fld_config set msg_fld_name = '",A16,"' where cd = '0B9E2B07167C67E4AA6F648701275973';")</f>
        <v>0</v>
      </c>
      <c r="M16">
        <f t="array" ref="M16">CONCATENATE("update msg_out_fld set description = '",D16,"' where tab_name = 'DOKUMENTENART' and fld_name = 'CRTUSER';")</f>
        <v>0</v>
      </c>
    </row>
    <row r="17" spans="1:13">
      <c r="A17" t="s">
        <v>55</v>
      </c>
      <c r="C17" t="s">
        <v>1226</v>
      </c>
      <c r="D17" t="s">
        <v>1281</v>
      </c>
      <c r="H17" t="s">
        <v>1458</v>
      </c>
      <c r="K17">
        <f t="array" ref="K17">CONCATENATE("update msg_out_fld_config set msg_fld_name = '",A17,"' where cd = 'A547547B37285B0CABF0167FC45348A1';")</f>
        <v>0</v>
      </c>
      <c r="M17">
        <f t="array" ref="M17">CONCATENATE("update msg_out_fld set description = '",D17,"' where tab_name = 'DOKUMENTENART' and fld_name = 'DOKUMENT';")</f>
        <v>0</v>
      </c>
    </row>
    <row r="18" spans="1:13">
      <c r="A18" t="s">
        <v>1460</v>
      </c>
      <c r="C18" t="s">
        <v>68</v>
      </c>
      <c r="D18" t="s">
        <v>1461</v>
      </c>
      <c r="E18" t="s">
        <v>1135</v>
      </c>
      <c r="F18" t="s">
        <v>23</v>
      </c>
      <c r="H18" t="s">
        <v>1459</v>
      </c>
      <c r="K18">
        <f t="array" ref="K18">CONCATENATE("update msg_out_fld_config set msg_fld_name = '",A18,"' where cd = '4C16E7BAA0E5DC068B71306D9E5B92C2';")</f>
        <v>0</v>
      </c>
      <c r="M18">
        <f t="array" ref="M18">CONCATENATE("update msg_out_fld set description = '",D18,"' where tab_name = 'DOKUMENTENART' and fld_name = 'DEF_SELF_CERT_TYPE';")</f>
        <v>0</v>
      </c>
    </row>
    <row r="19" spans="1:13">
      <c r="A19" t="s">
        <v>1462</v>
      </c>
      <c r="C19" t="s">
        <v>68</v>
      </c>
      <c r="D19" t="s">
        <v>1420</v>
      </c>
      <c r="E19" t="s">
        <v>1463</v>
      </c>
      <c r="F19" t="s">
        <v>23</v>
      </c>
      <c r="H19" t="s">
        <v>486</v>
      </c>
      <c r="K19">
        <f t="array" ref="K19">CONCATENATE("update msg_out_fld_config set msg_fld_name = '",A19,"' where cd = 'F09915109D1936970B461AE0469FE7DE';")</f>
        <v>0</v>
      </c>
      <c r="M19">
        <f t="array" ref="M19">CONCATENATE("update msg_out_fld set description = '",D19,"' where tab_name = 'DOKUMENTENART' and fld_name = 'GRUPPEN_CD';")</f>
        <v>0</v>
      </c>
    </row>
    <row r="20" spans="1:13">
      <c r="A20" t="s">
        <v>1055</v>
      </c>
      <c r="C20" t="s">
        <v>26</v>
      </c>
      <c r="D20" t="s">
        <v>1465</v>
      </c>
      <c r="E20" t="s">
        <v>1466</v>
      </c>
      <c r="F20" t="s">
        <v>29</v>
      </c>
      <c r="G20" t="s">
        <v>1467</v>
      </c>
      <c r="H20" t="s">
        <v>1464</v>
      </c>
      <c r="K20">
        <f t="array" ref="K20">CONCATENATE("update msg_out_fld_config set msg_fld_name = '",A20,"' where cd = '6D0911168C1004CAF2A5B8C870BEDFD4';")</f>
        <v>0</v>
      </c>
      <c r="M20">
        <f t="array" ref="M20">CONCATENATE("update msg_out_fld set description = '",D20,"' where tab_name = 'DOKUMENTENART' and fld_name = 'ABLAUFDATUM_CD';")</f>
        <v>0</v>
      </c>
    </row>
    <row r="21" spans="1:13">
      <c r="A21" t="s">
        <v>1469</v>
      </c>
      <c r="C21" t="s">
        <v>26</v>
      </c>
      <c r="D21" t="s">
        <v>1470</v>
      </c>
      <c r="E21" t="s">
        <v>28</v>
      </c>
      <c r="F21" t="s">
        <v>29</v>
      </c>
      <c r="G21" t="s">
        <v>30</v>
      </c>
      <c r="H21" t="s">
        <v>1468</v>
      </c>
      <c r="K21">
        <f t="array" ref="K21">CONCATENATE("update msg_out_fld_config set msg_fld_name = '",A21,"' where cd = '0D62FD176CAA79FFBAEA2257495A0B38';")</f>
        <v>0</v>
      </c>
      <c r="M21">
        <f t="array" ref="M21">CONCATENATE("update msg_out_fld set description = '",D21,"' where tab_name = 'DOKUMENTENART' and fld_name = 'PARTNER_EBENE_CD';")</f>
        <v>0</v>
      </c>
    </row>
    <row r="22" spans="1:13">
      <c r="A22" t="s">
        <v>1472</v>
      </c>
      <c r="C22" t="s">
        <v>26</v>
      </c>
      <c r="D22" t="s">
        <v>1473</v>
      </c>
      <c r="E22" t="s">
        <v>28</v>
      </c>
      <c r="F22" t="s">
        <v>29</v>
      </c>
      <c r="G22" t="s">
        <v>30</v>
      </c>
      <c r="H22" t="s">
        <v>1471</v>
      </c>
      <c r="K22">
        <f t="array" ref="K22">CONCATENATE("update msg_out_fld_config set msg_fld_name = '",A22,"' where cd = '802EDAAE08601072EDCA6A4C3F79FC64';")</f>
        <v>0</v>
      </c>
      <c r="M22">
        <f t="array" ref="M22">CONCATENATE("update msg_out_fld set description = '",D22,"' where tab_name = 'DOKUMENTENART' and fld_name = 'ACCOUNT_CLOSING_DOC_CD';")</f>
        <v>0</v>
      </c>
    </row>
    <row r="23" spans="1:13">
      <c r="A23" t="s">
        <v>1475</v>
      </c>
      <c r="C23" t="s">
        <v>26</v>
      </c>
      <c r="D23" t="s">
        <v>1476</v>
      </c>
      <c r="E23" t="s">
        <v>28</v>
      </c>
      <c r="F23" t="s">
        <v>29</v>
      </c>
      <c r="G23" t="s">
        <v>30</v>
      </c>
      <c r="H23" t="s">
        <v>1474</v>
      </c>
      <c r="K23">
        <f t="array" ref="K23">CONCATENATE("update msg_out_fld_config set msg_fld_name = '",A23,"' where cd = 'CBA4D398C4F4A8C805BC905F63B3A6B1';")</f>
        <v>0</v>
      </c>
      <c r="M23">
        <f t="array" ref="M23">CONCATENATE("update msg_out_fld set description = '",D23,"' where tab_name = 'DOKUMENTENART' and fld_name = 'DEFAULT_CD';")</f>
        <v>0</v>
      </c>
    </row>
    <row r="24" spans="1:13">
      <c r="A24" t="s">
        <v>1478</v>
      </c>
      <c r="C24" t="s">
        <v>26</v>
      </c>
      <c r="D24" t="s">
        <v>1479</v>
      </c>
      <c r="E24" t="s">
        <v>28</v>
      </c>
      <c r="F24" t="s">
        <v>29</v>
      </c>
      <c r="G24" t="s">
        <v>30</v>
      </c>
      <c r="H24" t="s">
        <v>1477</v>
      </c>
      <c r="K24">
        <f t="array" ref="K24">CONCATENATE("update msg_out_fld_config set msg_fld_name = '",A24,"' where cd = '4FCFEFF8FD10F4A1D73FC7C31D65C6E1';")</f>
        <v>0</v>
      </c>
      <c r="M24">
        <f t="array" ref="M24">CONCATENATE("update msg_out_fld set description = '",D24,"' where tab_name = 'DOKUMENTENART' and fld_name = 'EBANKINGCONTRACT_CD';")</f>
        <v>0</v>
      </c>
    </row>
    <row r="25" spans="1:13">
      <c r="A25" t="s">
        <v>1481</v>
      </c>
      <c r="C25" t="s">
        <v>26</v>
      </c>
      <c r="D25" t="s">
        <v>1482</v>
      </c>
      <c r="E25" t="s">
        <v>28</v>
      </c>
      <c r="F25" t="s">
        <v>29</v>
      </c>
      <c r="G25" t="s">
        <v>30</v>
      </c>
      <c r="H25" t="s">
        <v>1480</v>
      </c>
      <c r="K25">
        <f t="array" ref="K25">CONCATENATE("update msg_out_fld_config set msg_fld_name = '",A25,"' where cd = '3DB0D21430C5EC0716155BF0E5BE6A29';")</f>
        <v>0</v>
      </c>
      <c r="M25">
        <f t="array" ref="M25">CONCATENATE("update msg_out_fld set description = '",D25,"' where tab_name = 'DOKUMENTENART' and fld_name = 'IDENTIFIZIEREND_CD';")</f>
        <v>0</v>
      </c>
    </row>
    <row r="26" spans="1:13">
      <c r="A26" t="s">
        <v>1484</v>
      </c>
      <c r="C26" t="s">
        <v>26</v>
      </c>
      <c r="D26" t="s">
        <v>1485</v>
      </c>
      <c r="E26" t="s">
        <v>28</v>
      </c>
      <c r="F26" t="s">
        <v>29</v>
      </c>
      <c r="G26" t="s">
        <v>30</v>
      </c>
      <c r="H26" t="s">
        <v>1483</v>
      </c>
      <c r="K26">
        <f t="array" ref="K26">CONCATENATE("update msg_out_fld_config set msg_fld_name = '",A26,"' where cd = 'B96E4EFFF893B361ACE9CD25366385BE';")</f>
        <v>0</v>
      </c>
      <c r="M26">
        <f t="array" ref="M26">CONCATENATE("update msg_out_fld set description = '",D26,"' where tab_name = 'DOKUMENTENART' and fld_name = 'APSYS_RELEVANT_CD';")</f>
        <v>0</v>
      </c>
    </row>
    <row r="27" spans="1:13">
      <c r="A27" t="s">
        <v>1487</v>
      </c>
      <c r="C27" t="s">
        <v>26</v>
      </c>
      <c r="D27" t="s">
        <v>1488</v>
      </c>
      <c r="E27" t="s">
        <v>28</v>
      </c>
      <c r="F27" t="s">
        <v>29</v>
      </c>
      <c r="G27" t="s">
        <v>30</v>
      </c>
      <c r="H27" t="s">
        <v>1486</v>
      </c>
      <c r="K27">
        <f t="array" ref="K27">CONCATENATE("update msg_out_fld_config set msg_fld_name = '",A27,"' where cd = '42078783714F277050E031682DB6B0C2';")</f>
        <v>0</v>
      </c>
      <c r="M27">
        <f t="array" ref="M27">CONCATENATE("update msg_out_fld set description = '",D27,"' where tab_name = 'DOKUMENTENART' and fld_name = 'SELF_CERTIFICATION_CD';")</f>
        <v>0</v>
      </c>
    </row>
    <row r="28" spans="1:13">
      <c r="A28" t="s">
        <v>1489</v>
      </c>
      <c r="C28" t="s">
        <v>26</v>
      </c>
      <c r="D28" t="s">
        <v>1444</v>
      </c>
      <c r="E28" t="s">
        <v>28</v>
      </c>
      <c r="F28" t="s">
        <v>29</v>
      </c>
      <c r="G28" t="s">
        <v>30</v>
      </c>
      <c r="H28" t="s">
        <v>1442</v>
      </c>
      <c r="K28">
        <f t="array" ref="K28">CONCATENATE("update msg_out_fld_config set msg_fld_name = '",A28,"' where cd = 'A4A21D62931445F9422BBEFBDA793438';")</f>
        <v>0</v>
      </c>
      <c r="M28">
        <f t="array" ref="M28">CONCATENATE("update msg_out_fld set description = '",D28,"' where tab_name = 'DOKUMENTENART' and fld_name = 'TAX_CHVAT_RELEVANT_CD';")</f>
        <v>0</v>
      </c>
    </row>
    <row r="29" spans="1:13">
      <c r="A29" t="s">
        <v>1490</v>
      </c>
      <c r="C29" t="s">
        <v>26</v>
      </c>
      <c r="D29" t="s">
        <v>1433</v>
      </c>
      <c r="E29" t="s">
        <v>28</v>
      </c>
      <c r="F29" t="s">
        <v>29</v>
      </c>
      <c r="G29" t="s">
        <v>30</v>
      </c>
      <c r="H29" t="s">
        <v>1431</v>
      </c>
      <c r="K29">
        <f t="array" ref="K29">CONCATENATE("update msg_out_fld_config set msg_fld_name = '",A29,"' where cd = 'C7AC180C2F932B2C94A6D9C5D3CF891B';")</f>
        <v>0</v>
      </c>
      <c r="M29">
        <f t="array" ref="M29">CONCATENATE("update msg_out_fld set description = '",D29,"' where tab_name = 'DOKUMENTENART' and fld_name = 'TAX_EUTAX_RELEVANT_CD';")</f>
        <v>0</v>
      </c>
    </row>
    <row r="30" spans="1:13">
      <c r="A30" t="s">
        <v>1371</v>
      </c>
      <c r="C30" t="s">
        <v>26</v>
      </c>
      <c r="D30" t="s">
        <v>1435</v>
      </c>
      <c r="E30" t="s">
        <v>28</v>
      </c>
      <c r="F30" t="s">
        <v>29</v>
      </c>
      <c r="G30" t="s">
        <v>30</v>
      </c>
      <c r="H30" t="s">
        <v>1434</v>
      </c>
      <c r="K30">
        <f t="array" ref="K30">CONCATENATE("update msg_out_fld_config set msg_fld_name = '",A30,"' where cd = 'ECC74C5EBA5142889C08E447112F778A';")</f>
        <v>0</v>
      </c>
      <c r="M30">
        <f t="array" ref="M30">CONCATENATE("update msg_out_fld set description = '",D30,"' where tab_name = 'DOKUMENTENART' and fld_name = 'TAX_FWHT_RELEVANT_CD';")</f>
        <v>0</v>
      </c>
    </row>
    <row r="31" spans="1:13">
      <c r="A31" t="s">
        <v>1491</v>
      </c>
      <c r="C31" t="s">
        <v>26</v>
      </c>
      <c r="D31" t="s">
        <v>1438</v>
      </c>
      <c r="E31" t="s">
        <v>28</v>
      </c>
      <c r="F31" t="s">
        <v>29</v>
      </c>
      <c r="G31" t="s">
        <v>30</v>
      </c>
      <c r="H31" t="s">
        <v>1436</v>
      </c>
      <c r="K31">
        <f t="array" ref="K31">CONCATENATE("update msg_out_fld_config set msg_fld_name = '",A31,"' where cd = '9E1812255EBBF196D203AE883E4A1525';")</f>
        <v>0</v>
      </c>
      <c r="M31">
        <f t="array" ref="M31">CONCATENATE("update msg_out_fld set description = '",D31,"' where tab_name = 'DOKUMENTENART' and fld_name = 'TAX_USWHT_RELEVANT_CD';")</f>
        <v>0</v>
      </c>
    </row>
    <row r="32" spans="1:13">
      <c r="A32" t="s">
        <v>1493</v>
      </c>
      <c r="C32" t="s">
        <v>26</v>
      </c>
      <c r="D32" t="s">
        <v>1494</v>
      </c>
      <c r="E32" t="s">
        <v>28</v>
      </c>
      <c r="F32" t="s">
        <v>29</v>
      </c>
      <c r="G32" t="s">
        <v>30</v>
      </c>
      <c r="H32" t="s">
        <v>1492</v>
      </c>
      <c r="K32">
        <f t="array" ref="K32">CONCATENATE("update msg_out_fld_config set msg_fld_name = '",A32,"' where cd = '884C8C34E776296425F0C45863E3A9DB';")</f>
        <v>0</v>
      </c>
      <c r="M32">
        <f t="array" ref="M32">CONCATENATE("update msg_out_fld set description = '",D32,"' where tab_name = 'DOKUMENTENART' and fld_name = 'VERSION_CD';")</f>
        <v>0</v>
      </c>
    </row>
    <row r="33" spans="1:13">
      <c r="A33" t="s">
        <v>1496</v>
      </c>
      <c r="C33" t="s">
        <v>68</v>
      </c>
      <c r="D33" t="s">
        <v>1497</v>
      </c>
      <c r="H33" t="s">
        <v>1495</v>
      </c>
      <c r="K33">
        <f t="array" ref="K33">CONCATENATE("update msg_out_fld_config set msg_fld_name = '",A33,"' where cd = 'FAB637AD06B7AEEB84F84EAE01EBB24F';")</f>
        <v>0</v>
      </c>
      <c r="M33">
        <f t="array" ref="M33">CONCATENATE("update msg_out_fld set description = '",D33,"' where tab_name = 'DOKUMENTENART' and fld_name = 'MAX_DOCUMENT_COPIES';")</f>
        <v>0</v>
      </c>
    </row>
    <row r="34" spans="1:13">
      <c r="A34" t="s">
        <v>1499</v>
      </c>
      <c r="C34" t="s">
        <v>68</v>
      </c>
      <c r="D34" t="s">
        <v>1500</v>
      </c>
      <c r="H34" t="s">
        <v>1498</v>
      </c>
      <c r="K34">
        <f t="array" ref="K34">CONCATENATE("update msg_out_fld_config set msg_fld_name = '",A34,"' where cd = '575B03C8D0C9BCE361962ED24B9F7263';")</f>
        <v>0</v>
      </c>
      <c r="M34">
        <f t="array" ref="M34">CONCATENATE("update msg_out_fld set description = '",D34,"' where tab_name = 'DOKUMENTENART' and fld_name = 'MAX_RELATION_COUNT';")</f>
        <v>0</v>
      </c>
    </row>
    <row r="35" spans="1:13">
      <c r="A35" t="s">
        <v>58</v>
      </c>
      <c r="C35" t="s">
        <v>33</v>
      </c>
      <c r="D35" t="s">
        <v>59</v>
      </c>
      <c r="H35" t="s">
        <v>57</v>
      </c>
      <c r="K35">
        <f t="array" ref="K35">CONCATENATE("update msg_out_fld_config set msg_fld_name = '",A35,"' where cd = 'E60E61671DE0D54E8A439E9C2F1A01B0';")</f>
        <v>0</v>
      </c>
      <c r="M35">
        <f t="array" ref="M35">CONCATENATE("update msg_out_fld set description = '",D35,"' where tab_name = 'DOKUMENTENART' and fld_name = 'MUTDATUM';")</f>
        <v>0</v>
      </c>
    </row>
    <row r="36" spans="1:13">
      <c r="A36" t="s">
        <v>61</v>
      </c>
      <c r="C36" t="s">
        <v>37</v>
      </c>
      <c r="D36" t="s">
        <v>62</v>
      </c>
      <c r="E36" t="s">
        <v>39</v>
      </c>
      <c r="F36" t="s">
        <v>23</v>
      </c>
      <c r="H36" t="s">
        <v>60</v>
      </c>
      <c r="K36">
        <f t="array" ref="K36">CONCATENATE("update msg_out_fld_config set msg_fld_name = '",A36,"' where cd = '27637B8D3668B46376F01050499091AA';")</f>
        <v>0</v>
      </c>
      <c r="M36">
        <f t="array" ref="M36">CONCATENATE("update msg_out_fld set description = '",D36,"' where tab_name = 'DOKUMENTENART' and fld_name = 'MUTUSER';")</f>
        <v>0</v>
      </c>
    </row>
    <row r="37" spans="1:13">
      <c r="A37" t="s">
        <v>1502</v>
      </c>
      <c r="C37" t="s">
        <v>26</v>
      </c>
      <c r="D37" t="s">
        <v>1503</v>
      </c>
      <c r="E37" t="s">
        <v>28</v>
      </c>
      <c r="F37" t="s">
        <v>29</v>
      </c>
      <c r="G37" t="s">
        <v>30</v>
      </c>
      <c r="H37" t="s">
        <v>1501</v>
      </c>
      <c r="K37">
        <f t="array" ref="K37">CONCATENATE("update msg_out_fld_config set msg_fld_name = '",A37,"' where cd = 'C3CD0815F8FC7A647F0430D39E8466CB';")</f>
        <v>0</v>
      </c>
      <c r="M37">
        <f t="array" ref="M37">CONCATENATE("update msg_out_fld set description = '",D37,"' where tab_name = 'DOKUMENTENART' and fld_name = 'PORTFOLIO_CD';")</f>
        <v>0</v>
      </c>
    </row>
    <row r="38" spans="1:13">
      <c r="A38" t="s">
        <v>1440</v>
      </c>
      <c r="C38" t="s">
        <v>26</v>
      </c>
      <c r="D38" t="s">
        <v>1441</v>
      </c>
      <c r="E38" t="s">
        <v>28</v>
      </c>
      <c r="F38" t="s">
        <v>29</v>
      </c>
      <c r="G38" t="s">
        <v>30</v>
      </c>
      <c r="H38" t="s">
        <v>1439</v>
      </c>
      <c r="K38">
        <f t="array" ref="K38">CONCATENATE("update msg_out_fld_config set msg_fld_name = '",A38,"' where cd = '276D1362F6F5F80D1E7CBA808AAE26F2';")</f>
        <v>0</v>
      </c>
      <c r="M38">
        <f t="array" ref="M38">CONCATENATE("update msg_out_fld set description = '",D38,"' where tab_name = 'DOKUMENTENART' and fld_name = 'DRUCKEN_CD';")</f>
        <v>0</v>
      </c>
    </row>
    <row r="39" spans="1:13">
      <c r="A39" t="s">
        <v>1505</v>
      </c>
      <c r="C39" t="s">
        <v>26</v>
      </c>
      <c r="D39" t="s">
        <v>1506</v>
      </c>
      <c r="E39" t="s">
        <v>28</v>
      </c>
      <c r="F39" t="s">
        <v>29</v>
      </c>
      <c r="G39" t="s">
        <v>30</v>
      </c>
      <c r="H39" t="s">
        <v>1504</v>
      </c>
      <c r="K39">
        <f t="array" ref="K39">CONCATENATE("update msg_out_fld_config set msg_fld_name = '",A39,"' where cd = '238A9664ECDCC78C281C01AFEC4CF67D';")</f>
        <v>0</v>
      </c>
      <c r="M39">
        <f t="array" ref="M39">CONCATENATE("update msg_out_fld set description = '",D39,"' where tab_name = 'DOKUMENTENART' and fld_name = 'SAFEDOCUMENT_CD';")</f>
        <v>0</v>
      </c>
    </row>
    <row r="40" spans="1:13">
      <c r="A40" t="s">
        <v>1508</v>
      </c>
      <c r="C40" t="s">
        <v>68</v>
      </c>
      <c r="D40" t="s">
        <v>1509</v>
      </c>
      <c r="E40" t="s">
        <v>1157</v>
      </c>
      <c r="F40" t="s">
        <v>23</v>
      </c>
      <c r="H40" t="s">
        <v>1507</v>
      </c>
      <c r="K40">
        <f t="array" ref="K40">CONCATENATE("update msg_out_fld_config set msg_fld_name = '",A40,"' where cd = 'C6A7592D49FAF6E036216454B765008C';")</f>
        <v>0</v>
      </c>
      <c r="M40">
        <f t="array" ref="M40">CONCATENATE("update msg_out_fld set description = '",D40,"' where tab_name = 'DOKUMENTENART' and fld_name = 'SCANNED_DOKUMENT_CD';")</f>
        <v>0</v>
      </c>
    </row>
    <row r="41" spans="1:13">
      <c r="A41" t="s">
        <v>1511</v>
      </c>
      <c r="C41" t="s">
        <v>68</v>
      </c>
      <c r="D41" t="s">
        <v>1512</v>
      </c>
      <c r="E41" t="s">
        <v>1513</v>
      </c>
      <c r="F41" t="s">
        <v>23</v>
      </c>
      <c r="H41" t="s">
        <v>1510</v>
      </c>
      <c r="K41">
        <f t="array" ref="K41">CONCATENATE("update msg_out_fld_config set msg_fld_name = '",A41,"' where cd = 'D270625BA23055AB3CBDCA365B51DE01';")</f>
        <v>0</v>
      </c>
      <c r="M41">
        <f t="array" ref="M41">CONCATENATE("update msg_out_fld set description = '",D41,"' where tab_name = 'DOKUMENTENART' and fld_name = 'VERTRAULICHKEIT_CD';")</f>
        <v>0</v>
      </c>
    </row>
    <row r="42" spans="1:13">
      <c r="A42" t="s">
        <v>1515</v>
      </c>
      <c r="C42" t="s">
        <v>26</v>
      </c>
      <c r="D42" t="s">
        <v>1516</v>
      </c>
      <c r="E42" t="s">
        <v>28</v>
      </c>
      <c r="F42" t="s">
        <v>29</v>
      </c>
      <c r="G42" t="s">
        <v>30</v>
      </c>
      <c r="H42" t="s">
        <v>1514</v>
      </c>
      <c r="K42">
        <f t="array" ref="K42">CONCATENATE("update msg_out_fld_config set msg_fld_name = '",A42,"' where cd = '143C87FEA46095B7C3838D4307ED44FB';")</f>
        <v>0</v>
      </c>
      <c r="M42">
        <f t="array" ref="M42">CONCATENATE("update msg_out_fld set description = '",D42,"' where tab_name = 'DOKUMENTENART' and fld_name = 'SHOW_ONLY_FOR_SUBTYPE_CD';")</f>
        <v>0</v>
      </c>
    </row>
    <row r="43" spans="1:13">
      <c r="A43" t="s">
        <v>1518</v>
      </c>
      <c r="C43" t="s">
        <v>26</v>
      </c>
      <c r="D43" t="s">
        <v>1519</v>
      </c>
      <c r="E43" t="s">
        <v>28</v>
      </c>
      <c r="F43" t="s">
        <v>29</v>
      </c>
      <c r="G43" t="s">
        <v>30</v>
      </c>
      <c r="H43" t="s">
        <v>1517</v>
      </c>
      <c r="K43">
        <f t="array" ref="K43">CONCATENATE("update msg_out_fld_config set msg_fld_name = '",A43,"' where cd = '8EA103D09161CFDDD61A1A141D8963FC';")</f>
        <v>0</v>
      </c>
      <c r="M43">
        <f t="array" ref="M43">CONCATENATE("update msg_out_fld set description = '",D43,"' where tab_name = 'DOKUMENTENART' and fld_name = 'SHOW_ON_MODIFY_CD';")</f>
        <v>0</v>
      </c>
    </row>
    <row r="44" spans="1:13">
      <c r="A44" t="s">
        <v>1521</v>
      </c>
      <c r="C44" t="s">
        <v>26</v>
      </c>
      <c r="D44" t="s">
        <v>1522</v>
      </c>
      <c r="E44" t="s">
        <v>1466</v>
      </c>
      <c r="F44" t="s">
        <v>29</v>
      </c>
      <c r="G44" t="s">
        <v>1467</v>
      </c>
      <c r="H44" t="s">
        <v>1520</v>
      </c>
      <c r="K44">
        <f t="array" ref="K44">CONCATENATE("update msg_out_fld_config set msg_fld_name = '",A44,"' where cd = '6F57F1536B609856CD59975EF744F717';")</f>
        <v>0</v>
      </c>
      <c r="M44">
        <f t="array" ref="M44">CONCATENATE("update msg_out_fld set description = '",D44,"' where tab_name = 'DOKUMENTENART' and fld_name = 'ERHALTEN_AM_ERFORDERLICH_CD';")</f>
        <v>0</v>
      </c>
    </row>
    <row r="45" spans="1:13">
      <c r="A45" t="s">
        <v>1524</v>
      </c>
      <c r="C45" t="s">
        <v>68</v>
      </c>
      <c r="D45" t="s">
        <v>1525</v>
      </c>
      <c r="H45" t="s">
        <v>1523</v>
      </c>
      <c r="K45">
        <f t="array" ref="K45">CONCATENATE("update msg_out_fld_config set msg_fld_name = '",A45,"' where cd = '15D574F408B1EC0BC0C6500437538CB4';")</f>
        <v>0</v>
      </c>
      <c r="M45">
        <f t="array" ref="M45">CONCATENATE("update msg_out_fld set description = '",D45,"' where tab_name = 'DOKUMENTENART' and fld_name = 'ORDERNR';")</f>
        <v>0</v>
      </c>
    </row>
    <row r="46" spans="1:13">
      <c r="A46" t="s">
        <v>1527</v>
      </c>
      <c r="C46" t="s">
        <v>26</v>
      </c>
      <c r="D46" t="s">
        <v>1528</v>
      </c>
      <c r="E46" t="s">
        <v>28</v>
      </c>
      <c r="F46" t="s">
        <v>29</v>
      </c>
      <c r="G46" t="s">
        <v>30</v>
      </c>
      <c r="H46" t="s">
        <v>1526</v>
      </c>
      <c r="K46">
        <f t="array" ref="K46">CONCATENATE("update msg_out_fld_config set msg_fld_name = '",A46,"' where cd = '08C43E9DB3F7556FA170B8D82203AF24';")</f>
        <v>0</v>
      </c>
      <c r="M46">
        <f t="array" ref="M46">CONCATENATE("update msg_out_fld set description = '",D46,"' where tab_name = 'DOKUMENTENART' and fld_name = 'TODO_MASK_CD';")</f>
        <v>0</v>
      </c>
    </row>
    <row r="47" spans="1:13">
      <c r="A47" t="s">
        <v>1530</v>
      </c>
      <c r="C47" t="s">
        <v>26</v>
      </c>
      <c r="D47" t="s">
        <v>1531</v>
      </c>
      <c r="E47" t="s">
        <v>28</v>
      </c>
      <c r="F47" t="s">
        <v>29</v>
      </c>
      <c r="G47" t="s">
        <v>30</v>
      </c>
      <c r="H47" t="s">
        <v>1529</v>
      </c>
      <c r="K47">
        <f t="array" ref="K47">CONCATENATE("update msg_out_fld_config set msg_fld_name = '",A47,"' where cd = 'ADE3ADBF9F7768D9050CFEA98E4A0E73';")</f>
        <v>0</v>
      </c>
      <c r="M47">
        <f t="array" ref="M47">CONCATENATE("update msg_out_fld set description = '",D47,"' where tab_name = 'DOKUMENTENART' and fld_name = 'TODO_SIGN_CD';")</f>
        <v>0</v>
      </c>
    </row>
    <row r="48" spans="1:13">
      <c r="A48" t="s">
        <v>1533</v>
      </c>
      <c r="C48" t="s">
        <v>26</v>
      </c>
      <c r="D48" t="s">
        <v>1534</v>
      </c>
      <c r="E48" t="s">
        <v>1466</v>
      </c>
      <c r="F48" t="s">
        <v>29</v>
      </c>
      <c r="G48" t="s">
        <v>1467</v>
      </c>
      <c r="H48" t="s">
        <v>1532</v>
      </c>
      <c r="K48">
        <f t="array" ref="K48">CONCATENATE("update msg_out_fld_config set msg_fld_name = '",A48,"' where cd = '608EFA0D761A13B1FF25805AB5D47685';")</f>
        <v>0</v>
      </c>
      <c r="M48">
        <f t="array" ref="M48">CONCATENATE("update msg_out_fld set description = '",D48,"' where tab_name = 'DOKUMENTENART' and fld_name = 'GUELTIG_AB_ZWINGEND_CD';")</f>
        <v>0</v>
      </c>
    </row>
    <row r="49" spans="1:13">
      <c r="A49" t="s">
        <v>1536</v>
      </c>
      <c r="C49" t="s">
        <v>26</v>
      </c>
      <c r="D49" t="s">
        <v>1537</v>
      </c>
      <c r="E49" t="s">
        <v>1466</v>
      </c>
      <c r="F49" t="s">
        <v>29</v>
      </c>
      <c r="G49" t="s">
        <v>1467</v>
      </c>
      <c r="H49" t="s">
        <v>1535</v>
      </c>
      <c r="K49">
        <f t="array" ref="K49">CONCATENATE("update msg_out_fld_config set msg_fld_name = '",A49,"' where cd = 'DB26C07960370CEB437191F2F2870B60';")</f>
        <v>0</v>
      </c>
      <c r="M49">
        <f t="array" ref="M49">CONCATENATE("update msg_out_fld set description = '",D49,"' where tab_name = 'DOKUMENTENART' and fld_name = 'GUELTIG_BIS_ZWINGEND_CD';")</f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7.570312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7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1538</v>
      </c>
    </row>
    <row r="2" spans="1:13">
      <c r="A2" s="1" t="s">
        <v>1539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1166</v>
      </c>
      <c r="K6">
        <f t="array" ref="K6">CONCATENATE("update msg_out_fld_config set msg_fld_name = '",A6,"' where cd = '6608A2F46210C6644606B32513B0C5C3';")</f>
        <v>0</v>
      </c>
      <c r="M6">
        <f t="array" ref="M6">CONCATENATE("update msg_out_fld set description = '",D6,"' where tab_name = 'DOKUMENTENVERSION' and fld_name = 'VERSIONID';")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'85BD73A3BF17D2688AC3BC26826AB653';")</f>
        <v>0</v>
      </c>
      <c r="M7">
        <f t="array" ref="M7">CONCATENATE("update msg_out_fld set description = '",D7,"' where tab_name = 'DOKUMENTENVERSION'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'DFF986703E1656380BD83A6AA90D9DF2';")</f>
        <v>0</v>
      </c>
      <c r="M8">
        <f t="array" ref="M8">CONCATENATE("update msg_out_fld set description = '",D8,"' where tab_name = 'DOKUMENTENVERSION'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'5B1C658793060BBC2C1DA6B841A235BA';")</f>
        <v>0</v>
      </c>
      <c r="M9">
        <f t="array" ref="M9">CONCATENATE("update msg_out_fld set description = '",D9,"' where tab_name = 'DOKUMENTENVERSION'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'3B7E08989093ABD8C4F4A4F6AEC9D72C';")</f>
        <v>0</v>
      </c>
      <c r="M10">
        <f t="array" ref="M10">CONCATENATE("update msg_out_fld set description = '",D10,"' where tab_name = 'DOKUMENTENVERSION'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'ED1E48C68D1055CC1937919CC06F0A96';")</f>
        <v>0</v>
      </c>
      <c r="M11">
        <f t="array" ref="M11">CONCATENATE("update msg_out_fld set description = '",D11,"' where tab_name = 'DOKUMENTENVERSION' and fld_name = 'CRTUSER';")</f>
        <v>0</v>
      </c>
    </row>
    <row r="12" spans="1:13">
      <c r="A12" t="s">
        <v>55</v>
      </c>
      <c r="C12" t="s">
        <v>37</v>
      </c>
      <c r="D12" t="s">
        <v>1168</v>
      </c>
      <c r="H12" t="s">
        <v>1540</v>
      </c>
      <c r="K12">
        <f t="array" ref="K12">CONCATENATE("update msg_out_fld_config set msg_fld_name = '",A12,"' where cd = 'CB574B52126CB3E567AC990C566BB16E';")</f>
        <v>0</v>
      </c>
      <c r="M12">
        <f t="array" ref="M12">CONCATENATE("update msg_out_fld set description = '",D12,"' where tab_name = 'DOKUMENTENVERSION' and fld_name = 'VERSION';")</f>
        <v>0</v>
      </c>
    </row>
    <row r="13" spans="1:13">
      <c r="A13" t="s">
        <v>1280</v>
      </c>
      <c r="C13" t="s">
        <v>68</v>
      </c>
      <c r="D13" t="s">
        <v>429</v>
      </c>
      <c r="E13" t="s">
        <v>1157</v>
      </c>
      <c r="F13" t="s">
        <v>23</v>
      </c>
      <c r="H13" t="s">
        <v>1541</v>
      </c>
      <c r="K13">
        <f t="array" ref="K13">CONCATENATE("update msg_out_fld_config set msg_fld_name = '",A13,"' where cd = '4C4B48A7430C8F1CE2EEC2A4CE530C1E';")</f>
        <v>0</v>
      </c>
      <c r="M13">
        <f t="array" ref="M13">CONCATENATE("update msg_out_fld set description = '",D13,"' where tab_name = 'DOKUMENTENVERSION' and fld_name = 'DOCUMENT_CD';")</f>
        <v>0</v>
      </c>
    </row>
    <row r="14" spans="1:13">
      <c r="A14" t="s">
        <v>1300</v>
      </c>
      <c r="C14" t="s">
        <v>26</v>
      </c>
      <c r="D14" t="s">
        <v>1542</v>
      </c>
      <c r="E14" t="s">
        <v>28</v>
      </c>
      <c r="F14" t="s">
        <v>29</v>
      </c>
      <c r="G14" t="s">
        <v>30</v>
      </c>
      <c r="H14" t="s">
        <v>1299</v>
      </c>
      <c r="K14">
        <f t="array" ref="K14">CONCATENATE("update msg_out_fld_config set msg_fld_name = '",A14,"' where cd = 'E0681046742CB138DEC220A617A154AA';")</f>
        <v>0</v>
      </c>
      <c r="M14">
        <f t="array" ref="M14">CONCATENATE("update msg_out_fld set description = '",D14,"' where tab_name = 'DOKUMENTENVERSION' and fld_name = 'AKTIV_CD';")</f>
        <v>0</v>
      </c>
    </row>
    <row r="15" spans="1:13">
      <c r="A15" t="s">
        <v>58</v>
      </c>
      <c r="C15" t="s">
        <v>33</v>
      </c>
      <c r="D15" t="s">
        <v>59</v>
      </c>
      <c r="H15" t="s">
        <v>57</v>
      </c>
      <c r="K15">
        <f t="array" ref="K15">CONCATENATE("update msg_out_fld_config set msg_fld_name = '",A15,"' where cd = 'E6CA7BD3EC098E2CC325BD7791A5967D';")</f>
        <v>0</v>
      </c>
      <c r="M15">
        <f t="array" ref="M15">CONCATENATE("update msg_out_fld set description = '",D15,"' where tab_name = 'DOKUMENTENVERSION' and fld_name = 'MUTDATUM';")</f>
        <v>0</v>
      </c>
    </row>
    <row r="16" spans="1:13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  <c r="K16">
        <f t="array" ref="K16">CONCATENATE("update msg_out_fld_config set msg_fld_name = '",A16,"' where cd = '8C3909444A80A92DA09B3A9D97399BC9';")</f>
        <v>0</v>
      </c>
      <c r="M16">
        <f t="array" ref="M16">CONCATENATE("update msg_out_fld set description = '",D16,"' where tab_name = 'DOKUMENTENVERSION' and fld_name = 'MUTUSER';")</f>
        <v>0</v>
      </c>
    </row>
    <row r="17" spans="1:13">
      <c r="A17" t="s">
        <v>170</v>
      </c>
      <c r="C17" t="s">
        <v>37</v>
      </c>
      <c r="D17" t="s">
        <v>1543</v>
      </c>
      <c r="H17" t="s">
        <v>169</v>
      </c>
      <c r="K17">
        <f t="array" ref="K17">CONCATENATE("update msg_out_fld_config set msg_fld_name = '",A17,"' where cd = 'B456C85E0A9A9432D7F941BCD0C0A02F';")</f>
        <v>0</v>
      </c>
      <c r="M17">
        <f t="array" ref="M17">CONCATENATE("update msg_out_fld set description = '",D17,"' where tab_name = 'DOKUMENTENVERSION' and fld_name = 'BEMERKUNG';")</f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4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1544</v>
      </c>
    </row>
    <row r="2" spans="1:13">
      <c r="A2" s="1" t="s">
        <v>1545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275</v>
      </c>
      <c r="D6" t="s">
        <v>17</v>
      </c>
      <c r="H6" t="s">
        <v>1546</v>
      </c>
      <c r="K6">
        <f t="array" ref="K6">CONCATENATE("update msg_out_fld_config set msg_fld_name = '",A6,"' where cd = '77E67FF2383BA46FC423EDE62F71603F';")</f>
        <v>0</v>
      </c>
      <c r="M6">
        <f t="array" ref="M6">CONCATENATE("update msg_out_fld set description = '",D6,"' where tab_name = 'ECONOMICSECTOR_TBLECB_APSYS' and fld_name = 'SECTOR_CD';")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'7840423370A8E293826155B179A5C2B7';")</f>
        <v>0</v>
      </c>
      <c r="M7">
        <f t="array" ref="M7">CONCATENATE("update msg_out_fld set description = '",D7,"' where tab_name = 'ECONOMICSECTOR_TBLECB_APSYS'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'EF555D2D3AB6E6A449576F14730F7C86';")</f>
        <v>0</v>
      </c>
      <c r="M8">
        <f t="array" ref="M8">CONCATENATE("update msg_out_fld set description = '",D8,"' where tab_name = 'ECONOMICSECTOR_TBLECB_APSYS'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'E1F63A56D27F29CAD4DE3BD34EA3815E';")</f>
        <v>0</v>
      </c>
      <c r="M9">
        <f t="array" ref="M9">CONCATENATE("update msg_out_fld set description = '",D9,"' where tab_name = 'ECONOMICSECTOR_TBLECB_APSYS'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'C99CCA3A5314ADD5BE2FAB71157D27B0';")</f>
        <v>0</v>
      </c>
      <c r="M10">
        <f t="array" ref="M10">CONCATENATE("update msg_out_fld set description = '",D10,"' where tab_name = 'ECONOMICSECTOR_TBLECB_APSYS'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'51262F72233C2C5C8EDEA928369CC07E';")</f>
        <v>0</v>
      </c>
      <c r="M11">
        <f t="array" ref="M11">CONCATENATE("update msg_out_fld set description = '",D11,"' where tab_name = 'ECONOMICSECTOR_TBLECB_APSYS' and fld_name = 'CRTUSER';")</f>
        <v>0</v>
      </c>
    </row>
    <row r="12" spans="1:13">
      <c r="A12" t="s">
        <v>55</v>
      </c>
      <c r="C12" t="s">
        <v>75</v>
      </c>
      <c r="D12" t="s">
        <v>7</v>
      </c>
      <c r="H12" t="s">
        <v>1547</v>
      </c>
      <c r="K12">
        <f t="array" ref="K12">CONCATENATE("update msg_out_fld_config set msg_fld_name = '",A12,"' where cd = 'CB4DE227ABA1AC2120D55C8720009F1F';")</f>
        <v>0</v>
      </c>
      <c r="M12">
        <f t="array" ref="M12">CONCATENATE("update msg_out_fld set description = '",D12,"' where tab_name = 'ECONOMICSECTOR_TBLECB_APSYS' and fld_name = 'SECTOR';")</f>
        <v>0</v>
      </c>
    </row>
    <row r="13" spans="1:13">
      <c r="A13" t="s">
        <v>309</v>
      </c>
      <c r="C13" t="s">
        <v>26</v>
      </c>
      <c r="D13" t="s">
        <v>310</v>
      </c>
      <c r="E13" t="s">
        <v>28</v>
      </c>
      <c r="F13" t="s">
        <v>29</v>
      </c>
      <c r="G13" t="s">
        <v>30</v>
      </c>
      <c r="H13" t="s">
        <v>308</v>
      </c>
      <c r="K13">
        <f t="array" ref="K13">CONCATENATE("update msg_out_fld_config set msg_fld_name = '",A13,"' where cd = '6900A621419A2CDAAC139CB846EC125A';")</f>
        <v>0</v>
      </c>
      <c r="M13">
        <f t="array" ref="M13">CONCATENATE("update msg_out_fld set description = '",D13,"' where tab_name = 'ECONOMICSECTOR_TBLECB_APSYS' and fld_name = 'DEFAULTVALUE_CD';")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'2531D1984EE5F3718F12A511A22CB018';")</f>
        <v>0</v>
      </c>
      <c r="M14">
        <f t="array" ref="M14">CONCATENATE("update msg_out_fld set description = '",D14,"' where tab_name = 'ECONOMICSECTOR_TBLECB_APSYS'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'77975C8A5781253552E0AE528001D907';")</f>
        <v>0</v>
      </c>
      <c r="M15">
        <f t="array" ref="M15">CONCATENATE("update msg_out_fld set description = '",D15,"' where tab_name = 'ECONOMICSECTOR_TBLECB_APSYS' and fld_name = 'MUTUSER';")</f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4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1548</v>
      </c>
    </row>
    <row r="2" spans="1:13">
      <c r="A2" s="1" t="s">
        <v>1549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758</v>
      </c>
      <c r="D6" t="s">
        <v>17</v>
      </c>
      <c r="H6" t="s">
        <v>1546</v>
      </c>
      <c r="K6">
        <f t="array" ref="K6">CONCATENATE("update msg_out_fld_config set msg_fld_name = '",A6,"' where cd = '532CF70BFEEAAC830AC704F0004C932C';")</f>
        <v>0</v>
      </c>
      <c r="M6">
        <f t="array" ref="M6">CONCATENATE("update msg_out_fld set description = '",D6,"' where tab_name = 'ECONOMICSECTOR_TBLECC_APSYS' and fld_name = 'SECTOR_CD';")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'13BD83BDDD6E452B21FF3F49B6F2CE05';")</f>
        <v>0</v>
      </c>
      <c r="M7">
        <f t="array" ref="M7">CONCATENATE("update msg_out_fld set description = '",D7,"' where tab_name = 'ECONOMICSECTOR_TBLECC_APSYS'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'FFA0941F9E660461E0E7A5D56B19E6C7';")</f>
        <v>0</v>
      </c>
      <c r="M8">
        <f t="array" ref="M8">CONCATENATE("update msg_out_fld set description = '",D8,"' where tab_name = 'ECONOMICSECTOR_TBLECC_APSYS'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'7240D927D4CBB05916B518B853C10FE9';")</f>
        <v>0</v>
      </c>
      <c r="M9">
        <f t="array" ref="M9">CONCATENATE("update msg_out_fld set description = '",D9,"' where tab_name = 'ECONOMICSECTOR_TBLECC_APSYS'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'0CA70DC1B8EE378183468BDDD994892A';")</f>
        <v>0</v>
      </c>
      <c r="M10">
        <f t="array" ref="M10">CONCATENATE("update msg_out_fld set description = '",D10,"' where tab_name = 'ECONOMICSECTOR_TBLECC_APSYS'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'28395A070B269BC613A3C70031F64E42';")</f>
        <v>0</v>
      </c>
      <c r="M11">
        <f t="array" ref="M11">CONCATENATE("update msg_out_fld set description = '",D11,"' where tab_name = 'ECONOMICSECTOR_TBLECC_APSYS' and fld_name = 'CRTUSER';")</f>
        <v>0</v>
      </c>
    </row>
    <row r="12" spans="1:13">
      <c r="A12" t="s">
        <v>55</v>
      </c>
      <c r="C12" t="s">
        <v>75</v>
      </c>
      <c r="D12" t="s">
        <v>7</v>
      </c>
      <c r="H12" t="s">
        <v>1547</v>
      </c>
      <c r="K12">
        <f t="array" ref="K12">CONCATENATE("update msg_out_fld_config set msg_fld_name = '",A12,"' where cd = '8550AA970E13836259DF1E2CF4EEDB05';")</f>
        <v>0</v>
      </c>
      <c r="M12">
        <f t="array" ref="M12">CONCATENATE("update msg_out_fld set description = '",D12,"' where tab_name = 'ECONOMICSECTOR_TBLECC_APSYS' and fld_name = 'SECTOR';")</f>
        <v>0</v>
      </c>
    </row>
    <row r="13" spans="1:13">
      <c r="A13" t="s">
        <v>309</v>
      </c>
      <c r="C13" t="s">
        <v>26</v>
      </c>
      <c r="D13" t="s">
        <v>310</v>
      </c>
      <c r="E13" t="s">
        <v>28</v>
      </c>
      <c r="F13" t="s">
        <v>29</v>
      </c>
      <c r="G13" t="s">
        <v>30</v>
      </c>
      <c r="H13" t="s">
        <v>308</v>
      </c>
      <c r="K13">
        <f t="array" ref="K13">CONCATENATE("update msg_out_fld_config set msg_fld_name = '",A13,"' where cd = '48DB6EA4EB51F9A357F77C99D7484BA7';")</f>
        <v>0</v>
      </c>
      <c r="M13">
        <f t="array" ref="M13">CONCATENATE("update msg_out_fld set description = '",D13,"' where tab_name = 'ECONOMICSECTOR_TBLECC_APSYS' and fld_name = 'DEFAULTVALUE_CD';")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'C2FF6A0015B033A9910B5C988948E666';")</f>
        <v>0</v>
      </c>
      <c r="M14">
        <f t="array" ref="M14">CONCATENATE("update msg_out_fld set description = '",D14,"' where tab_name = 'ECONOMICSECTOR_TBLECC_APSYS'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'D0D35964F2245B2CD57454217A3521D3';")</f>
        <v>0</v>
      </c>
      <c r="M15">
        <f t="array" ref="M15">CONCATENATE("update msg_out_fld set description = '",D15,"' where tab_name = 'ECONOMICSECTOR_TBLECC_APSYS' and fld_name = 'MUTUSER';")</f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4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1550</v>
      </c>
    </row>
    <row r="2" spans="1:13">
      <c r="A2" s="1" t="s">
        <v>1551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275</v>
      </c>
      <c r="D6" t="s">
        <v>17</v>
      </c>
      <c r="H6" t="s">
        <v>1546</v>
      </c>
      <c r="K6">
        <f t="array" ref="K6">CONCATENATE("update msg_out_fld_config set msg_fld_name = '",A6,"' where cd = '6DE2645C91BEAB39E821E4880880FF62';")</f>
        <v>0</v>
      </c>
      <c r="M6">
        <f t="array" ref="M6">CONCATENATE("update msg_out_fld set description = '",D6,"' where tab_name = 'ECONOMICSECTOR_TBLECM_APSYS' and fld_name = 'SECTOR_CD';")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'4651136BE4CD8C727B21E28A08B741CA';")</f>
        <v>0</v>
      </c>
      <c r="M7">
        <f t="array" ref="M7">CONCATENATE("update msg_out_fld set description = '",D7,"' where tab_name = 'ECONOMICSECTOR_TBLECM_APSYS'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'9AB5A3CFD155A36C54C704F20C60F4E3';")</f>
        <v>0</v>
      </c>
      <c r="M8">
        <f t="array" ref="M8">CONCATENATE("update msg_out_fld set description = '",D8,"' where tab_name = 'ECONOMICSECTOR_TBLECM_APSYS'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'57228E037C035104D4C97EA250062C85';")</f>
        <v>0</v>
      </c>
      <c r="M9">
        <f t="array" ref="M9">CONCATENATE("update msg_out_fld set description = '",D9,"' where tab_name = 'ECONOMICSECTOR_TBLECM_APSYS'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'D4048171304C543D416B0639EF71B881';")</f>
        <v>0</v>
      </c>
      <c r="M10">
        <f t="array" ref="M10">CONCATENATE("update msg_out_fld set description = '",D10,"' where tab_name = 'ECONOMICSECTOR_TBLECM_APSYS'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'E36C315C3B8AFF09A072EF8DD064786D';")</f>
        <v>0</v>
      </c>
      <c r="M11">
        <f t="array" ref="M11">CONCATENATE("update msg_out_fld set description = '",D11,"' where tab_name = 'ECONOMICSECTOR_TBLECM_APSYS' and fld_name = 'CRTUSER';")</f>
        <v>0</v>
      </c>
    </row>
    <row r="12" spans="1:13">
      <c r="A12" t="s">
        <v>55</v>
      </c>
      <c r="C12" t="s">
        <v>75</v>
      </c>
      <c r="D12" t="s">
        <v>7</v>
      </c>
      <c r="H12" t="s">
        <v>1547</v>
      </c>
      <c r="K12">
        <f t="array" ref="K12">CONCATENATE("update msg_out_fld_config set msg_fld_name = '",A12,"' where cd = '68F3D1C315DF6991AB562CFD7E808F84';")</f>
        <v>0</v>
      </c>
      <c r="M12">
        <f t="array" ref="M12">CONCATENATE("update msg_out_fld set description = '",D12,"' where tab_name = 'ECONOMICSECTOR_TBLECM_APSYS' and fld_name = 'SECTOR';")</f>
        <v>0</v>
      </c>
    </row>
    <row r="13" spans="1:13">
      <c r="A13" t="s">
        <v>309</v>
      </c>
      <c r="C13" t="s">
        <v>26</v>
      </c>
      <c r="D13" t="s">
        <v>310</v>
      </c>
      <c r="E13" t="s">
        <v>28</v>
      </c>
      <c r="F13" t="s">
        <v>29</v>
      </c>
      <c r="G13" t="s">
        <v>30</v>
      </c>
      <c r="H13" t="s">
        <v>308</v>
      </c>
      <c r="K13">
        <f t="array" ref="K13">CONCATENATE("update msg_out_fld_config set msg_fld_name = '",A13,"' where cd = '0A6BFD1455D5B660AB0DA08B93AC84DE';")</f>
        <v>0</v>
      </c>
      <c r="M13">
        <f t="array" ref="M13">CONCATENATE("update msg_out_fld set description = '",D13,"' where tab_name = 'ECONOMICSECTOR_TBLECM_APSYS' and fld_name = 'DEFAULTVALUE_CD';")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'5A6C94B111BA89FEDBBDA92DC1AB1127';")</f>
        <v>0</v>
      </c>
      <c r="M14">
        <f t="array" ref="M14">CONCATENATE("update msg_out_fld set description = '",D14,"' where tab_name = 'ECONOMICSECTOR_TBLECM_APSYS'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'222EC4B6847B02F64C086D56A2BF5DF7';")</f>
        <v>0</v>
      </c>
      <c r="M15">
        <f t="array" ref="M15">CONCATENATE("update msg_out_fld set description = '",D15,"' where tab_name = 'ECONOMICSECTOR_TBLECM_APSYS' and fld_name = 'MUTUSER';")</f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8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1552</v>
      </c>
    </row>
    <row r="2" spans="1:13">
      <c r="A2" s="1" t="s">
        <v>1553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780</v>
      </c>
      <c r="D6" t="s">
        <v>17</v>
      </c>
      <c r="H6" t="s">
        <v>1546</v>
      </c>
      <c r="K6">
        <f t="array" ref="K6">CONCATENATE("update msg_out_fld_config set msg_fld_name = '",A6,"' where cd = '4673D11FB523944C927EA815B43DAFE8';")</f>
        <v>0</v>
      </c>
      <c r="M6">
        <f t="array" ref="M6">CONCATENATE("update msg_out_fld set description = '",D6,"' where tab_name = 'ECONOMICSECTOR_TBLECO_APSYS' and fld_name = 'SECTOR_CD';")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'7795B9E6D9C3A9AE6B170B9F336D7526';")</f>
        <v>0</v>
      </c>
      <c r="M7">
        <f t="array" ref="M7">CONCATENATE("update msg_out_fld set description = '",D7,"' where tab_name = 'ECONOMICSECTOR_TBLECO_APSYS'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'38451CFEE6DED4512F852488299DD99C';")</f>
        <v>0</v>
      </c>
      <c r="M8">
        <f t="array" ref="M8">CONCATENATE("update msg_out_fld set description = '",D8,"' where tab_name = 'ECONOMICSECTOR_TBLECO_APSYS'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'20C05A2012C538ACA36E2BF1AC950D49';")</f>
        <v>0</v>
      </c>
      <c r="M9">
        <f t="array" ref="M9">CONCATENATE("update msg_out_fld set description = '",D9,"' where tab_name = 'ECONOMICSECTOR_TBLECO_APSYS'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'29D0C5BB71C460694A8E784289F1BCAB';")</f>
        <v>0</v>
      </c>
      <c r="M10">
        <f t="array" ref="M10">CONCATENATE("update msg_out_fld set description = '",D10,"' where tab_name = 'ECONOMICSECTOR_TBLECO_APSYS'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'CF476CD5E5417BA31124FAB4F246206D';")</f>
        <v>0</v>
      </c>
      <c r="M11">
        <f t="array" ref="M11">CONCATENATE("update msg_out_fld set description = '",D11,"' where tab_name = 'ECONOMICSECTOR_TBLECO_APSYS' and fld_name = 'CRTUSER';")</f>
        <v>0</v>
      </c>
    </row>
    <row r="12" spans="1:13">
      <c r="A12" t="s">
        <v>55</v>
      </c>
      <c r="C12" t="s">
        <v>75</v>
      </c>
      <c r="D12" t="s">
        <v>7</v>
      </c>
      <c r="H12" t="s">
        <v>1547</v>
      </c>
      <c r="K12">
        <f t="array" ref="K12">CONCATENATE("update msg_out_fld_config set msg_fld_name = '",A12,"' where cd = 'F396A43A4960F24D8BFE9ADA518EEA76';")</f>
        <v>0</v>
      </c>
      <c r="M12">
        <f t="array" ref="M12">CONCATENATE("update msg_out_fld set description = '",D12,"' where tab_name = 'ECONOMICSECTOR_TBLECO_APSYS' and fld_name = 'SECTOR';")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'ADBBD07D4A4EC43E2CD502C567BF3F6B';")</f>
        <v>0</v>
      </c>
      <c r="M13">
        <f t="array" ref="M13">CONCATENATE("update msg_out_fld set description = '",D13,"' where tab_name = 'ECONOMICSECTOR_TBLECO_APSYS'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'BDE738AF4E1E62C1E4849EDCF40B1284';")</f>
        <v>0</v>
      </c>
      <c r="M14">
        <f t="array" ref="M14">CONCATENATE("update msg_out_fld set description = '",D14,"' where tab_name = 'ECONOMICSECTOR_TBLECO_APSYS' and fld_name = 'MUTUSER';")</f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4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1554</v>
      </c>
    </row>
    <row r="2" spans="1:13">
      <c r="A2" s="1" t="s">
        <v>1555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780</v>
      </c>
      <c r="D6" t="s">
        <v>17</v>
      </c>
      <c r="H6" t="s">
        <v>1546</v>
      </c>
      <c r="K6">
        <f t="array" ref="K6">CONCATENATE("update msg_out_fld_config set msg_fld_name = '",A6,"' where cd = '2FF6FD91B6B85E35F31076AD77CD8135';")</f>
        <v>0</v>
      </c>
      <c r="M6">
        <f t="array" ref="M6">CONCATENATE("update msg_out_fld set description = '",D6,"' where tab_name = 'ECONOMICSECTOR_TBLECS_APSYS' and fld_name = 'SECTOR_CD';")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'5656612B57B9F419C608D426A202BE2A';")</f>
        <v>0</v>
      </c>
      <c r="M7">
        <f t="array" ref="M7">CONCATENATE("update msg_out_fld set description = '",D7,"' where tab_name = 'ECONOMICSECTOR_TBLECS_APSYS'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'CC119B42EFA4F7816EDC17DF0780A92D';")</f>
        <v>0</v>
      </c>
      <c r="M8">
        <f t="array" ref="M8">CONCATENATE("update msg_out_fld set description = '",D8,"' where tab_name = 'ECONOMICSECTOR_TBLECS_APSYS'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'5D91073A6735F3F391D5B8E943CCC145';")</f>
        <v>0</v>
      </c>
      <c r="M9">
        <f t="array" ref="M9">CONCATENATE("update msg_out_fld set description = '",D9,"' where tab_name = 'ECONOMICSECTOR_TBLECS_APSYS'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'4F5A8DF352B4A1E2DA313DCB9818BFA5';")</f>
        <v>0</v>
      </c>
      <c r="M10">
        <f t="array" ref="M10">CONCATENATE("update msg_out_fld set description = '",D10,"' where tab_name = 'ECONOMICSECTOR_TBLECS_APSYS'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'A86C591C916F737F087505AFEF23534F';")</f>
        <v>0</v>
      </c>
      <c r="M11">
        <f t="array" ref="M11">CONCATENATE("update msg_out_fld set description = '",D11,"' where tab_name = 'ECONOMICSECTOR_TBLECS_APSYS' and fld_name = 'CRTUSER';")</f>
        <v>0</v>
      </c>
    </row>
    <row r="12" spans="1:13">
      <c r="A12" t="s">
        <v>55</v>
      </c>
      <c r="C12" t="s">
        <v>75</v>
      </c>
      <c r="D12" t="s">
        <v>7</v>
      </c>
      <c r="H12" t="s">
        <v>1547</v>
      </c>
      <c r="K12">
        <f t="array" ref="K12">CONCATENATE("update msg_out_fld_config set msg_fld_name = '",A12,"' where cd = '2BE908A73CF9F18D47F8C3D05BF0591E';")</f>
        <v>0</v>
      </c>
      <c r="M12">
        <f t="array" ref="M12">CONCATENATE("update msg_out_fld set description = '",D12,"' where tab_name = 'ECONOMICSECTOR_TBLECS_APSYS' and fld_name = 'SECTOR';")</f>
        <v>0</v>
      </c>
    </row>
    <row r="13" spans="1:13">
      <c r="A13" t="s">
        <v>309</v>
      </c>
      <c r="C13" t="s">
        <v>26</v>
      </c>
      <c r="D13" t="s">
        <v>310</v>
      </c>
      <c r="E13" t="s">
        <v>28</v>
      </c>
      <c r="F13" t="s">
        <v>29</v>
      </c>
      <c r="G13" t="s">
        <v>30</v>
      </c>
      <c r="H13" t="s">
        <v>308</v>
      </c>
      <c r="K13">
        <f t="array" ref="K13">CONCATENATE("update msg_out_fld_config set msg_fld_name = '",A13,"' where cd = '4356000B951F153A63957900F2FF1B93';")</f>
        <v>0</v>
      </c>
      <c r="M13">
        <f t="array" ref="M13">CONCATENATE("update msg_out_fld set description = '",D13,"' where tab_name = 'ECONOMICSECTOR_TBLECS_APSYS' and fld_name = 'DEFAULTVALUE_CD';")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'A205A492BB39EA22E73A5ED511AE0DE0';")</f>
        <v>0</v>
      </c>
      <c r="M14">
        <f t="array" ref="M14">CONCATENATE("update msg_out_fld set description = '",D14,"' where tab_name = 'ECONOMICSECTOR_TBLECS_APSYS'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'76D7A0849322D8510B983D9F5AB97356';")</f>
        <v>0</v>
      </c>
      <c r="M15">
        <f t="array" ref="M15">CONCATENATE("update msg_out_fld set description = '",D15,"' where tab_name = 'ECONOMICSECTOR_TBLECS_APSYS' and fld_name = 'MUTUSER';")</f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5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1556</v>
      </c>
    </row>
    <row r="2" spans="1:13">
      <c r="A2" s="1" t="s">
        <v>1557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1558</v>
      </c>
      <c r="K6">
        <f t="array" ref="K6">CONCATENATE("update msg_out_fld_config set msg_fld_name = '",A6,"' where cd = '225DC041030316848C8C2FA888D361B0';")</f>
        <v>0</v>
      </c>
      <c r="M6">
        <f t="array" ref="M6">CONCATENATE("update msg_out_fld set description = '",D6,"' where tab_name = 'EU_TAXSTATUS' and fld_name = 'EU_TAXSTATUS_CD';")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'2D4614DA9E8EB62861E4DB191AA3860A';")</f>
        <v>0</v>
      </c>
      <c r="M7">
        <f t="array" ref="M7">CONCATENATE("update msg_out_fld set description = '",D7,"' where tab_name = 'EU_TAXSTATUS'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'540FF37FC3E247C90436C168E951AFEB';")</f>
        <v>0</v>
      </c>
      <c r="M8">
        <f t="array" ref="M8">CONCATENATE("update msg_out_fld set description = '",D8,"' where tab_name = 'EU_TAXSTATUS'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'1A300897A6EA9D0A54A85F543C052F41';")</f>
        <v>0</v>
      </c>
      <c r="M9">
        <f t="array" ref="M9">CONCATENATE("update msg_out_fld set description = '",D9,"' where tab_name = 'EU_TAXSTATUS'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'DB8CD3A76BDAF38A5009612FFF3E6BA3';")</f>
        <v>0</v>
      </c>
      <c r="M10">
        <f t="array" ref="M10">CONCATENATE("update msg_out_fld set description = '",D10,"' where tab_name = 'EU_TAXSTATUS'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'96C6A13FC0E1703DB3D58D0FC9F106C6';")</f>
        <v>0</v>
      </c>
      <c r="M11">
        <f t="array" ref="M11">CONCATENATE("update msg_out_fld set description = '",D11,"' where tab_name = 'EU_TAXSTATUS' and fld_name = 'CRTUSER';")</f>
        <v>0</v>
      </c>
    </row>
    <row r="12" spans="1:13">
      <c r="A12" t="s">
        <v>55</v>
      </c>
      <c r="C12" t="s">
        <v>42</v>
      </c>
      <c r="D12" t="s">
        <v>1560</v>
      </c>
      <c r="H12" t="s">
        <v>1559</v>
      </c>
      <c r="K12">
        <f t="array" ref="K12">CONCATENATE("update msg_out_fld_config set msg_fld_name = '",A12,"' where cd = '55687474D28B5CF1ED613B02DE1DA5D0';")</f>
        <v>0</v>
      </c>
      <c r="M12">
        <f t="array" ref="M12">CONCATENATE("update msg_out_fld set description = '",D12,"' where tab_name = 'EU_TAXSTATUS' and fld_name = 'EU_TAXSTATUS';")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'87B752A335C7AF6543C156094CD71790';")</f>
        <v>0</v>
      </c>
      <c r="M13">
        <f t="array" ref="M13">CONCATENATE("update msg_out_fld set description = '",D13,"' where tab_name = 'EU_TAXSTATUS'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'DB76E8F3B85D4F71EF2E324F15D432A6';")</f>
        <v>0</v>
      </c>
      <c r="M14">
        <f t="array" ref="M14">CONCATENATE("update msg_out_fld set description = '",D14,"' where tab_name = 'EU_TAXSTATUS' and fld_name = 'MUTUSER';")</f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24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7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1561</v>
      </c>
    </row>
    <row r="2" spans="1:13">
      <c r="A2" s="1" t="s">
        <v>1562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1563</v>
      </c>
      <c r="K6">
        <f t="array" ref="K6">CONCATENATE("update msg_out_fld_config set msg_fld_name = '",A6,"' where cd = 'EC4795711A6E75AD11905CB8C7E63DA7';")</f>
        <v>0</v>
      </c>
      <c r="M6">
        <f t="array" ref="M6">CONCATENATE("update msg_out_fld set description = '",D6,"' where tab_name = 'VERPFLICHTUNGSART' and fld_name = 'VERPFLICHTUNGSART_CD';")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'A41C4A2399B703C6A3070FC6F3736DA7';")</f>
        <v>0</v>
      </c>
      <c r="M7">
        <f t="array" ref="M7">CONCATENATE("update msg_out_fld set description = '",D7,"' where tab_name = 'VERPFLICHTUNGSART'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'F2EC927842BABF39A77EB92329CE1324';")</f>
        <v>0</v>
      </c>
      <c r="M8">
        <f t="array" ref="M8">CONCATENATE("update msg_out_fld set description = '",D8,"' where tab_name = 'VERPFLICHTUNGSART'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'34FD490F33E3971378A5F9DEF91EC737';")</f>
        <v>0</v>
      </c>
      <c r="M9">
        <f t="array" ref="M9">CONCATENATE("update msg_out_fld set description = '",D9,"' where tab_name = 'VERPFLICHTUNGSART'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'D8024EDDB5272AB5A8D1236AFCDBA3D6';")</f>
        <v>0</v>
      </c>
      <c r="M10">
        <f t="array" ref="M10">CONCATENATE("update msg_out_fld set description = '",D10,"' where tab_name = 'VERPFLICHTUNGSART'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'55572BAEE66A5C429D0880BF582E9074';")</f>
        <v>0</v>
      </c>
      <c r="M11">
        <f t="array" ref="M11">CONCATENATE("update msg_out_fld set description = '",D11,"' where tab_name = 'VERPFLICHTUNGSART' and fld_name = 'CRTUSER';")</f>
        <v>0</v>
      </c>
    </row>
    <row r="12" spans="1:13">
      <c r="A12" t="s">
        <v>55</v>
      </c>
      <c r="C12" t="s">
        <v>37</v>
      </c>
      <c r="D12" t="s">
        <v>1565</v>
      </c>
      <c r="H12" t="s">
        <v>1564</v>
      </c>
      <c r="K12">
        <f t="array" ref="K12">CONCATENATE("update msg_out_fld_config set msg_fld_name = '",A12,"' where cd = '73D954D8D0E86ECE2BBF1405534E551C';")</f>
        <v>0</v>
      </c>
      <c r="M12">
        <f t="array" ref="M12">CONCATENATE("update msg_out_fld set description = '",D12,"' where tab_name = 'VERPFLICHTUNGSART' and fld_name = 'VERPFLICHTUNGSART';")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'B174A9C1E244A49482224B155D0BDD6A';")</f>
        <v>0</v>
      </c>
      <c r="M13">
        <f t="array" ref="M13">CONCATENATE("update msg_out_fld set description = '",D13,"' where tab_name = 'VERPFLICHTUNGSART'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'3FF9FA8B71C4CECD3C9277D50A79A1B8';")</f>
        <v>0</v>
      </c>
      <c r="M14">
        <f t="array" ref="M14">CONCATENATE("update msg_out_fld set description = '",D14,"' where tab_name = 'VERPFLICHTUNGSART' and fld_name = 'MUTUSER';")</f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0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1566</v>
      </c>
    </row>
    <row r="2" spans="1:13">
      <c r="A2" s="1" t="s">
        <v>1567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275</v>
      </c>
      <c r="D6" t="s">
        <v>17</v>
      </c>
      <c r="H6" t="s">
        <v>1568</v>
      </c>
      <c r="K6">
        <f t="array" ref="K6">CONCATENATE("update msg_out_fld_config set msg_fld_name = '",A6,"' where cd = '597FF9F9404F07528A3BFC2C5EEC3EDC';")</f>
        <v>0</v>
      </c>
      <c r="M6">
        <f t="array" ref="M6">CONCATENATE("update msg_out_fld set description = '",D6,"' where tab_name = 'FATCA_BASKET' and fld_name = 'BASKET_CD';")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'E4785F76FF8773BAFDBDEA3F0AC6CDE7';")</f>
        <v>0</v>
      </c>
      <c r="M7">
        <f t="array" ref="M7">CONCATENATE("update msg_out_fld set description = '",D7,"' where tab_name = 'FATCA_BASKET'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'83E8687EFAF41533666FD66348F1DBBF';")</f>
        <v>0</v>
      </c>
      <c r="M8">
        <f t="array" ref="M8">CONCATENATE("update msg_out_fld set description = '",D8,"' where tab_name = 'FATCA_BASKET'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'075D93362B97D88AA6C622B2FDDE508B';")</f>
        <v>0</v>
      </c>
      <c r="M9">
        <f t="array" ref="M9">CONCATENATE("update msg_out_fld set description = '",D9,"' where tab_name = 'FATCA_BASKET'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'52BA5A087DBFA12AC7AD35A4B8D478D5';")</f>
        <v>0</v>
      </c>
      <c r="M10">
        <f t="array" ref="M10">CONCATENATE("update msg_out_fld set description = '",D10,"' where tab_name = 'FATCA_BASKET'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'38F910F0839FAEE599397FA9790BC0D2';")</f>
        <v>0</v>
      </c>
      <c r="M11">
        <f t="array" ref="M11">CONCATENATE("update msg_out_fld set description = '",D11,"' where tab_name = 'FATCA_BASKET' and fld_name = 'CRTUSER';")</f>
        <v>0</v>
      </c>
    </row>
    <row r="12" spans="1:13">
      <c r="A12" t="s">
        <v>55</v>
      </c>
      <c r="C12" t="s">
        <v>230</v>
      </c>
      <c r="D12" t="s">
        <v>1570</v>
      </c>
      <c r="H12" t="s">
        <v>1569</v>
      </c>
      <c r="K12">
        <f t="array" ref="K12">CONCATENATE("update msg_out_fld_config set msg_fld_name = '",A12,"' where cd = '12AB54B9951AA10F741EB9174503314C';")</f>
        <v>0</v>
      </c>
      <c r="M12">
        <f t="array" ref="M12">CONCATENATE("update msg_out_fld set description = '",D12,"' where tab_name = 'FATCA_BASKET' and fld_name = 'BASKET';")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'8754AE7FDEA34ADD240F09C85198EF35';")</f>
        <v>0</v>
      </c>
      <c r="M13">
        <f t="array" ref="M13">CONCATENATE("update msg_out_fld set description = '",D13,"' where tab_name = 'FATCA_BASKET'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'73F0FD8941CC7B78C00A462A86952F0B';")</f>
        <v>0</v>
      </c>
      <c r="M14">
        <f t="array" ref="M14">CONCATENATE("update msg_out_fld set description = '",D14,"' where tab_name = 'FATCA_BASKET' and fld_name = 'MUTUSER';")</f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1.140625" customWidth="1"/>
    <col min="2" max="2" width="4.28515625" customWidth="1"/>
    <col min="3" max="3" width="13.85546875" customWidth="1"/>
    <col min="4" max="4" width="41.5703125" customWidth="1"/>
    <col min="5" max="5" width="34.28515625" customWidth="1"/>
    <col min="6" max="6" width="10.28515625" customWidth="1"/>
    <col min="7" max="7" width="15.140625" customWidth="1"/>
    <col min="8" max="8" width="34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86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1571</v>
      </c>
    </row>
    <row r="2" spans="1:13">
      <c r="A2" s="1" t="s">
        <v>1572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275</v>
      </c>
      <c r="D6" t="s">
        <v>17</v>
      </c>
      <c r="H6" t="s">
        <v>1573</v>
      </c>
      <c r="K6">
        <f t="array" ref="K6">CONCATENATE("update msg_out_fld_config set msg_fld_name = '",A6,"' where cd = 'FD5CA7B503289537C95DCCCB815A19EC';")</f>
        <v>0</v>
      </c>
      <c r="M6">
        <f t="array" ref="M6">CONCATENATE("update msg_out_fld set description = '",D6,"' where tab_name = 'FATCA_CLASS_TBLFAT_APSYS' and fld_name = 'IDFATCACLAS';")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'FBBFF9FDF33516BFE53294AD82C99AE6';")</f>
        <v>0</v>
      </c>
      <c r="M7">
        <f t="array" ref="M7">CONCATENATE("update msg_out_fld set description = '",D7,"' where tab_name = 'FATCA_CLASS_TBLFAT_APSYS'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'FB0BC5A10517D228A01719D74F8C640E';")</f>
        <v>0</v>
      </c>
      <c r="M8">
        <f t="array" ref="M8">CONCATENATE("update msg_out_fld set description = '",D8,"' where tab_name = 'FATCA_CLASS_TBLFAT_APSYS'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'6534312151D7182F492A73DBBA3D1BF4';")</f>
        <v>0</v>
      </c>
      <c r="M9">
        <f t="array" ref="M9">CONCATENATE("update msg_out_fld set description = '",D9,"' where tab_name = 'FATCA_CLASS_TBLFAT_APSYS'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'325CBE098721858757B6CEE6CCAAE7E8';")</f>
        <v>0</v>
      </c>
      <c r="M10">
        <f t="array" ref="M10">CONCATENATE("update msg_out_fld set description = '",D10,"' where tab_name = 'FATCA_CLASS_TBLFAT_APSYS'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'E7D7C4E85BDEEF689325B96D04DE19B4';")</f>
        <v>0</v>
      </c>
      <c r="M11">
        <f t="array" ref="M11">CONCATENATE("update msg_out_fld set description = '",D11,"' where tab_name = 'FATCA_CLASS_TBLFAT_APSYS' and fld_name = 'CRTUSER';")</f>
        <v>0</v>
      </c>
    </row>
    <row r="12" spans="1:13">
      <c r="A12" t="s">
        <v>55</v>
      </c>
      <c r="C12" t="s">
        <v>230</v>
      </c>
      <c r="D12" t="s">
        <v>7</v>
      </c>
      <c r="H12" t="s">
        <v>245</v>
      </c>
      <c r="K12">
        <f t="array" ref="K12">CONCATENATE("update msg_out_fld_config set msg_fld_name = '",A12,"' where cd = 'F118D6E1A95E5CB86B248B4E7F4DE8AA';")</f>
        <v>0</v>
      </c>
      <c r="M12">
        <f t="array" ref="M12">CONCATENATE("update msg_out_fld set description = '",D12,"' where tab_name = 'FATCA_CLASS_TBLFAT_APSYS' and fld_name = 'CLASSIFICATION';")</f>
        <v>0</v>
      </c>
    </row>
    <row r="13" spans="1:13">
      <c r="A13" t="s">
        <v>810</v>
      </c>
      <c r="C13" t="s">
        <v>664</v>
      </c>
      <c r="D13" t="s">
        <v>1575</v>
      </c>
      <c r="E13" t="s">
        <v>812</v>
      </c>
      <c r="F13" t="s">
        <v>23</v>
      </c>
      <c r="H13" t="s">
        <v>1574</v>
      </c>
      <c r="K13">
        <f t="array" ref="K13">CONCATENATE("update msg_out_fld_config set msg_fld_name = '",A13,"' where cd = '2C8C075C8D9C2FC1BDFDF61557F9BCD6';")</f>
        <v>0</v>
      </c>
      <c r="M13">
        <f t="array" ref="M13">CONCATENATE("update msg_out_fld set description = '",D13,"' where tab_name = 'FATCA_CLASS_TBLFAT_APSYS' and fld_name = 'FATCA_IRS_RECIPIENT_CLASS_CD';")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'9ED0DFF7EA9F2CFE1D5A7CD1EDBB4D71';")</f>
        <v>0</v>
      </c>
      <c r="M14">
        <f t="array" ref="M14">CONCATENATE("update msg_out_fld set description = '",D14,"' where tab_name = 'FATCA_CLASS_TBLFAT_APSYS'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'54CB0FBC83FACF6D70E714CC350627FA';")</f>
        <v>0</v>
      </c>
      <c r="M15">
        <f t="array" ref="M15">CONCATENATE("update msg_out_fld set description = '",D15,"' where tab_name = 'FATCA_CLASS_TBLFAT_APSYS' and fld_name = 'MUTUSER';")</f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6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1576</v>
      </c>
    </row>
    <row r="2" spans="1:13">
      <c r="A2" s="1" t="s">
        <v>1577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s="2" t="s">
        <v>1319</v>
      </c>
      <c r="H6" t="s">
        <v>1319</v>
      </c>
      <c r="K6">
        <f t="array" ref="K6">CONCATENATE("update msg_out_fld_config set msg_fld_name = '",A6,"' where cd = '6E8A6B5FECC685ED787A3466884B9E50';")</f>
        <v>0</v>
      </c>
      <c r="M6">
        <f t="array" ref="M6">CONCATENATE("update msg_out_fld set description = '",D6,"' where tab_name = 'FATCA_NON_US_PARTNER_TYPE' and fld_name = 'TYPE_CD';")</f>
        <v>0</v>
      </c>
    </row>
    <row r="7" spans="1:13">
      <c r="A7" t="s">
        <v>25</v>
      </c>
      <c r="C7" t="s">
        <v>26</v>
      </c>
      <c r="D7" s="2" t="s">
        <v>24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'13DCB9B19683AFF0B5D8C36B61B5F912';")</f>
        <v>0</v>
      </c>
      <c r="M7">
        <f t="array" ref="M7">CONCATENATE("update msg_out_fld set description = '",D7,"' where tab_name = 'FATCA_NON_US_PARTNER_TYPE' and fld_name = 'LOESCH_CD';")</f>
        <v>0</v>
      </c>
    </row>
    <row r="8" spans="1:13">
      <c r="A8" t="s">
        <v>32</v>
      </c>
      <c r="C8" t="s">
        <v>104</v>
      </c>
      <c r="D8" t="s">
        <v>31</v>
      </c>
      <c r="H8" t="s">
        <v>31</v>
      </c>
      <c r="K8">
        <f t="array" ref="K8">CONCATENATE("update msg_out_fld_config set msg_fld_name = '",A8,"' where cd = 'C05F0EAD10882F8CA18F677D0C0F1AAD';")</f>
        <v>0</v>
      </c>
      <c r="M8">
        <f t="array" ref="M8">CONCATENATE("update msg_out_fld set description = '",D8,"' where tab_name = 'FATCA_NON_US_PARTNER_TYPE' and fld_name = 'LOESCHDATUM';")</f>
        <v>0</v>
      </c>
    </row>
    <row r="9" spans="1:13">
      <c r="A9" t="s">
        <v>36</v>
      </c>
      <c r="C9" t="s">
        <v>37</v>
      </c>
      <c r="D9" t="s">
        <v>35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'91A156F769FC19DA2E020A05E91F214D';")</f>
        <v>0</v>
      </c>
      <c r="M9">
        <f t="array" ref="M9">CONCATENATE("update msg_out_fld set description = '",D9,"' where tab_name = 'FATCA_NON_US_PARTNER_TYPE' and fld_name = 'LOESCHUSER';")</f>
        <v>0</v>
      </c>
    </row>
    <row r="10" spans="1:13">
      <c r="A10" t="s">
        <v>45</v>
      </c>
      <c r="C10" t="s">
        <v>104</v>
      </c>
      <c r="D10" t="s">
        <v>44</v>
      </c>
      <c r="H10" t="s">
        <v>44</v>
      </c>
      <c r="K10">
        <f t="array" ref="K10">CONCATENATE("update msg_out_fld_config set msg_fld_name = '",A10,"' where cd = '140B9757F2A971C2D1CD9179DA125D0B';")</f>
        <v>0</v>
      </c>
      <c r="M10">
        <f t="array" ref="M10">CONCATENATE("update msg_out_fld set description = '",D10,"' where tab_name = 'FATCA_NON_US_PARTNER_TYPE' and fld_name = 'CRTDATUM';")</f>
        <v>0</v>
      </c>
    </row>
    <row r="11" spans="1:13">
      <c r="A11" t="s">
        <v>48</v>
      </c>
      <c r="C11" t="s">
        <v>37</v>
      </c>
      <c r="D11" t="s">
        <v>47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'73989850303853B24BA09D3977C47E53';")</f>
        <v>0</v>
      </c>
      <c r="M11">
        <f t="array" ref="M11">CONCATENATE("update msg_out_fld set description = '",D11,"' where tab_name = 'FATCA_NON_US_PARTNER_TYPE' and fld_name = 'CRTUSER';")</f>
        <v>0</v>
      </c>
    </row>
    <row r="12" spans="1:13">
      <c r="A12" t="s">
        <v>55</v>
      </c>
      <c r="C12" t="s">
        <v>1579</v>
      </c>
      <c r="D12" s="2" t="s">
        <v>1578</v>
      </c>
      <c r="H12" t="s">
        <v>1578</v>
      </c>
      <c r="K12">
        <f t="array" ref="K12">CONCATENATE("update msg_out_fld_config set msg_fld_name = '",A12,"' where cd = 'FF8E4DB925CFA91F79566940D2C1B726';")</f>
        <v>0</v>
      </c>
      <c r="M12">
        <f t="array" ref="M12">CONCATENATE("update msg_out_fld set description = '",D12,"' where tab_name = 'FATCA_NON_US_PARTNER_TYPE' and fld_name = 'TYPE_DESC';")</f>
        <v>0</v>
      </c>
    </row>
    <row r="13" spans="1:13">
      <c r="A13" t="s">
        <v>58</v>
      </c>
      <c r="C13" t="s">
        <v>104</v>
      </c>
      <c r="D13" t="s">
        <v>57</v>
      </c>
      <c r="H13" t="s">
        <v>57</v>
      </c>
      <c r="K13">
        <f t="array" ref="K13">CONCATENATE("update msg_out_fld_config set msg_fld_name = '",A13,"' where cd = '441062FAF4518ED53F9446499B2A7E6A';")</f>
        <v>0</v>
      </c>
      <c r="M13">
        <f t="array" ref="M13">CONCATENATE("update msg_out_fld set description = '",D13,"' where tab_name = 'FATCA_NON_US_PARTNER_TYPE' and fld_name = 'MUTDATUM';")</f>
        <v>0</v>
      </c>
    </row>
    <row r="14" spans="1:13">
      <c r="A14" t="s">
        <v>61</v>
      </c>
      <c r="C14" t="s">
        <v>37</v>
      </c>
      <c r="D14" t="s">
        <v>60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'77779C7E01F6986986DBC58A13B92E81';")</f>
        <v>0</v>
      </c>
      <c r="M14">
        <f t="array" ref="M14">CONCATENATE("update msg_out_fld set description = '",D14,"' where tab_name = 'FATCA_NON_US_PARTNER_TYPE' and fld_name = 'MUTUSER';")</f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7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1580</v>
      </c>
    </row>
    <row r="2" spans="1:13">
      <c r="A2" s="1" t="s">
        <v>1581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s="2" t="s">
        <v>1319</v>
      </c>
      <c r="H6" t="s">
        <v>1319</v>
      </c>
      <c r="K6">
        <f t="array" ref="K6">CONCATENATE("update msg_out_fld_config set msg_fld_name = '",A6,"' where cd = '1CD584AAA22169C5BF7AA307597A7477';")</f>
        <v>0</v>
      </c>
      <c r="M6">
        <f t="array" ref="M6">CONCATENATE("update msg_out_fld set description = '",D6,"' where tab_name = 'FATCA_PARTNER_TYPE' and fld_name = 'TYPE_CD';")</f>
        <v>0</v>
      </c>
    </row>
    <row r="7" spans="1:13">
      <c r="A7" t="s">
        <v>25</v>
      </c>
      <c r="C7" t="s">
        <v>26</v>
      </c>
      <c r="D7" s="2" t="s">
        <v>24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'6A5FE10CFF8185BBDB05AB2EE1D9DCC1';")</f>
        <v>0</v>
      </c>
      <c r="M7">
        <f t="array" ref="M7">CONCATENATE("update msg_out_fld set description = '",D7,"' where tab_name = 'FATCA_PARTNER_TYPE' and fld_name = 'LOESCH_CD';")</f>
        <v>0</v>
      </c>
    </row>
    <row r="8" spans="1:13">
      <c r="A8" t="s">
        <v>32</v>
      </c>
      <c r="C8" t="s">
        <v>104</v>
      </c>
      <c r="D8" t="s">
        <v>31</v>
      </c>
      <c r="H8" t="s">
        <v>31</v>
      </c>
      <c r="K8">
        <f t="array" ref="K8">CONCATENATE("update msg_out_fld_config set msg_fld_name = '",A8,"' where cd = '8C7EE0B25CDD3BF1F45CEED4805DEAF1';")</f>
        <v>0</v>
      </c>
      <c r="M8">
        <f t="array" ref="M8">CONCATENATE("update msg_out_fld set description = '",D8,"' where tab_name = 'FATCA_PARTNER_TYPE' and fld_name = 'LOESCHDATUM';")</f>
        <v>0</v>
      </c>
    </row>
    <row r="9" spans="1:13">
      <c r="A9" t="s">
        <v>36</v>
      </c>
      <c r="C9" t="s">
        <v>37</v>
      </c>
      <c r="D9" t="s">
        <v>35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'8DD708D3FC1920711B8FAC6B7BBF2664';")</f>
        <v>0</v>
      </c>
      <c r="M9">
        <f t="array" ref="M9">CONCATENATE("update msg_out_fld set description = '",D9,"' where tab_name = 'FATCA_PARTNER_TYPE' and fld_name = 'LOESCHUSER';")</f>
        <v>0</v>
      </c>
    </row>
    <row r="10" spans="1:13">
      <c r="A10" t="s">
        <v>45</v>
      </c>
      <c r="C10" t="s">
        <v>104</v>
      </c>
      <c r="D10" t="s">
        <v>44</v>
      </c>
      <c r="H10" t="s">
        <v>44</v>
      </c>
      <c r="K10">
        <f t="array" ref="K10">CONCATENATE("update msg_out_fld_config set msg_fld_name = '",A10,"' where cd = '8BC2BD86162B4EF614E7E366B3C96160';")</f>
        <v>0</v>
      </c>
      <c r="M10">
        <f t="array" ref="M10">CONCATENATE("update msg_out_fld set description = '",D10,"' where tab_name = 'FATCA_PARTNER_TYPE' and fld_name = 'CRTDATUM';")</f>
        <v>0</v>
      </c>
    </row>
    <row r="11" spans="1:13">
      <c r="A11" t="s">
        <v>48</v>
      </c>
      <c r="C11" t="s">
        <v>37</v>
      </c>
      <c r="D11" t="s">
        <v>47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'C7AAEE3F926A0213FF6C6A6A2A90D651';")</f>
        <v>0</v>
      </c>
      <c r="M11">
        <f t="array" ref="M11">CONCATENATE("update msg_out_fld set description = '",D11,"' where tab_name = 'FATCA_PARTNER_TYPE' and fld_name = 'CRTUSER';")</f>
        <v>0</v>
      </c>
    </row>
    <row r="12" spans="1:13">
      <c r="A12" t="s">
        <v>55</v>
      </c>
      <c r="C12" t="s">
        <v>1579</v>
      </c>
      <c r="D12" s="2" t="s">
        <v>1578</v>
      </c>
      <c r="H12" t="s">
        <v>1578</v>
      </c>
      <c r="K12">
        <f t="array" ref="K12">CONCATENATE("update msg_out_fld_config set msg_fld_name = '",A12,"' where cd = 'BDDA765F355A181DB3FF1DE070A2E7EB';")</f>
        <v>0</v>
      </c>
      <c r="M12">
        <f t="array" ref="M12">CONCATENATE("update msg_out_fld set description = '",D12,"' where tab_name = 'FATCA_PARTNER_TYPE' and fld_name = 'TYPE_DESC';")</f>
        <v>0</v>
      </c>
    </row>
    <row r="13" spans="1:13">
      <c r="A13" t="s">
        <v>58</v>
      </c>
      <c r="C13" t="s">
        <v>104</v>
      </c>
      <c r="D13" t="s">
        <v>57</v>
      </c>
      <c r="H13" t="s">
        <v>57</v>
      </c>
      <c r="K13">
        <f t="array" ref="K13">CONCATENATE("update msg_out_fld_config set msg_fld_name = '",A13,"' where cd = '588FDDAAD7C62D6698E5FA345871FB01';")</f>
        <v>0</v>
      </c>
      <c r="M13">
        <f t="array" ref="M13">CONCATENATE("update msg_out_fld set description = '",D13,"' where tab_name = 'FATCA_PARTNER_TYPE' and fld_name = 'MUTDATUM';")</f>
        <v>0</v>
      </c>
    </row>
    <row r="14" spans="1:13">
      <c r="A14" t="s">
        <v>61</v>
      </c>
      <c r="C14" t="s">
        <v>37</v>
      </c>
      <c r="D14" t="s">
        <v>60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'1CB51D21D3269FD416B2DB619134A832';")</f>
        <v>0</v>
      </c>
      <c r="M14">
        <f t="array" ref="M14">CONCATENATE("update msg_out_fld set description = '",D14,"' where tab_name = 'FATCA_PARTNER_TYPE' and fld_name = 'MUTUSER';")</f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24.7109375" customWidth="1"/>
    <col min="2" max="2" width="4.28515625" customWidth="1"/>
    <col min="3" max="3" width="12.7109375" customWidth="1"/>
    <col min="4" max="4" width="24.71093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4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1582</v>
      </c>
    </row>
    <row r="2" spans="1:13">
      <c r="A2" s="1" t="s">
        <v>1583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1584</v>
      </c>
      <c r="K6">
        <f t="array" ref="K6">CONCATENATE("update msg_out_fld_config set msg_fld_name = '",A6,"' where cd = '23A9E4F3046532DD04DBC8FE46BC81EF';")</f>
        <v>0</v>
      </c>
      <c r="M6">
        <f t="array" ref="M6">CONCATENATE("update msg_out_fld set description = '",D6,"' where tab_name = 'FATCA_STATUS' and fld_name = 'STATUS_CD';")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'510849B9BEB698746868B7E1F41D256C';")</f>
        <v>0</v>
      </c>
      <c r="M7">
        <f t="array" ref="M7">CONCATENATE("update msg_out_fld set description = '",D7,"' where tab_name = 'FATCA_STATUS'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'13F5BA8DC31140F42C4AAEA49A4771B7';")</f>
        <v>0</v>
      </c>
      <c r="M8">
        <f t="array" ref="M8">CONCATENATE("update msg_out_fld set description = '",D8,"' where tab_name = 'FATCA_STATUS'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'23999099437BECF377E269DD12C03115';")</f>
        <v>0</v>
      </c>
      <c r="M9">
        <f t="array" ref="M9">CONCATENATE("update msg_out_fld set description = '",D9,"' where tab_name = 'FATCA_STATUS'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'D4EAD146F56DA24575A9927038E34DEA';")</f>
        <v>0</v>
      </c>
      <c r="M10">
        <f t="array" ref="M10">CONCATENATE("update msg_out_fld set description = '",D10,"' where tab_name = 'FATCA_STATUS'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'1CB58855942E48961C4607BA1057F279';")</f>
        <v>0</v>
      </c>
      <c r="M11">
        <f t="array" ref="M11">CONCATENATE("update msg_out_fld set description = '",D11,"' where tab_name = 'FATCA_STATUS' and fld_name = 'CRTUSER';")</f>
        <v>0</v>
      </c>
    </row>
    <row r="12" spans="1:13">
      <c r="A12" t="s">
        <v>55</v>
      </c>
      <c r="C12" t="s">
        <v>42</v>
      </c>
      <c r="D12" t="s">
        <v>7</v>
      </c>
      <c r="H12" t="s">
        <v>1585</v>
      </c>
      <c r="K12">
        <f t="array" ref="K12">CONCATENATE("update msg_out_fld_config set msg_fld_name = '",A12,"' where cd = '062E39FBDE50655116EA0B224D4F3648';")</f>
        <v>0</v>
      </c>
      <c r="M12">
        <f t="array" ref="M12">CONCATENATE("update msg_out_fld set description = '",D12,"' where tab_name = 'FATCA_STATUS' and fld_name = 'STATUS';")</f>
        <v>0</v>
      </c>
    </row>
    <row r="13" spans="1:13">
      <c r="A13" t="s">
        <v>1587</v>
      </c>
      <c r="C13" t="s">
        <v>26</v>
      </c>
      <c r="D13" t="s">
        <v>1588</v>
      </c>
      <c r="E13" t="s">
        <v>28</v>
      </c>
      <c r="F13" t="s">
        <v>29</v>
      </c>
      <c r="G13" t="s">
        <v>30</v>
      </c>
      <c r="H13" t="s">
        <v>1586</v>
      </c>
      <c r="K13">
        <f t="array" ref="K13">CONCATENATE("update msg_out_fld_config set msg_fld_name = '",A13,"' where cd = '7C00705E135BAE0AD9A25223F428C67B';")</f>
        <v>0</v>
      </c>
      <c r="M13">
        <f t="array" ref="M13">CONCATENATE("update msg_out_fld set description = '",D13,"' where tab_name = 'FATCA_STATUS' and fld_name = 'ENTITIES_CD';")</f>
        <v>0</v>
      </c>
    </row>
    <row r="14" spans="1:13">
      <c r="A14" t="s">
        <v>1590</v>
      </c>
      <c r="C14" t="s">
        <v>26</v>
      </c>
      <c r="D14" t="s">
        <v>1591</v>
      </c>
      <c r="E14" t="s">
        <v>28</v>
      </c>
      <c r="F14" t="s">
        <v>29</v>
      </c>
      <c r="G14" t="s">
        <v>30</v>
      </c>
      <c r="H14" t="s">
        <v>1589</v>
      </c>
      <c r="K14">
        <f t="array" ref="K14">CONCATENATE("update msg_out_fld_config set msg_fld_name = '",A14,"' where cd = '14DCA88C9C6A8B033353FAA268E868B7';")</f>
        <v>0</v>
      </c>
      <c r="M14">
        <f t="array" ref="M14">CONCATENATE("update msg_out_fld set description = '",D14,"' where tab_name = 'FATCA_STATUS' and fld_name = 'INDIVIDUAL_CD';")</f>
        <v>0</v>
      </c>
    </row>
    <row r="15" spans="1:13">
      <c r="A15" t="s">
        <v>58</v>
      </c>
      <c r="C15" t="s">
        <v>33</v>
      </c>
      <c r="D15" t="s">
        <v>59</v>
      </c>
      <c r="H15" t="s">
        <v>57</v>
      </c>
      <c r="K15">
        <f t="array" ref="K15">CONCATENATE("update msg_out_fld_config set msg_fld_name = '",A15,"' where cd = '2DACF2044C47DEFA2F434F33B03D0705';")</f>
        <v>0</v>
      </c>
      <c r="M15">
        <f t="array" ref="M15">CONCATENATE("update msg_out_fld set description = '",D15,"' where tab_name = 'FATCA_STATUS' and fld_name = 'MUTDATUM';")</f>
        <v>0</v>
      </c>
    </row>
    <row r="16" spans="1:13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  <c r="K16">
        <f t="array" ref="K16">CONCATENATE("update msg_out_fld_config set msg_fld_name = '",A16,"' where cd = '46E6D690266EDEDD0242477D74BF25E3';")</f>
        <v>0</v>
      </c>
      <c r="M16">
        <f t="array" ref="M16">CONCATENATE("update msg_out_fld set description = '",D16,"' where tab_name = 'FATCA_STATUS' and fld_name = 'MUTUSER';")</f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9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1592</v>
      </c>
    </row>
    <row r="2" spans="1:13">
      <c r="A2" s="1" t="s">
        <v>1593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1594</v>
      </c>
      <c r="K6">
        <f t="array" ref="K6">CONCATENATE("update msg_out_fld_config set msg_fld_name = '",A6,"' where cd = 'EA4B0D6AE2568A0B062B3092AB1B67B6';")</f>
        <v>0</v>
      </c>
      <c r="M6">
        <f t="array" ref="M6">CONCATENATE("update msg_out_fld set description = '",D6,"' where tab_name = 'FATCA_S_GRUND_TBLSTT_F_APSYS' and fld_name = 'GRUND_CD';")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'66037BA6D34F67203A277F07EB57CBE1';")</f>
        <v>0</v>
      </c>
      <c r="M7">
        <f t="array" ref="M7">CONCATENATE("update msg_out_fld set description = '",D7,"' where tab_name = 'FATCA_S_GRUND_TBLSTT_F_APSYS'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'62B636B5A823D747DC074FD1A3F563CC';")</f>
        <v>0</v>
      </c>
      <c r="M8">
        <f t="array" ref="M8">CONCATENATE("update msg_out_fld set description = '",D8,"' where tab_name = 'FATCA_S_GRUND_TBLSTT_F_APSYS'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'C800FF6A321706FE3F2C15B6D849E0C5';")</f>
        <v>0</v>
      </c>
      <c r="M9">
        <f t="array" ref="M9">CONCATENATE("update msg_out_fld set description = '",D9,"' where tab_name = 'FATCA_S_GRUND_TBLSTT_F_APSYS'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'4F512B48DEB39B093A13CB7E185655C8';")</f>
        <v>0</v>
      </c>
      <c r="M10">
        <f t="array" ref="M10">CONCATENATE("update msg_out_fld set description = '",D10,"' where tab_name = 'FATCA_S_GRUND_TBLSTT_F_APSYS'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'819ADB9D82E0B214F0207CDBAB7AC278';")</f>
        <v>0</v>
      </c>
      <c r="M11">
        <f t="array" ref="M11">CONCATENATE("update msg_out_fld set description = '",D11,"' where tab_name = 'FATCA_S_GRUND_TBLSTT_F_APSYS' and fld_name = 'CRTUSER';")</f>
        <v>0</v>
      </c>
    </row>
    <row r="12" spans="1:13">
      <c r="A12" t="s">
        <v>55</v>
      </c>
      <c r="C12" t="s">
        <v>230</v>
      </c>
      <c r="D12" t="s">
        <v>7</v>
      </c>
      <c r="H12" t="s">
        <v>1595</v>
      </c>
      <c r="K12">
        <f t="array" ref="K12">CONCATENATE("update msg_out_fld_config set msg_fld_name = '",A12,"' where cd = '3712755D6628FD8C2016994ECF4C64D8';")</f>
        <v>0</v>
      </c>
      <c r="M12">
        <f t="array" ref="M12">CONCATENATE("update msg_out_fld set description = '",D12,"' where tab_name = 'FATCA_S_GRUND_TBLSTT_F_APSYS' and fld_name = 'GRUND';")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'E9FE3E2158DC8ECAD6CD43C59FB90FAA';")</f>
        <v>0</v>
      </c>
      <c r="M13">
        <f t="array" ref="M13">CONCATENATE("update msg_out_fld set description = '",D13,"' where tab_name = 'FATCA_S_GRUND_TBLSTT_F_APSYS'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'4D7A8437FA337388542A266258CA6D96';")</f>
        <v>0</v>
      </c>
      <c r="M14">
        <f t="array" ref="M14">CONCATENATE("update msg_out_fld set description = '",D14,"' where tab_name = 'FATCA_S_GRUND_TBLSTT_F_APSYS' and fld_name = 'MUTUSER';")</f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43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1596</v>
      </c>
    </row>
    <row r="2" spans="1:13">
      <c r="A2" s="1" t="s">
        <v>1597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1598</v>
      </c>
      <c r="K6">
        <f t="array" ref="K6">CONCATENATE("update msg_out_fld_config set msg_fld_name = '",A6,"' where cd = '1BC205380C5B7452A20BE5D6D46F40E2';")</f>
        <v>0</v>
      </c>
      <c r="M6">
        <f t="array" ref="M6">CONCATENATE("update msg_out_fld set description = '",D6,"' where tab_name = 'FORMAT' and fld_name = 'FORMAT_CD';")</f>
        <v>0</v>
      </c>
    </row>
    <row r="7" spans="1:13">
      <c r="A7" t="s">
        <v>1600</v>
      </c>
      <c r="C7" t="s">
        <v>68</v>
      </c>
      <c r="D7" t="s">
        <v>1600</v>
      </c>
      <c r="H7" t="s">
        <v>1599</v>
      </c>
      <c r="K7">
        <f t="array" ref="K7">CONCATENATE("update msg_out_fld_config set msg_fld_name = '",A7,"' where cd = '1D1EB62A1D6EF1C79CDECE41C5D24144';")</f>
        <v>0</v>
      </c>
      <c r="M7">
        <f t="array" ref="M7">CONCATENATE("update msg_out_fld set description = '",D7,"' where tab_name = 'FORMAT' and fld_name = 'CDPRODI';")</f>
        <v>0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'7106702CD05DA277F017D3BE0C7AD60B';")</f>
        <v>0</v>
      </c>
      <c r="M8">
        <f t="array" ref="M8">CONCATENATE("update msg_out_fld set description = '",D8,"' where tab_name = 'FORMAT' and fld_name = 'LOESCH_CD';")</f>
        <v>0</v>
      </c>
    </row>
    <row r="9" spans="1:13">
      <c r="A9" t="s">
        <v>32</v>
      </c>
      <c r="C9" t="s">
        <v>33</v>
      </c>
      <c r="D9" t="s">
        <v>34</v>
      </c>
      <c r="H9" t="s">
        <v>31</v>
      </c>
      <c r="K9">
        <f t="array" ref="K9">CONCATENATE("update msg_out_fld_config set msg_fld_name = '",A9,"' where cd = '6E5351727C7976F5ECBFE1CF526F39A8';")</f>
        <v>0</v>
      </c>
      <c r="M9">
        <f t="array" ref="M9">CONCATENATE("update msg_out_fld set description = '",D9,"' where tab_name = 'FORMAT' and fld_name = 'LOESCHDATUM';")</f>
        <v>0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'5FCB58C004521B46F725D1DD68E249A0';")</f>
        <v>0</v>
      </c>
      <c r="M10">
        <f t="array" ref="M10">CONCATENATE("update msg_out_fld set description = '",D10,"' where tab_name = 'FORMAT' and fld_name = 'LOESCHUSER';")</f>
        <v>0</v>
      </c>
    </row>
    <row r="11" spans="1:13">
      <c r="A11" t="s">
        <v>45</v>
      </c>
      <c r="C11" t="s">
        <v>33</v>
      </c>
      <c r="D11" t="s">
        <v>46</v>
      </c>
      <c r="H11" t="s">
        <v>44</v>
      </c>
      <c r="K11">
        <f t="array" ref="K11">CONCATENATE("update msg_out_fld_config set msg_fld_name = '",A11,"' where cd = '7476140AF67FD3A4B3EC30E266DB6110';")</f>
        <v>0</v>
      </c>
      <c r="M11">
        <f t="array" ref="M11">CONCATENATE("update msg_out_fld set description = '",D11,"' where tab_name = 'FORMAT' and fld_name = 'CRTDATUM';")</f>
        <v>0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  <c r="K12">
        <f t="array" ref="K12">CONCATENATE("update msg_out_fld_config set msg_fld_name = '",A12,"' where cd = 'E2146D9DBFF7A4BFA55D61F02C8891FE';")</f>
        <v>0</v>
      </c>
      <c r="M12">
        <f t="array" ref="M12">CONCATENATE("update msg_out_fld set description = '",D12,"' where tab_name = 'FORMAT' and fld_name = 'CRTUSER';")</f>
        <v>0</v>
      </c>
    </row>
    <row r="13" spans="1:13">
      <c r="A13" t="s">
        <v>55</v>
      </c>
      <c r="C13" t="s">
        <v>37</v>
      </c>
      <c r="D13" t="s">
        <v>1602</v>
      </c>
      <c r="H13" t="s">
        <v>1601</v>
      </c>
      <c r="K13">
        <f t="array" ref="K13">CONCATENATE("update msg_out_fld_config set msg_fld_name = '",A13,"' where cd = '54B9EF39AF93EBBCAF04389B11FFF478';")</f>
        <v>0</v>
      </c>
      <c r="M13">
        <f t="array" ref="M13">CONCATENATE("update msg_out_fld set description = '",D13,"' where tab_name = 'FORMAT' and fld_name = 'FORMAT';")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'E6736158FBC0A9B46099E79A40F2A5E9';")</f>
        <v>0</v>
      </c>
      <c r="M14">
        <f t="array" ref="M14">CONCATENATE("update msg_out_fld set description = '",D14,"' where tab_name = 'FORMAT'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'01FBE44BB13FA6DF262066C42515948F';")</f>
        <v>0</v>
      </c>
      <c r="M15">
        <f t="array" ref="M15">CONCATENATE("update msg_out_fld set description = '",D15,"' where tab_name = 'FORMAT' and fld_name = 'MUTUSER';")</f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0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1603</v>
      </c>
    </row>
    <row r="2" spans="1:13">
      <c r="A2" s="1" t="s">
        <v>1604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1605</v>
      </c>
      <c r="K6">
        <f t="array" ref="K6">CONCATENATE("update msg_out_fld_config set msg_fld_name = '",A6,"' where cd = '670F2C0497FC14AAE983A25CF1B80BC2';")</f>
        <v>0</v>
      </c>
      <c r="M6">
        <f t="array" ref="M6">CONCATENATE("update msg_out_fld set description = '",D6,"' where tab_name = 'GESCHLECHT' and fld_name = 'GESCHLECHT_CD';")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'24D35CE76D0416C4D3B7BB2978D71F97';")</f>
        <v>0</v>
      </c>
      <c r="M7">
        <f t="array" ref="M7">CONCATENATE("update msg_out_fld set description = '",D7,"' where tab_name = 'GESCHLECHT'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'C1D1DD27C7A849BB19F02871FCAEF928';")</f>
        <v>0</v>
      </c>
      <c r="M8">
        <f t="array" ref="M8">CONCATENATE("update msg_out_fld set description = '",D8,"' where tab_name = 'GESCHLECHT'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'FA32064089ACC4C08750F419ADCE2861';")</f>
        <v>0</v>
      </c>
      <c r="M9">
        <f t="array" ref="M9">CONCATENATE("update msg_out_fld set description = '",D9,"' where tab_name = 'GESCHLECHT'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'A376B09E093E7D56F4F89B70EDBBB6E3';")</f>
        <v>0</v>
      </c>
      <c r="M10">
        <f t="array" ref="M10">CONCATENATE("update msg_out_fld set description = '",D10,"' where tab_name = 'GESCHLECHT'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'E1888EF42D548E3DD087CDC11378CD57';")</f>
        <v>0</v>
      </c>
      <c r="M11">
        <f t="array" ref="M11">CONCATENATE("update msg_out_fld set description = '",D11,"' where tab_name = 'GESCHLECHT' and fld_name = 'CRTUSER';")</f>
        <v>0</v>
      </c>
    </row>
    <row r="12" spans="1:13">
      <c r="A12" t="s">
        <v>55</v>
      </c>
      <c r="C12" t="s">
        <v>211</v>
      </c>
      <c r="D12" t="s">
        <v>1607</v>
      </c>
      <c r="H12" t="s">
        <v>1606</v>
      </c>
      <c r="K12">
        <f t="array" ref="K12">CONCATENATE("update msg_out_fld_config set msg_fld_name = '",A12,"' where cd = '2C2A05E8EC284DB2DF875AE3F65594CD';")</f>
        <v>0</v>
      </c>
      <c r="M12">
        <f t="array" ref="M12">CONCATENATE("update msg_out_fld set description = '",D12,"' where tab_name = 'GESCHLECHT' and fld_name = 'GESCHLECHT';")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'3F4B19C4F269DC31A4DDF152872EB7A0';")</f>
        <v>0</v>
      </c>
      <c r="M13">
        <f t="array" ref="M13">CONCATENATE("update msg_out_fld set description = '",D13,"' where tab_name = 'GESCHLECHT'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'CF70C994BACA75A7CE89AF695F049F6A';")</f>
        <v>0</v>
      </c>
      <c r="M14">
        <f t="array" ref="M14">CONCATENATE("update msg_out_fld set description = '",D14,"' where tab_name = 'GESCHLECHT' and fld_name = 'MUTUSER';")</f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27.140625" customWidth="1"/>
    <col min="5" max="5" width="34.28515625" customWidth="1"/>
    <col min="6" max="6" width="10.28515625" customWidth="1"/>
    <col min="7" max="7" width="15.140625" customWidth="1"/>
    <col min="8" max="8" width="17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3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1608</v>
      </c>
    </row>
    <row r="2" spans="1:13">
      <c r="A2" s="1" t="s">
        <v>1609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1610</v>
      </c>
      <c r="K6">
        <f t="array" ref="K6">CONCATENATE("update msg_out_fld_config set msg_fld_name = '",A6,"' where cd = '2FCEFC941469279445C0F5A5E8CC9C0B';")</f>
        <v>0</v>
      </c>
      <c r="M6">
        <f t="array" ref="M6">CONCATENATE("update msg_out_fld set description = '",D6,"' where tab_name = 'ERSTHAEUFIG' and fld_name = 'ERSTHAEUFIG_CD';")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'420533AFE2C2FBE012A16FA0A5126867';")</f>
        <v>0</v>
      </c>
      <c r="M7">
        <f t="array" ref="M7">CONCATENATE("update msg_out_fld set description = '",D7,"' where tab_name = 'ERSTHAEUFIG'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'CDFD7CC34B05A5455447A6F8A505D742';")</f>
        <v>0</v>
      </c>
      <c r="M8">
        <f t="array" ref="M8">CONCATENATE("update msg_out_fld set description = '",D8,"' where tab_name = 'ERSTHAEUFIG'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'8D9B6D8CE45D102174F13C1DF2BF8B4F';")</f>
        <v>0</v>
      </c>
      <c r="M9">
        <f t="array" ref="M9">CONCATENATE("update msg_out_fld set description = '",D9,"' where tab_name = 'ERSTHAEUFIG'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'3B900E44A376EC86CFAEE86A79E02160';")</f>
        <v>0</v>
      </c>
      <c r="M10">
        <f t="array" ref="M10">CONCATENATE("update msg_out_fld set description = '",D10,"' where tab_name = 'ERSTHAEUFIG'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'B4E668B5236F7867C97952A724082B78';")</f>
        <v>0</v>
      </c>
      <c r="M11">
        <f t="array" ref="M11">CONCATENATE("update msg_out_fld set description = '",D11,"' where tab_name = 'ERSTHAEUFIG' and fld_name = 'CRTUSER';")</f>
        <v>0</v>
      </c>
    </row>
    <row r="12" spans="1:13">
      <c r="A12" t="s">
        <v>55</v>
      </c>
      <c r="C12" t="s">
        <v>211</v>
      </c>
      <c r="D12" t="s">
        <v>1612</v>
      </c>
      <c r="H12" t="s">
        <v>1611</v>
      </c>
      <c r="K12">
        <f t="array" ref="K12">CONCATENATE("update msg_out_fld_config set msg_fld_name = '",A12,"' where cd = '06616928A74C14BA3BEDBDF8F75358E4';")</f>
        <v>0</v>
      </c>
      <c r="M12">
        <f t="array" ref="M12">CONCATENATE("update msg_out_fld set description = '",D12,"' where tab_name = 'ERSTHAEUFIG' and fld_name = 'ERSTHAEUFIG';")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'7F28B388F22B07C3F31CDBC343CCF142';")</f>
        <v>0</v>
      </c>
      <c r="M13">
        <f t="array" ref="M13">CONCATENATE("update msg_out_fld set description = '",D13,"' where tab_name = 'ERSTHAEUFIG'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'B137A51F2057D6BD8CF37BB558D2333D';")</f>
        <v>0</v>
      </c>
      <c r="M14">
        <f t="array" ref="M14">CONCATENATE("update msg_out_fld set description = '",D14,"' where tab_name = 'ERSTHAEUFIG' and fld_name = 'MUTUSER';")</f>
        <v>0</v>
      </c>
    </row>
    <row r="15" spans="1:13">
      <c r="C15" t="s">
        <v>26</v>
      </c>
      <c r="D15" t="s">
        <v>1614</v>
      </c>
      <c r="H15" t="s">
        <v>1613</v>
      </c>
      <c r="K15">
        <f t="array" ref="K15">CONCATENATE("update msg_out_fld_config set msg_fld_name = '",A15,"' where cd = '43179594BEB5F3B19D7069FF1685E6BA';")</f>
        <v>0</v>
      </c>
      <c r="M15">
        <f t="array" ref="M15">CONCATENATE("update msg_out_fld set description = '",D15,"' where tab_name = 'ERSTHAEUFIG' and fld_name = 'FRQPRODC';")</f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48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1615</v>
      </c>
    </row>
    <row r="2" spans="1:13">
      <c r="A2" s="1" t="s">
        <v>1616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1617</v>
      </c>
      <c r="K6">
        <f t="array" ref="K6">CONCATENATE("update msg_out_fld_config set msg_fld_name = '",A6,"' where cd = '53EBC5CF75985641C58E6EC4296C8D62';")</f>
        <v>0</v>
      </c>
      <c r="M6">
        <f t="array" ref="M6">CONCATENATE("update msg_out_fld set description = '",D6,"' where tab_name = 'EINKOMMEN' and fld_name = 'EINKOMMEN_CD';")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'CD7C48469FC417ED4CB468B22F03E7BC';")</f>
        <v>0</v>
      </c>
      <c r="M7">
        <f t="array" ref="M7">CONCATENATE("update msg_out_fld set description = '",D7,"' where tab_name = 'EINKOMMEN'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'CB7110C979C10C1CE52860C8593E02A8';")</f>
        <v>0</v>
      </c>
      <c r="M8">
        <f t="array" ref="M8">CONCATENATE("update msg_out_fld set description = '",D8,"' where tab_name = 'EINKOMMEN'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'2296E4356108202D0614B9A98B075DB6';")</f>
        <v>0</v>
      </c>
      <c r="M9">
        <f t="array" ref="M9">CONCATENATE("update msg_out_fld set description = '",D9,"' where tab_name = 'EINKOMMEN'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'3256267E3D261F9417338F859206061D';")</f>
        <v>0</v>
      </c>
      <c r="M10">
        <f t="array" ref="M10">CONCATENATE("update msg_out_fld set description = '",D10,"' where tab_name = 'EINKOMMEN'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'AAD4B59B38F86F9917061AB43AD6517C';")</f>
        <v>0</v>
      </c>
      <c r="M11">
        <f t="array" ref="M11">CONCATENATE("update msg_out_fld set description = '",D11,"' where tab_name = 'EINKOMMEN' and fld_name = 'CRTUSER';")</f>
        <v>0</v>
      </c>
    </row>
    <row r="12" spans="1:13">
      <c r="A12" t="s">
        <v>55</v>
      </c>
      <c r="C12" t="s">
        <v>37</v>
      </c>
      <c r="D12" t="s">
        <v>1619</v>
      </c>
      <c r="H12" t="s">
        <v>1618</v>
      </c>
      <c r="K12">
        <f t="array" ref="K12">CONCATENATE("update msg_out_fld_config set msg_fld_name = '",A12,"' where cd = '1F325503963140458041DC143B33301A';")</f>
        <v>0</v>
      </c>
      <c r="M12">
        <f t="array" ref="M12">CONCATENATE("update msg_out_fld set description = '",D12,"' where tab_name = 'EINKOMMEN' and fld_name = 'EINKOMMEN';")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'3D6AAF61CB1A8C64CECF46F83B6DCB24';")</f>
        <v>0</v>
      </c>
      <c r="M13">
        <f t="array" ref="M13">CONCATENATE("update msg_out_fld set description = '",D13,"' where tab_name = 'EINKOMMEN'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'DD1D779A7120C0F38BF5628E9FA1F738';")</f>
        <v>0</v>
      </c>
      <c r="M14">
        <f t="array" ref="M14">CONCATENATE("update msg_out_fld set description = '",D14,"' where tab_name = 'EINKOMMEN' and fld_name = 'MUTUSER';")</f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162"/>
  <sheetViews>
    <sheetView workbookViewId="0"/>
  </sheetViews>
  <sheetFormatPr defaultRowHeight="15"/>
  <cols>
    <col min="1" max="1" width="37.85546875" customWidth="1"/>
    <col min="2" max="2" width="4.28515625" customWidth="1"/>
    <col min="3" max="3" width="16.28515625" customWidth="1"/>
    <col min="4" max="4" width="54.7109375" customWidth="1"/>
    <col min="5" max="5" width="67.85546875" customWidth="1"/>
    <col min="6" max="6" width="10.28515625" customWidth="1"/>
    <col min="7" max="7" width="47.5703125" customWidth="1"/>
    <col min="8" max="8" width="36.7109375" customWidth="1"/>
    <col min="9" max="9" width="1.85546875" customWidth="1"/>
    <col min="10" max="10" width="1.85546875" customWidth="1"/>
    <col min="11" max="11" width="144.7109375" customWidth="1"/>
    <col min="12" max="12" width="1.85546875" customWidth="1"/>
    <col min="13" max="13" width="168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1620</v>
      </c>
    </row>
    <row r="2" spans="1:13">
      <c r="A2" s="1" t="s">
        <v>1621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127</v>
      </c>
      <c r="H6" t="s">
        <v>125</v>
      </c>
      <c r="K6">
        <f t="array" ref="K6">CONCATENATE("update msg_out_fld_config set msg_fld_name = '",A6,"' where cd = 'E4B757E7922960558AFE4ACC9C52E3C2';")</f>
        <v>0</v>
      </c>
      <c r="M6">
        <f t="array" ref="M6">CONCATENATE("update msg_out_fld set description = '",D6,"' where tab_name = 'PARTNER' and fld_name = 'PERSONID';")</f>
        <v>0</v>
      </c>
    </row>
    <row r="7" spans="1:13">
      <c r="A7" t="s">
        <v>1623</v>
      </c>
      <c r="C7" t="s">
        <v>26</v>
      </c>
      <c r="D7" s="2" t="s">
        <v>1622</v>
      </c>
      <c r="E7" t="s">
        <v>28</v>
      </c>
      <c r="F7" t="s">
        <v>29</v>
      </c>
      <c r="G7" t="s">
        <v>30</v>
      </c>
      <c r="H7" t="s">
        <v>1622</v>
      </c>
      <c r="K7">
        <f t="array" ref="K7">CONCATENATE("update msg_out_fld_config set msg_fld_name = '",A7,"' where cd = '7D32C8838CDD86871F5A2972A50D8D7A';")</f>
        <v>0</v>
      </c>
      <c r="M7">
        <f t="array" ref="M7">CONCATENATE("update msg_out_fld set description = '",D7,"' where tab_name = 'PARTNER' and fld_name = 'ABANDON_RESIDENT_STATUS_CD';")</f>
        <v>0</v>
      </c>
    </row>
    <row r="8" spans="1:13">
      <c r="A8" t="s">
        <v>93</v>
      </c>
      <c r="C8" t="s">
        <v>90</v>
      </c>
      <c r="D8" t="s">
        <v>94</v>
      </c>
      <c r="H8" t="s">
        <v>92</v>
      </c>
      <c r="K8">
        <f t="array" ref="K8">CONCATENATE("update msg_out_fld_config set msg_fld_name = '",A8,"' where cd = '8994CD14A6F6653A862BBD1140BC0B5D';")</f>
        <v>0</v>
      </c>
      <c r="M8">
        <f t="array" ref="M8">CONCATENATE("update msg_out_fld set description = '",D8,"' where tab_name = 'PARTNER' and fld_name = 'AKTID';")</f>
        <v>0</v>
      </c>
    </row>
    <row r="9" spans="1:13">
      <c r="A9" t="s">
        <v>1625</v>
      </c>
      <c r="C9" t="s">
        <v>26</v>
      </c>
      <c r="D9" t="s">
        <v>1626</v>
      </c>
      <c r="E9" t="s">
        <v>262</v>
      </c>
      <c r="F9" t="s">
        <v>23</v>
      </c>
      <c r="H9" t="s">
        <v>1624</v>
      </c>
      <c r="K9">
        <f t="array" ref="K9">CONCATENATE("update msg_out_fld_config set msg_fld_name = '",A9,"' where cd = 'D0D9BAA9EE5E712C691F102AAC5B4F9E';")</f>
        <v>0</v>
      </c>
      <c r="M9">
        <f t="array" ref="M9">CONCATENATE("update msg_out_fld set description = '",D9,"' where tab_name = 'PARTNER' and fld_name = 'AEOI_CLASSIFICATION_CD';")</f>
        <v>0</v>
      </c>
    </row>
    <row r="10" spans="1:13">
      <c r="A10" t="s">
        <v>1628</v>
      </c>
      <c r="C10" t="s">
        <v>20</v>
      </c>
      <c r="D10" t="s">
        <v>1629</v>
      </c>
      <c r="E10" t="s">
        <v>1630</v>
      </c>
      <c r="F10" t="s">
        <v>23</v>
      </c>
      <c r="H10" t="s">
        <v>1627</v>
      </c>
      <c r="K10">
        <f t="array" ref="K10">CONCATENATE("update msg_out_fld_config set msg_fld_name = '",A10,"' where cd = 'C2D180EFCE3E8B39CED1F6F7A046EE0D';")</f>
        <v>0</v>
      </c>
      <c r="M10">
        <f t="array" ref="M10">CONCATENATE("update msg_out_fld set description = '",D10,"' where tab_name = 'PARTNER' and fld_name = 'AEOI_SUB_CLASSIFICATION_CD';")</f>
        <v>0</v>
      </c>
    </row>
    <row r="11" spans="1:13">
      <c r="A11" t="s">
        <v>1632</v>
      </c>
      <c r="C11" t="s">
        <v>75</v>
      </c>
      <c r="D11" t="s">
        <v>1633</v>
      </c>
      <c r="H11" t="s">
        <v>1631</v>
      </c>
      <c r="K11">
        <f t="array" ref="K11">CONCATENATE("update msg_out_fld_config set msg_fld_name = '",A11,"' where cd = '5AC011E52FD90C857A505EBF7FD604B2';")</f>
        <v>0</v>
      </c>
      <c r="M11">
        <f t="array" ref="M11">CONCATENATE("update msg_out_fld set description = '",D11,"' where tab_name = 'PARTNER' and fld_name = 'AGENT_APSYS_INFO';")</f>
        <v>0</v>
      </c>
    </row>
    <row r="12" spans="1:13">
      <c r="A12" t="s">
        <v>1635</v>
      </c>
      <c r="C12" t="s">
        <v>90</v>
      </c>
      <c r="D12" t="s">
        <v>376</v>
      </c>
      <c r="H12" t="s">
        <v>1634</v>
      </c>
      <c r="K12">
        <f t="array" ref="K12">CONCATENATE("update msg_out_fld_config set msg_fld_name = '",A12,"' where cd = '1C242CD50FE09E453B3FEC99FBE2C2FD';")</f>
        <v>0</v>
      </c>
      <c r="M12">
        <f t="array" ref="M12">CONCATENATE("update msg_out_fld set description = '",D12,"' where tab_name = 'PARTNER' and fld_name = 'AGENT_APSYS_IDCLL';")</f>
        <v>0</v>
      </c>
    </row>
    <row r="13" spans="1:13">
      <c r="A13" t="s">
        <v>1637</v>
      </c>
      <c r="C13" t="s">
        <v>26</v>
      </c>
      <c r="D13" t="s">
        <v>665</v>
      </c>
      <c r="E13" t="s">
        <v>666</v>
      </c>
      <c r="F13" t="s">
        <v>29</v>
      </c>
      <c r="G13" t="s">
        <v>667</v>
      </c>
      <c r="H13" t="s">
        <v>1636</v>
      </c>
      <c r="K13">
        <f t="array" ref="K13">CONCATENATE("update msg_out_fld_config set msg_fld_name = '",A13,"' where cd = '5E2F00FF7F68CCF71D80DF356D36F9F5';")</f>
        <v>0</v>
      </c>
      <c r="M13">
        <f t="array" ref="M13">CONCATENATE("update msg_out_fld set description = '",D13,"' where tab_name = 'PARTNER' and fld_name = 'AGENT_APSYS_STATUS_OPEC';")</f>
        <v>0</v>
      </c>
    </row>
    <row r="14" spans="1:13">
      <c r="A14" t="s">
        <v>1639</v>
      </c>
      <c r="C14" t="s">
        <v>26</v>
      </c>
      <c r="D14" t="s">
        <v>1640</v>
      </c>
      <c r="E14" t="s">
        <v>28</v>
      </c>
      <c r="F14" t="s">
        <v>29</v>
      </c>
      <c r="G14" t="s">
        <v>30</v>
      </c>
      <c r="H14" t="s">
        <v>1638</v>
      </c>
      <c r="K14">
        <f t="array" ref="K14">CONCATENATE("update msg_out_fld_config set msg_fld_name = '",A14,"' where cd = '7170F2D37DCDE66D1DCBF61C4BDF588D';")</f>
        <v>0</v>
      </c>
      <c r="M14">
        <f t="array" ref="M14">CONCATENATE("update msg_out_fld set description = '",D14,"' where tab_name = 'PARTNER' and fld_name = 'AGENT_AUTO_COMMISSION_PAY_CD';")</f>
        <v>0</v>
      </c>
    </row>
    <row r="15" spans="1:13">
      <c r="A15" t="s">
        <v>1642</v>
      </c>
      <c r="C15" t="s">
        <v>26</v>
      </c>
      <c r="D15" t="s">
        <v>1643</v>
      </c>
      <c r="E15" t="s">
        <v>1644</v>
      </c>
      <c r="F15" t="s">
        <v>29</v>
      </c>
      <c r="G15" t="s">
        <v>1645</v>
      </c>
      <c r="H15" t="s">
        <v>1641</v>
      </c>
      <c r="K15">
        <f t="array" ref="K15">CONCATENATE("update msg_out_fld_config set msg_fld_name = '",A15,"' where cd = 'D7692230579E07C7620C72DB87FC741D';")</f>
        <v>0</v>
      </c>
      <c r="M15">
        <f t="array" ref="M15">CONCATENATE("update msg_out_fld set description = '",D15,"' where tab_name = 'PARTNER' and fld_name = 'AGENT_CDFRQCALCRETRONNMC';")</f>
        <v>0</v>
      </c>
    </row>
    <row r="16" spans="1:13">
      <c r="A16" t="s">
        <v>1646</v>
      </c>
      <c r="C16" t="s">
        <v>275</v>
      </c>
      <c r="D16" t="s">
        <v>278</v>
      </c>
      <c r="E16" t="s">
        <v>1647</v>
      </c>
      <c r="F16" t="s">
        <v>23</v>
      </c>
      <c r="H16" t="s">
        <v>274</v>
      </c>
      <c r="K16">
        <f t="array" ref="K16">CONCATENATE("update msg_out_fld_config set msg_fld_name = '",A16,"' where cd = '7934ED224B3AD3EFB7BC91CCFAFA5307';")</f>
        <v>0</v>
      </c>
      <c r="M16">
        <f t="array" ref="M16">CONCATENATE("update msg_out_fld set description = '",D16,"' where tab_name = 'PARTNER' and fld_name = 'AGENT_CLASS_CD';")</f>
        <v>0</v>
      </c>
    </row>
    <row r="17" spans="1:13">
      <c r="A17" t="s">
        <v>1649</v>
      </c>
      <c r="C17" t="s">
        <v>26</v>
      </c>
      <c r="D17" t="s">
        <v>1650</v>
      </c>
      <c r="E17" t="s">
        <v>28</v>
      </c>
      <c r="F17" t="s">
        <v>29</v>
      </c>
      <c r="G17" t="s">
        <v>30</v>
      </c>
      <c r="H17" t="s">
        <v>1648</v>
      </c>
      <c r="K17">
        <f t="array" ref="K17">CONCATENATE("update msg_out_fld_config set msg_fld_name = '",A17,"' where cd = '9E6A44AEA54A04646BFD971F4853DB7E';")</f>
        <v>0</v>
      </c>
      <c r="M17">
        <f t="array" ref="M17">CONCATENATE("update msg_out_fld set description = '",D17,"' where tab_name = 'PARTNER' and fld_name = 'AGENT_COMMISSION_REBATE_CD';")</f>
        <v>0</v>
      </c>
    </row>
    <row r="18" spans="1:13">
      <c r="A18" t="s">
        <v>1652</v>
      </c>
      <c r="C18" t="s">
        <v>37</v>
      </c>
      <c r="D18" t="s">
        <v>7</v>
      </c>
      <c r="H18" t="s">
        <v>1651</v>
      </c>
      <c r="K18">
        <f t="array" ref="K18">CONCATENATE("update msg_out_fld_config set msg_fld_name = '",A18,"' where cd = '3F2AC6E0B9A130FD833509DE8A9D6B4F';")</f>
        <v>0</v>
      </c>
      <c r="M18">
        <f t="array" ref="M18">CONCATENATE("update msg_out_fld set description = '",D18,"' where tab_name = 'PARTNER' and fld_name = 'AGENT_DESC';")</f>
        <v>0</v>
      </c>
    </row>
    <row r="19" spans="1:13">
      <c r="A19" t="s">
        <v>1654</v>
      </c>
      <c r="C19" t="s">
        <v>90</v>
      </c>
      <c r="D19" t="s">
        <v>1655</v>
      </c>
      <c r="H19" t="s">
        <v>1653</v>
      </c>
      <c r="K19">
        <f t="array" ref="K19">CONCATENATE("update msg_out_fld_config set msg_fld_name = '",A19,"' where cd = 'DBF0DB5C701860025AA19659028554B8';")</f>
        <v>0</v>
      </c>
      <c r="M19">
        <f t="array" ref="M19">CONCATENATE("update msg_out_fld set description = '",D19,"' where tab_name = 'PARTNER' and fld_name = 'AGENT_APSYS_ERRI';")</f>
        <v>0</v>
      </c>
    </row>
    <row r="20" spans="1:13">
      <c r="A20" t="s">
        <v>1657</v>
      </c>
      <c r="C20" t="s">
        <v>26</v>
      </c>
      <c r="D20" t="s">
        <v>1658</v>
      </c>
      <c r="E20" t="s">
        <v>28</v>
      </c>
      <c r="F20" t="s">
        <v>29</v>
      </c>
      <c r="G20" t="s">
        <v>30</v>
      </c>
      <c r="H20" t="s">
        <v>1656</v>
      </c>
      <c r="K20">
        <f t="array" ref="K20">CONCATENATE("update msg_out_fld_config set msg_fld_name = '",A20,"' where cd = '241382EAC2571156CA55CA7F56289490';")</f>
        <v>0</v>
      </c>
      <c r="M20">
        <f t="array" ref="M20">CONCATENATE("update msg_out_fld set description = '",D20,"' where tab_name = 'PARTNER' and fld_name = 'AGENT_FLAGXCLUEVALNEGI';")</f>
        <v>0</v>
      </c>
    </row>
    <row r="21" spans="1:13">
      <c r="A21" t="s">
        <v>1660</v>
      </c>
      <c r="C21" t="s">
        <v>26</v>
      </c>
      <c r="D21" t="s">
        <v>1661</v>
      </c>
      <c r="E21" t="s">
        <v>28</v>
      </c>
      <c r="F21" t="s">
        <v>29</v>
      </c>
      <c r="G21" t="s">
        <v>30</v>
      </c>
      <c r="H21" t="s">
        <v>1659</v>
      </c>
      <c r="K21">
        <f t="array" ref="K21">CONCATENATE("update msg_out_fld_config set msg_fld_name = '",A21,"' where cd = '4C4490263392562EE3FECD868E12742B';")</f>
        <v>0</v>
      </c>
      <c r="M21">
        <f t="array" ref="M21">CONCATENATE("update msg_out_fld set description = '",D21,"' where tab_name = 'PARTNER' and fld_name = 'AGENT_FLAGRETRONNMI';")</f>
        <v>0</v>
      </c>
    </row>
    <row r="22" spans="1:13">
      <c r="A22" t="s">
        <v>1663</v>
      </c>
      <c r="C22" t="s">
        <v>20</v>
      </c>
      <c r="D22" t="s">
        <v>1345</v>
      </c>
      <c r="E22" t="s">
        <v>946</v>
      </c>
      <c r="F22" t="s">
        <v>23</v>
      </c>
      <c r="H22" t="s">
        <v>1662</v>
      </c>
      <c r="K22">
        <f t="array" ref="K22">CONCATENATE("update msg_out_fld_config set msg_fld_name = '",A22,"' where cd = '0B88159970C93A784A3ABCC088416ED5';")</f>
        <v>0</v>
      </c>
      <c r="M22">
        <f t="array" ref="M22">CONCATENATE("update msg_out_fld set description = '",D22,"' where tab_name = 'PARTNER' and fld_name = 'AGENT_PAY_CURRENCY_CD';")</f>
        <v>0</v>
      </c>
    </row>
    <row r="23" spans="1:13">
      <c r="A23" t="s">
        <v>1665</v>
      </c>
      <c r="C23" t="s">
        <v>90</v>
      </c>
      <c r="D23" t="s">
        <v>1666</v>
      </c>
      <c r="E23" t="s">
        <v>1667</v>
      </c>
      <c r="F23" t="s">
        <v>29</v>
      </c>
      <c r="G23" t="s">
        <v>444</v>
      </c>
      <c r="H23" t="s">
        <v>1664</v>
      </c>
      <c r="K23">
        <f t="array" ref="K23">CONCATENATE("update msg_out_fld_config set msg_fld_name = '",A23,"' where cd = 'C2582FDC748874DED22045427D7FB190';")</f>
        <v>0</v>
      </c>
      <c r="M23">
        <f t="array" ref="M23">CONCATENATE("update msg_out_fld set description = '",D23,"' where tab_name = 'PARTNER' and fld_name = 'AGENT_PAY_DAY_OF_MONTH';")</f>
        <v>0</v>
      </c>
    </row>
    <row r="24" spans="1:13">
      <c r="A24" t="s">
        <v>1669</v>
      </c>
      <c r="C24" t="s">
        <v>104</v>
      </c>
      <c r="D24" t="s">
        <v>1670</v>
      </c>
      <c r="H24" t="s">
        <v>1668</v>
      </c>
      <c r="K24">
        <f t="array" ref="K24">CONCATENATE("update msg_out_fld_config set msg_fld_name = '",A24,"' where cd = '5D84E93E828387FE07B5D9E6FFD19766';")</f>
        <v>0</v>
      </c>
      <c r="M24">
        <f t="array" ref="M24">CONCATENATE("update msg_out_fld set description = '",D24,"' where tab_name = 'PARTNER' and fld_name = 'AGENT_PAY_FIRST_DATE';")</f>
        <v>0</v>
      </c>
    </row>
    <row r="25" spans="1:13">
      <c r="A25" t="s">
        <v>1672</v>
      </c>
      <c r="C25" t="s">
        <v>26</v>
      </c>
      <c r="D25" t="s">
        <v>1673</v>
      </c>
      <c r="E25" t="s">
        <v>1644</v>
      </c>
      <c r="F25" t="s">
        <v>29</v>
      </c>
      <c r="G25" t="s">
        <v>1645</v>
      </c>
      <c r="H25" t="s">
        <v>1671</v>
      </c>
      <c r="K25">
        <f t="array" ref="K25">CONCATENATE("update msg_out_fld_config set msg_fld_name = '",A25,"' where cd = '7D1BC65506AD0F26B1EBB5CDD205D5F1';")</f>
        <v>0</v>
      </c>
      <c r="M25">
        <f t="array" ref="M25">CONCATENATE("update msg_out_fld set description = '",D25,"' where tab_name = 'PARTNER' and fld_name = 'AGENT_CDFRQPAYRETRONNMC';")</f>
        <v>0</v>
      </c>
    </row>
    <row r="26" spans="1:13">
      <c r="A26" t="s">
        <v>1675</v>
      </c>
      <c r="C26" t="s">
        <v>26</v>
      </c>
      <c r="D26" t="s">
        <v>1676</v>
      </c>
      <c r="E26" t="s">
        <v>1677</v>
      </c>
      <c r="F26" t="s">
        <v>29</v>
      </c>
      <c r="G26" t="s">
        <v>1678</v>
      </c>
      <c r="H26" t="s">
        <v>1674</v>
      </c>
      <c r="K26">
        <f t="array" ref="K26">CONCATENATE("update msg_out_fld_config set msg_fld_name = '",A26,"' where cd = '81ED5E1DCF6D310EDD5CDE643F09886D';")</f>
        <v>0</v>
      </c>
      <c r="M26">
        <f t="array" ref="M26">CONCATENATE("update msg_out_fld set description = '",D26,"' where tab_name = 'PARTNER' and fld_name = 'AGENT_PAY_HOLIDAY_TREATMENT_CD';")</f>
        <v>0</v>
      </c>
    </row>
    <row r="27" spans="1:13">
      <c r="A27" t="s">
        <v>1680</v>
      </c>
      <c r="C27" t="s">
        <v>90</v>
      </c>
      <c r="D27" t="s">
        <v>1681</v>
      </c>
      <c r="H27" t="s">
        <v>1679</v>
      </c>
      <c r="K27">
        <f t="array" ref="K27">CONCATENATE("update msg_out_fld_config set msg_fld_name = '",A27,"' where cd = 'CD255A7A52158BD308219D955FD174D0';")</f>
        <v>0</v>
      </c>
      <c r="M27">
        <f t="array" ref="M27">CONCATENATE("update msg_out_fld set description = '",D27,"' where tab_name = 'PARTNER' and fld_name = 'AGENT_PAY_INTERVAL';")</f>
        <v>0</v>
      </c>
    </row>
    <row r="28" spans="1:13">
      <c r="A28" t="s">
        <v>1683</v>
      </c>
      <c r="C28" t="s">
        <v>26</v>
      </c>
      <c r="D28" t="s">
        <v>1684</v>
      </c>
      <c r="E28" t="s">
        <v>1685</v>
      </c>
      <c r="F28" t="s">
        <v>29</v>
      </c>
      <c r="G28" t="s">
        <v>1686</v>
      </c>
      <c r="H28" t="s">
        <v>1682</v>
      </c>
      <c r="K28">
        <f t="array" ref="K28">CONCATENATE("update msg_out_fld_config set msg_fld_name = '",A28,"' where cd = '37D2A34DDD361577A76EA2729F766E43';")</f>
        <v>0</v>
      </c>
      <c r="M28">
        <f t="array" ref="M28">CONCATENATE("update msg_out_fld set description = '",D28,"' where tab_name = 'PARTNER' and fld_name = 'AGENT_PAY_INTERVAL_TYPE_CD';")</f>
        <v>0</v>
      </c>
    </row>
    <row r="29" spans="1:13">
      <c r="A29" t="s">
        <v>1688</v>
      </c>
      <c r="C29" t="s">
        <v>26</v>
      </c>
      <c r="D29" t="s">
        <v>1689</v>
      </c>
      <c r="E29" t="s">
        <v>28</v>
      </c>
      <c r="F29" t="s">
        <v>29</v>
      </c>
      <c r="G29" t="s">
        <v>30</v>
      </c>
      <c r="H29" t="s">
        <v>1687</v>
      </c>
      <c r="K29">
        <f t="array" ref="K29">CONCATENATE("update msg_out_fld_config set msg_fld_name = '",A29,"' where cd = 'A53F580FCC1F01C72EE7C54238751A03';")</f>
        <v>0</v>
      </c>
      <c r="M29">
        <f t="array" ref="M29">CONCATENATE("update msg_out_fld set description = '",D29,"' where tab_name = 'PARTNER' and fld_name = 'AGENT_PAY_PROVISIONING_CD';")</f>
        <v>0</v>
      </c>
    </row>
    <row r="30" spans="1:13">
      <c r="A30" t="s">
        <v>1691</v>
      </c>
      <c r="C30" t="s">
        <v>26</v>
      </c>
      <c r="D30" t="s">
        <v>1692</v>
      </c>
      <c r="E30" t="s">
        <v>1693</v>
      </c>
      <c r="F30" t="s">
        <v>29</v>
      </c>
      <c r="G30" t="s">
        <v>1694</v>
      </c>
      <c r="H30" t="s">
        <v>1690</v>
      </c>
      <c r="K30">
        <f t="array" ref="K30">CONCATENATE("update msg_out_fld_config set msg_fld_name = '",A30,"' where cd = 'C7C387A1DA93169BA940E37500078CA7';")</f>
        <v>0</v>
      </c>
      <c r="M30">
        <f t="array" ref="M30">CONCATENATE("update msg_out_fld set description = '",D30,"' where tab_name = 'PARTNER' and fld_name = 'AGENT_CDNEGRETRONNMC';")</f>
        <v>0</v>
      </c>
    </row>
    <row r="31" spans="1:13">
      <c r="A31" t="s">
        <v>1696</v>
      </c>
      <c r="C31" t="s">
        <v>20</v>
      </c>
      <c r="D31" t="s">
        <v>1345</v>
      </c>
      <c r="E31" t="s">
        <v>946</v>
      </c>
      <c r="F31" t="s">
        <v>23</v>
      </c>
      <c r="H31" t="s">
        <v>1695</v>
      </c>
      <c r="K31">
        <f t="array" ref="K31">CONCATENATE("update msg_out_fld_config set msg_fld_name = '",A31,"' where cd = '223911919979972E9F6E58C62FF14A54';")</f>
        <v>0</v>
      </c>
      <c r="M31">
        <f t="array" ref="M31">CONCATENATE("update msg_out_fld set description = '",D31,"' where tab_name = 'PARTNER' and fld_name = 'AGENT_REBATE_CURRENCY_CD';")</f>
        <v>0</v>
      </c>
    </row>
    <row r="32" spans="1:13">
      <c r="A32" t="s">
        <v>1698</v>
      </c>
      <c r="C32" t="s">
        <v>26</v>
      </c>
      <c r="D32" t="s">
        <v>1699</v>
      </c>
      <c r="E32" t="s">
        <v>1644</v>
      </c>
      <c r="F32" t="s">
        <v>29</v>
      </c>
      <c r="G32" t="s">
        <v>1645</v>
      </c>
      <c r="H32" t="s">
        <v>1697</v>
      </c>
      <c r="K32">
        <f t="array" ref="K32">CONCATENATE("update msg_out_fld_config set msg_fld_name = '",A32,"' where cd = 'BB80F10BDB4B5302DA135E84BFE724B6';")</f>
        <v>0</v>
      </c>
      <c r="M32">
        <f t="array" ref="M32">CONCATENATE("update msg_out_fld set description = '",D32,"' where tab_name = 'PARTNER' and fld_name = 'AGENT_REBATE_INTERVAL_TYPE_CD';")</f>
        <v>0</v>
      </c>
    </row>
    <row r="33" spans="1:13">
      <c r="A33" t="s">
        <v>1701</v>
      </c>
      <c r="C33" t="s">
        <v>26</v>
      </c>
      <c r="D33" t="s">
        <v>1702</v>
      </c>
      <c r="E33" t="s">
        <v>28</v>
      </c>
      <c r="F33" t="s">
        <v>29</v>
      </c>
      <c r="G33" t="s">
        <v>30</v>
      </c>
      <c r="H33" t="s">
        <v>1700</v>
      </c>
      <c r="K33">
        <f t="array" ref="K33">CONCATENATE("update msg_out_fld_config set msg_fld_name = '",A33,"' where cd = 'BA2A0797D80452B371DF0A6207CB34AF';")</f>
        <v>0</v>
      </c>
      <c r="M33">
        <f t="array" ref="M33">CONCATENATE("update msg_out_fld set description = '",D33,"' where tab_name = 'PARTNER' and fld_name = 'AGENT_REBATE_ORIG_VAT_CD';")</f>
        <v>0</v>
      </c>
    </row>
    <row r="34" spans="1:13">
      <c r="A34" t="s">
        <v>1704</v>
      </c>
      <c r="C34" t="s">
        <v>26</v>
      </c>
      <c r="D34" t="s">
        <v>1705</v>
      </c>
      <c r="E34" t="s">
        <v>28</v>
      </c>
      <c r="F34" t="s">
        <v>29</v>
      </c>
      <c r="G34" t="s">
        <v>30</v>
      </c>
      <c r="H34" t="s">
        <v>1703</v>
      </c>
      <c r="K34">
        <f t="array" ref="K34">CONCATENATE("update msg_out_fld_config set msg_fld_name = '",A34,"' where cd = '219F79612C292D6758A8E6DC18721370';")</f>
        <v>0</v>
      </c>
      <c r="M34">
        <f t="array" ref="M34">CONCATENATE("update msg_out_fld set description = '",D34,"' where tab_name = 'PARTNER' and fld_name = 'AGENT_REBATE_PROV_CD';")</f>
        <v>0</v>
      </c>
    </row>
    <row r="35" spans="1:13">
      <c r="A35" t="s">
        <v>1707</v>
      </c>
      <c r="C35" t="s">
        <v>26</v>
      </c>
      <c r="D35" t="s">
        <v>1708</v>
      </c>
      <c r="E35" t="s">
        <v>28</v>
      </c>
      <c r="F35" t="s">
        <v>29</v>
      </c>
      <c r="G35" t="s">
        <v>30</v>
      </c>
      <c r="H35" t="s">
        <v>1706</v>
      </c>
      <c r="K35">
        <f t="array" ref="K35">CONCATENATE("update msg_out_fld_config set msg_fld_name = '",A35,"' where cd = 'ECB8EE4608A38FE682C99D8FF493960F';")</f>
        <v>0</v>
      </c>
      <c r="M35">
        <f t="array" ref="M35">CONCATENATE("update msg_out_fld set description = '",D35,"' where tab_name = 'PARTNER' and fld_name = 'AGENT_FLAGRETROAGEI';")</f>
        <v>0</v>
      </c>
    </row>
    <row r="36" spans="1:13">
      <c r="A36" t="s">
        <v>1710</v>
      </c>
      <c r="C36" t="s">
        <v>26</v>
      </c>
      <c r="D36" s="2" t="s">
        <v>1709</v>
      </c>
      <c r="E36" t="s">
        <v>28</v>
      </c>
      <c r="F36" t="s">
        <v>29</v>
      </c>
      <c r="G36" t="s">
        <v>30</v>
      </c>
      <c r="H36" t="s">
        <v>1709</v>
      </c>
      <c r="K36">
        <f t="array" ref="K36">CONCATENATE("update msg_out_fld_config set msg_fld_name = '",A36,"' where cd = '4E6D2C6261CABB2EB73C22474887B1FE';")</f>
        <v>0</v>
      </c>
      <c r="M36">
        <f t="array" ref="M36">CONCATENATE("update msg_out_fld set description = '",D36,"' where tab_name = 'PARTNER' and fld_name = 'AM_CONFIRM_NON_US_STATUS_CD';")</f>
        <v>0</v>
      </c>
    </row>
    <row r="37" spans="1:13">
      <c r="A37" t="s">
        <v>1712</v>
      </c>
      <c r="C37" t="s">
        <v>90</v>
      </c>
      <c r="D37" t="s">
        <v>1713</v>
      </c>
      <c r="H37" t="s">
        <v>1711</v>
      </c>
      <c r="K37">
        <f t="array" ref="K37">CONCATENATE("update msg_out_fld_config set msg_fld_name = '",A37,"' where cd = '1D3D7CDB3E2AE9DBFD0D7F48157564A8';")</f>
        <v>0</v>
      </c>
      <c r="M37">
        <f t="array" ref="M37">CONCATENATE("update msg_out_fld set description = '",D37,"' where tab_name = 'PARTNER' and fld_name = 'APSYS_IDPERSL';")</f>
        <v>0</v>
      </c>
    </row>
    <row r="38" spans="1:13">
      <c r="A38" t="s">
        <v>1715</v>
      </c>
      <c r="C38" t="s">
        <v>26</v>
      </c>
      <c r="D38" t="s">
        <v>1716</v>
      </c>
      <c r="E38" t="s">
        <v>28</v>
      </c>
      <c r="F38" t="s">
        <v>29</v>
      </c>
      <c r="G38" t="s">
        <v>30</v>
      </c>
      <c r="H38" t="s">
        <v>1714</v>
      </c>
      <c r="K38">
        <f t="array" ref="K38">CONCATENATE("update msg_out_fld_config set msg_fld_name = '",A38,"' where cd = '9175E9E8DCAC389DF2B622D04DEB16B7';")</f>
        <v>0</v>
      </c>
      <c r="M38">
        <f t="array" ref="M38">CONCATENATE("update msg_out_fld set description = '",D38,"' where tab_name = 'PARTNER' and fld_name = 'WORLDCHECK_OK_CD';")</f>
        <v>0</v>
      </c>
    </row>
    <row r="39" spans="1:13">
      <c r="A39" t="s">
        <v>1718</v>
      </c>
      <c r="C39" t="s">
        <v>33</v>
      </c>
      <c r="D39" t="s">
        <v>1719</v>
      </c>
      <c r="H39" t="s">
        <v>1717</v>
      </c>
      <c r="K39">
        <f t="array" ref="K39">CONCATENATE("update msg_out_fld_config set msg_fld_name = '",A39,"' where cd = 'EB4B4FA4608BB57D964CD911CE69BB4D';")</f>
        <v>0</v>
      </c>
      <c r="M39">
        <f t="array" ref="M39">CONCATENATE("update msg_out_fld set description = '",D39,"' where tab_name = 'PARTNER' and fld_name = 'WORLDCHECK_OK_DATUM';")</f>
        <v>0</v>
      </c>
    </row>
    <row r="40" spans="1:13">
      <c r="A40" t="s">
        <v>1721</v>
      </c>
      <c r="C40" t="s">
        <v>870</v>
      </c>
      <c r="D40" t="s">
        <v>1722</v>
      </c>
      <c r="H40" t="s">
        <v>1720</v>
      </c>
      <c r="K40">
        <f t="array" ref="K40">CONCATENATE("update msg_out_fld_config set msg_fld_name = '",A40,"' where cd = 'B1469918FC375F3D82C955D60E6094AF';")</f>
        <v>0</v>
      </c>
      <c r="M40">
        <f t="array" ref="M40">CONCATENATE("update msg_out_fld set description = '",D40,"' where tab_name = 'PARTNER' and fld_name = 'WORLDCHECK_OK_BEMERKUNG';")</f>
        <v>0</v>
      </c>
    </row>
    <row r="41" spans="1:13">
      <c r="A41" t="s">
        <v>1724</v>
      </c>
      <c r="C41" t="s">
        <v>37</v>
      </c>
      <c r="D41" t="s">
        <v>1725</v>
      </c>
      <c r="E41" t="s">
        <v>39</v>
      </c>
      <c r="F41" t="s">
        <v>23</v>
      </c>
      <c r="H41" t="s">
        <v>1723</v>
      </c>
      <c r="K41">
        <f t="array" ref="K41">CONCATENATE("update msg_out_fld_config set msg_fld_name = '",A41,"' where cd = '8E7A525AF4EE5F0D12A2D0986B805C95';")</f>
        <v>0</v>
      </c>
      <c r="M41">
        <f t="array" ref="M41">CONCATENATE("update msg_out_fld set description = '",D41,"' where tab_name = 'PARTNER' and fld_name = 'WORLDCHECK_OK_USERID';")</f>
        <v>0</v>
      </c>
    </row>
    <row r="42" spans="1:13">
      <c r="A42" t="s">
        <v>1727</v>
      </c>
      <c r="C42" t="s">
        <v>171</v>
      </c>
      <c r="D42" t="s">
        <v>1728</v>
      </c>
      <c r="H42" t="s">
        <v>1726</v>
      </c>
      <c r="K42">
        <f t="array" ref="K42">CONCATENATE("update msg_out_fld_config set msg_fld_name = '",A42,"' where cd = '77BB2D2BEC806716796820C2AF1CF614';")</f>
        <v>0</v>
      </c>
      <c r="M42">
        <f t="array" ref="M42">CONCATENATE("update msg_out_fld set description = '",D42,"' where tab_name = 'PARTNER' and fld_name = 'EIGENHEITEN';")</f>
        <v>0</v>
      </c>
    </row>
    <row r="43" spans="1:13">
      <c r="A43" t="s">
        <v>733</v>
      </c>
      <c r="C43" t="s">
        <v>664</v>
      </c>
      <c r="D43" t="s">
        <v>734</v>
      </c>
      <c r="E43" t="s">
        <v>735</v>
      </c>
      <c r="F43" t="s">
        <v>23</v>
      </c>
      <c r="H43" t="s">
        <v>732</v>
      </c>
      <c r="K43">
        <f t="array" ref="K43">CONCATENATE("update msg_out_fld_config set msg_fld_name = '",A43,"' where cd = '61C2A7FFCBD0C59635CA70125B1956E1';")</f>
        <v>0</v>
      </c>
      <c r="M43">
        <f t="array" ref="M43">CONCATENATE("update msg_out_fld set description = '",D43,"' where tab_name = 'PARTNER' and fld_name = 'APSYS_IDTYPCLIIRSS';")</f>
        <v>0</v>
      </c>
    </row>
    <row r="44" spans="1:13">
      <c r="A44" t="s">
        <v>25</v>
      </c>
      <c r="C44" t="s">
        <v>26</v>
      </c>
      <c r="D44" t="s">
        <v>1729</v>
      </c>
      <c r="E44" t="s">
        <v>28</v>
      </c>
      <c r="F44" t="s">
        <v>29</v>
      </c>
      <c r="G44" t="s">
        <v>30</v>
      </c>
      <c r="H44" t="s">
        <v>24</v>
      </c>
      <c r="K44">
        <f t="array" ref="K44">CONCATENATE("update msg_out_fld_config set msg_fld_name = '",A44,"' where cd = 'A5D20A281B89F503457E44490FEA1DF8';")</f>
        <v>0</v>
      </c>
      <c r="M44">
        <f t="array" ref="M44">CONCATENATE("update msg_out_fld set description = '",D44,"' where tab_name = 'PARTNER' and fld_name = 'LOESCH_CD';")</f>
        <v>0</v>
      </c>
    </row>
    <row r="45" spans="1:13">
      <c r="A45" t="s">
        <v>32</v>
      </c>
      <c r="C45" t="s">
        <v>104</v>
      </c>
      <c r="D45" t="s">
        <v>1730</v>
      </c>
      <c r="H45" t="s">
        <v>31</v>
      </c>
      <c r="K45">
        <f t="array" ref="K45">CONCATENATE("update msg_out_fld_config set msg_fld_name = '",A45,"' where cd = 'D53649EF7DF8E63B448A12F53869C269';")</f>
        <v>0</v>
      </c>
      <c r="M45">
        <f t="array" ref="M45">CONCATENATE("update msg_out_fld set description = '",D45,"' where tab_name = 'PARTNER' and fld_name = 'LOESCHDATUM';")</f>
        <v>0</v>
      </c>
    </row>
    <row r="46" spans="1:13">
      <c r="A46" t="s">
        <v>1732</v>
      </c>
      <c r="C46" t="s">
        <v>26</v>
      </c>
      <c r="D46" t="s">
        <v>1733</v>
      </c>
      <c r="E46" t="s">
        <v>562</v>
      </c>
      <c r="F46" t="s">
        <v>29</v>
      </c>
      <c r="G46" t="s">
        <v>30</v>
      </c>
      <c r="H46" t="s">
        <v>1731</v>
      </c>
      <c r="K46">
        <f t="array" ref="K46">CONCATENATE("update msg_out_fld_config set msg_fld_name = '",A46,"' where cd = '299283D835D401A2ED677776A6F7DFA2';")</f>
        <v>0</v>
      </c>
      <c r="M46">
        <f t="array" ref="M46">CONCATENATE("update msg_out_fld set description = '",D46,"' where tab_name = 'PARTNER' and fld_name = 'COMPANY_MANAGED_BY_BO_CD';")</f>
        <v>0</v>
      </c>
    </row>
    <row r="47" spans="1:13">
      <c r="A47" t="s">
        <v>1735</v>
      </c>
      <c r="C47" t="s">
        <v>26</v>
      </c>
      <c r="D47" t="s">
        <v>1736</v>
      </c>
      <c r="E47" t="s">
        <v>28</v>
      </c>
      <c r="F47" t="s">
        <v>29</v>
      </c>
      <c r="G47" t="s">
        <v>30</v>
      </c>
      <c r="H47" t="s">
        <v>1734</v>
      </c>
      <c r="K47">
        <f t="array" ref="K47">CONCATENATE("update msg_out_fld_config set msg_fld_name = '",A47,"' where cd = '7A1B758F6657A3C93823DC35521C48A2';")</f>
        <v>0</v>
      </c>
      <c r="M47">
        <f t="array" ref="M47">CONCATENATE("update msg_out_fld set description = '",D47,"' where tab_name = 'PARTNER' and fld_name = 'COMPLIANCE_OK_CD';")</f>
        <v>0</v>
      </c>
    </row>
    <row r="48" spans="1:13">
      <c r="A48" t="s">
        <v>1738</v>
      </c>
      <c r="C48" t="s">
        <v>33</v>
      </c>
      <c r="D48" t="s">
        <v>1739</v>
      </c>
      <c r="H48" t="s">
        <v>1737</v>
      </c>
      <c r="K48">
        <f t="array" ref="K48">CONCATENATE("update msg_out_fld_config set msg_fld_name = '",A48,"' where cd = '23D7F9FF4F7D645D355DCEDDC91D2408';")</f>
        <v>0</v>
      </c>
      <c r="M48">
        <f t="array" ref="M48">CONCATENATE("update msg_out_fld set description = '",D48,"' where tab_name = 'PARTNER' and fld_name = 'COMPLIANCE_OK_DATUM';")</f>
        <v>0</v>
      </c>
    </row>
    <row r="49" spans="1:13">
      <c r="A49" t="s">
        <v>1741</v>
      </c>
      <c r="C49" t="s">
        <v>37</v>
      </c>
      <c r="D49" t="s">
        <v>1742</v>
      </c>
      <c r="E49" t="s">
        <v>39</v>
      </c>
      <c r="F49" t="s">
        <v>23</v>
      </c>
      <c r="H49" t="s">
        <v>1740</v>
      </c>
      <c r="K49">
        <f t="array" ref="K49">CONCATENATE("update msg_out_fld_config set msg_fld_name = '",A49,"' where cd = '4710116674BBB25FE3D82184267363C0';")</f>
        <v>0</v>
      </c>
      <c r="M49">
        <f t="array" ref="M49">CONCATENATE("update msg_out_fld set description = '",D49,"' where tab_name = 'PARTNER' and fld_name = 'COMPLIANCE_OK_USERID';")</f>
        <v>0</v>
      </c>
    </row>
    <row r="50" spans="1:13">
      <c r="A50" t="s">
        <v>1744</v>
      </c>
      <c r="C50" t="s">
        <v>42</v>
      </c>
      <c r="D50" t="s">
        <v>1745</v>
      </c>
      <c r="H50" t="s">
        <v>1743</v>
      </c>
      <c r="K50">
        <f t="array" ref="K50">CONCATENATE("update msg_out_fld_config set msg_fld_name = '",A50,"' where cd = '933ACEF77290C846A2865C5A39D3D427';")</f>
        <v>0</v>
      </c>
      <c r="M50">
        <f t="array" ref="M50">CONCATENATE("update msg_out_fld set description = '",D50,"' where tab_name = 'PARTNER' and fld_name = 'KONTAKTDURCH';")</f>
        <v>0</v>
      </c>
    </row>
    <row r="51" spans="1:13">
      <c r="A51" t="s">
        <v>1747</v>
      </c>
      <c r="C51" t="s">
        <v>26</v>
      </c>
      <c r="D51" t="s">
        <v>1748</v>
      </c>
      <c r="E51" t="s">
        <v>1749</v>
      </c>
      <c r="F51" t="s">
        <v>29</v>
      </c>
      <c r="G51" t="s">
        <v>1750</v>
      </c>
      <c r="H51" t="s">
        <v>1746</v>
      </c>
      <c r="K51">
        <f t="array" ref="K51">CONCATENATE("update msg_out_fld_config set msg_fld_name = '",A51,"' where cd = 'BE2F7691327BD27D8AF38A9586F9E473';")</f>
        <v>0</v>
      </c>
      <c r="M51">
        <f t="array" ref="M51">CONCATENATE("update msg_out_fld set description = '",D51,"' where tab_name = 'PARTNER' and fld_name = 'KONTAKT_ERWUENSCHT_CD';")</f>
        <v>0</v>
      </c>
    </row>
    <row r="52" spans="1:13">
      <c r="A52" t="s">
        <v>1752</v>
      </c>
      <c r="C52" t="s">
        <v>42</v>
      </c>
      <c r="D52" t="s">
        <v>1753</v>
      </c>
      <c r="H52" t="s">
        <v>1751</v>
      </c>
      <c r="K52">
        <f t="array" ref="K52">CONCATENATE("update msg_out_fld_config set msg_fld_name = '",A52,"' where cd = '9538A918A06148CA32D6728E454057CD';")</f>
        <v>0</v>
      </c>
      <c r="M52">
        <f t="array" ref="M52">CONCATENATE("update msg_out_fld set description = '",D52,"' where tab_name = 'PARTNER' and fld_name = 'KONTAKTBEMERKUNG';")</f>
        <v>0</v>
      </c>
    </row>
    <row r="53" spans="1:13">
      <c r="A53" t="s">
        <v>1755</v>
      </c>
      <c r="C53" t="s">
        <v>37</v>
      </c>
      <c r="D53" t="s">
        <v>1756</v>
      </c>
      <c r="H53" t="s">
        <v>1754</v>
      </c>
      <c r="K53">
        <f t="array" ref="K53">CONCATENATE("update msg_out_fld_config set msg_fld_name = '",A53,"' where cd = 'FE13914288F190CEB0B8587956AA9ECD';")</f>
        <v>0</v>
      </c>
      <c r="M53">
        <f t="array" ref="M53">CONCATENATE("update msg_out_fld set description = '",D53,"' where tab_name = 'PARTNER' and fld_name = 'ANSPRECHPERSON';")</f>
        <v>0</v>
      </c>
    </row>
    <row r="54" spans="1:13">
      <c r="A54" t="s">
        <v>1758</v>
      </c>
      <c r="C54" t="s">
        <v>75</v>
      </c>
      <c r="D54" t="s">
        <v>1759</v>
      </c>
      <c r="H54" t="s">
        <v>1757</v>
      </c>
      <c r="K54">
        <f t="array" ref="K54">CONCATENATE("update msg_out_fld_config set msg_fld_name = '",A54,"' where cd = 'EC2F869CAFE34A5E3B98201AB7ED36BE';")</f>
        <v>0</v>
      </c>
      <c r="M54">
        <f t="array" ref="M54">CONCATENATE("update msg_out_fld set description = '",D54,"' where tab_name = 'PARTNER' and fld_name = 'KOMMENTAR';")</f>
        <v>0</v>
      </c>
    </row>
    <row r="55" spans="1:13">
      <c r="A55" t="s">
        <v>1761</v>
      </c>
      <c r="C55" t="s">
        <v>104</v>
      </c>
      <c r="D55" t="s">
        <v>1762</v>
      </c>
      <c r="H55" t="s">
        <v>1760</v>
      </c>
      <c r="K55">
        <f t="array" ref="K55">CONCATENATE("update msg_out_fld_config set msg_fld_name = '",A55,"' where cd = 'C34F41238AA489E38ED07B87D98B3D69';")</f>
        <v>0</v>
      </c>
      <c r="M55">
        <f t="array" ref="M55">CONCATENATE("update msg_out_fld set description = '",D55,"' where tab_name = 'PARTNER' and fld_name = 'KONTAKTSEIT';")</f>
        <v>0</v>
      </c>
    </row>
    <row r="56" spans="1:13">
      <c r="A56" t="s">
        <v>1763</v>
      </c>
      <c r="C56" t="s">
        <v>68</v>
      </c>
      <c r="D56" t="s">
        <v>1764</v>
      </c>
      <c r="E56" t="s">
        <v>1765</v>
      </c>
      <c r="F56" t="s">
        <v>23</v>
      </c>
      <c r="H56" t="s">
        <v>1271</v>
      </c>
      <c r="K56">
        <f t="array" ref="K56">CONCATENATE("update msg_out_fld_config set msg_fld_name = '",A56,"' where cd = '0E561FF8981A4BED591981146CC6D955';")</f>
        <v>0</v>
      </c>
      <c r="M56">
        <f t="array" ref="M56">CONCATENATE("update msg_out_fld set description = '",D56,"' where tab_name = 'PARTNER' and fld_name = 'KONTAKTMOEGLICHKEIT_CD';")</f>
        <v>0</v>
      </c>
    </row>
    <row r="57" spans="1:13">
      <c r="A57" t="s">
        <v>1767</v>
      </c>
      <c r="C57" t="s">
        <v>16</v>
      </c>
      <c r="D57" t="s">
        <v>1768</v>
      </c>
      <c r="H57" t="s">
        <v>1766</v>
      </c>
      <c r="K57">
        <f t="array" ref="K57">CONCATENATE("update msg_out_fld_config set msg_fld_name = '",A57,"' where cd = '744BB42B669E86BE669E884B3DED4475';")</f>
        <v>0</v>
      </c>
      <c r="M57">
        <f t="array" ref="M57">CONCATENATE("update msg_out_fld set description = '",D57,"' where tab_name = 'PARTNER' and fld_name = 'COREBANKING_AGENT_CODE';")</f>
        <v>0</v>
      </c>
    </row>
    <row r="58" spans="1:13">
      <c r="A58" t="s">
        <v>1770</v>
      </c>
      <c r="C58" t="s">
        <v>20</v>
      </c>
      <c r="D58" t="s">
        <v>1771</v>
      </c>
      <c r="E58" t="s">
        <v>112</v>
      </c>
      <c r="F58" t="s">
        <v>23</v>
      </c>
      <c r="H58" t="s">
        <v>1769</v>
      </c>
      <c r="K58">
        <f t="array" ref="K58">CONCATENATE("update msg_out_fld_config set msg_fld_name = '",A58,"' where cd = '9BF2A616AD3D13C757FB7D8624848AE5';")</f>
        <v>0</v>
      </c>
      <c r="M58">
        <f t="array" ref="M58">CONCATENATE("update msg_out_fld set description = '",D58,"' where tab_name = 'PARTNER' and fld_name = 'APSYS_DOMIS';")</f>
        <v>0</v>
      </c>
    </row>
    <row r="59" spans="1:13">
      <c r="A59" t="s">
        <v>45</v>
      </c>
      <c r="C59" t="s">
        <v>33</v>
      </c>
      <c r="D59" t="s">
        <v>1772</v>
      </c>
      <c r="H59" t="s">
        <v>44</v>
      </c>
      <c r="K59">
        <f t="array" ref="K59">CONCATENATE("update msg_out_fld_config set msg_fld_name = '",A59,"' where cd = 'A46EB8400A66FB67C598EA36B21A9C8C';")</f>
        <v>0</v>
      </c>
      <c r="M59">
        <f t="array" ref="M59">CONCATENATE("update msg_out_fld set description = '",D59,"' where tab_name = 'PARTNER' and fld_name = 'CRTDATUM';")</f>
        <v>0</v>
      </c>
    </row>
    <row r="60" spans="1:13">
      <c r="A60" t="s">
        <v>48</v>
      </c>
      <c r="C60" t="s">
        <v>37</v>
      </c>
      <c r="D60" t="s">
        <v>1773</v>
      </c>
      <c r="E60" t="s">
        <v>39</v>
      </c>
      <c r="F60" t="s">
        <v>23</v>
      </c>
      <c r="H60" t="s">
        <v>47</v>
      </c>
      <c r="K60">
        <f t="array" ref="K60">CONCATENATE("update msg_out_fld_config set msg_fld_name = '",A60,"' where cd = '6B75C046FE10915D820F6D6133D810A8';")</f>
        <v>0</v>
      </c>
      <c r="M60">
        <f t="array" ref="M60">CONCATENATE("update msg_out_fld set description = '",D60,"' where tab_name = 'PARTNER' and fld_name = 'CRTUSER';")</f>
        <v>0</v>
      </c>
    </row>
    <row r="61" spans="1:13">
      <c r="A61" t="s">
        <v>1775</v>
      </c>
      <c r="C61" t="s">
        <v>26</v>
      </c>
      <c r="D61" t="s">
        <v>1776</v>
      </c>
      <c r="E61" t="s">
        <v>28</v>
      </c>
      <c r="F61" t="s">
        <v>29</v>
      </c>
      <c r="G61" t="s">
        <v>30</v>
      </c>
      <c r="H61" t="s">
        <v>1774</v>
      </c>
      <c r="K61">
        <f t="array" ref="K61">CONCATENATE("update msg_out_fld_config set msg_fld_name = '",A61,"' where cd = 'A213CDE8C3ACF6D15208332B7D189306';")</f>
        <v>0</v>
      </c>
      <c r="M61">
        <f t="array" ref="M61">CONCATENATE("update msg_out_fld set description = '",D61,"' where tab_name = 'PARTNER' and fld_name = 'GESTORBEN_CD';")</f>
        <v>0</v>
      </c>
    </row>
    <row r="62" spans="1:13">
      <c r="A62" t="s">
        <v>1778</v>
      </c>
      <c r="C62" t="s">
        <v>104</v>
      </c>
      <c r="D62" t="s">
        <v>1779</v>
      </c>
      <c r="H62" t="s">
        <v>1777</v>
      </c>
      <c r="K62">
        <f t="array" ref="K62">CONCATENATE("update msg_out_fld_config set msg_fld_name = '",A62,"' where cd = '6E6236337BFD89D95310DAFA87B6C884';")</f>
        <v>0</v>
      </c>
      <c r="M62">
        <f t="array" ref="M62">CONCATENATE("update msg_out_fld set description = '",D62,"' where tab_name = 'PARTNER' and fld_name = 'GEBURTSDATUM';")</f>
        <v>0</v>
      </c>
    </row>
    <row r="63" spans="1:13">
      <c r="A63" t="s">
        <v>1781</v>
      </c>
      <c r="C63" t="s">
        <v>26</v>
      </c>
      <c r="D63" t="s">
        <v>1782</v>
      </c>
      <c r="E63" t="s">
        <v>28</v>
      </c>
      <c r="F63" t="s">
        <v>29</v>
      </c>
      <c r="G63" t="s">
        <v>30</v>
      </c>
      <c r="H63" t="s">
        <v>1780</v>
      </c>
      <c r="K63">
        <f t="array" ref="K63">CONCATENATE("update msg_out_fld_config set msg_fld_name = '",A63,"' where cd = 'DED355263C90D6FB91AF46AF92EC5995';")</f>
        <v>0</v>
      </c>
      <c r="M63">
        <f t="array" ref="M63">CONCATENATE("update msg_out_fld set description = '",D63,"' where tab_name = 'PARTNER' and fld_name = 'DOCUMENTATION_OK_CD';")</f>
        <v>0</v>
      </c>
    </row>
    <row r="64" spans="1:13">
      <c r="A64" t="s">
        <v>1784</v>
      </c>
      <c r="C64" t="s">
        <v>33</v>
      </c>
      <c r="D64" t="s">
        <v>1785</v>
      </c>
      <c r="H64" t="s">
        <v>1783</v>
      </c>
      <c r="K64">
        <f t="array" ref="K64">CONCATENATE("update msg_out_fld_config set msg_fld_name = '",A64,"' where cd = '17902CB7A57DCC86183773A0053472B2';")</f>
        <v>0</v>
      </c>
      <c r="M64">
        <f t="array" ref="M64">CONCATENATE("update msg_out_fld set description = '",D64,"' where tab_name = 'PARTNER' and fld_name = 'DOCUMENTATION_OK_DATUM';")</f>
        <v>0</v>
      </c>
    </row>
    <row r="65" spans="1:13">
      <c r="A65" t="s">
        <v>1787</v>
      </c>
      <c r="C65" t="s">
        <v>37</v>
      </c>
      <c r="D65" t="s">
        <v>1788</v>
      </c>
      <c r="E65" t="s">
        <v>39</v>
      </c>
      <c r="F65" t="s">
        <v>23</v>
      </c>
      <c r="H65" t="s">
        <v>1786</v>
      </c>
      <c r="K65">
        <f t="array" ref="K65">CONCATENATE("update msg_out_fld_config set msg_fld_name = '",A65,"' where cd = 'D96188C34BCBA7E60D60D711E4F7CAE3';")</f>
        <v>0</v>
      </c>
      <c r="M65">
        <f t="array" ref="M65">CONCATENATE("update msg_out_fld set description = '",D65,"' where tab_name = 'PARTNER' and fld_name = 'DOCUMENTATION_OK_USERID';")</f>
        <v>0</v>
      </c>
    </row>
    <row r="66" spans="1:13">
      <c r="A66" t="s">
        <v>1790</v>
      </c>
      <c r="C66" t="s">
        <v>104</v>
      </c>
      <c r="D66" t="s">
        <v>1791</v>
      </c>
      <c r="H66" t="s">
        <v>1789</v>
      </c>
      <c r="K66">
        <f t="array" ref="K66">CONCATENATE("update msg_out_fld_config set msg_fld_name = '",A66,"' where cd = 'C4AF3112586E9F358AC0A34B07C3242B';")</f>
        <v>0</v>
      </c>
      <c r="M66">
        <f t="array" ref="M66">CONCATENATE("update msg_out_fld set description = '",D66,"' where tab_name = 'PARTNER' and fld_name = 'STERBEDATUM';")</f>
        <v>0</v>
      </c>
    </row>
    <row r="67" spans="1:13">
      <c r="A67" t="s">
        <v>1793</v>
      </c>
      <c r="C67" t="s">
        <v>671</v>
      </c>
      <c r="D67" t="s">
        <v>1794</v>
      </c>
      <c r="H67" t="s">
        <v>1792</v>
      </c>
      <c r="K67">
        <f t="array" ref="K67">CONCATENATE("update msg_out_fld_config set msg_fld_name = '",A67,"' where cd = '35E70E3F6DF879B533B4E6C826A80B38';")</f>
        <v>0</v>
      </c>
      <c r="M67">
        <f t="array" ref="M67">CONCATENATE("update msg_out_fld set description = '",D67,"' where tab_name = 'PARTNER' and fld_name = 'WIRTSCHAFTLICHER_HINTERGRUND';")</f>
        <v>0</v>
      </c>
    </row>
    <row r="68" spans="1:13">
      <c r="A68" t="s">
        <v>1796</v>
      </c>
      <c r="C68" t="s">
        <v>26</v>
      </c>
      <c r="D68" t="s">
        <v>1797</v>
      </c>
      <c r="E68" t="s">
        <v>28</v>
      </c>
      <c r="F68" t="s">
        <v>29</v>
      </c>
      <c r="G68" t="s">
        <v>30</v>
      </c>
      <c r="H68" t="s">
        <v>1795</v>
      </c>
      <c r="K68">
        <f t="array" ref="K68">CONCATENATE("update msg_out_fld_config set msg_fld_name = '",A68,"' where cd = 'FDCCF34A143DD36450C7E4D7D4FEB423';")</f>
        <v>0</v>
      </c>
      <c r="M68">
        <f t="array" ref="M68">CONCATENATE("update msg_out_fld set description = '",D68,"' where tab_name = 'PARTNER' and fld_name = 'ECONOMIC_BACKGROUND_OK_CD';")</f>
        <v>0</v>
      </c>
    </row>
    <row r="69" spans="1:13">
      <c r="A69" t="s">
        <v>1799</v>
      </c>
      <c r="C69" t="s">
        <v>33</v>
      </c>
      <c r="D69" t="s">
        <v>1800</v>
      </c>
      <c r="H69" t="s">
        <v>1798</v>
      </c>
      <c r="K69">
        <f t="array" ref="K69">CONCATENATE("update msg_out_fld_config set msg_fld_name = '",A69,"' where cd = '64DE8633F53F047FB731BAA39F089E00';")</f>
        <v>0</v>
      </c>
      <c r="M69">
        <f t="array" ref="M69">CONCATENATE("update msg_out_fld set description = '",D69,"' where tab_name = 'PARTNER' and fld_name = 'ECONOMIC_BACKGROUND_OK_DATUM';")</f>
        <v>0</v>
      </c>
    </row>
    <row r="70" spans="1:13">
      <c r="A70" t="s">
        <v>1802</v>
      </c>
      <c r="C70" t="s">
        <v>37</v>
      </c>
      <c r="D70" t="s">
        <v>1803</v>
      </c>
      <c r="E70" t="s">
        <v>39</v>
      </c>
      <c r="F70" t="s">
        <v>23</v>
      </c>
      <c r="H70" t="s">
        <v>1801</v>
      </c>
      <c r="K70">
        <f t="array" ref="K70">CONCATENATE("update msg_out_fld_config set msg_fld_name = '",A70,"' where cd = 'F4544594BD74681D2941884882C796D2';")</f>
        <v>0</v>
      </c>
      <c r="M70">
        <f t="array" ref="M70">CONCATENATE("update msg_out_fld set description = '",D70,"' where tab_name = 'PARTNER' and fld_name = 'ECONOMIC_BACKGROUND_OK_USERID';")</f>
        <v>0</v>
      </c>
    </row>
    <row r="71" spans="1:13">
      <c r="A71" t="s">
        <v>1805</v>
      </c>
      <c r="C71" t="s">
        <v>16</v>
      </c>
      <c r="D71" t="s">
        <v>1806</v>
      </c>
      <c r="H71" t="s">
        <v>1804</v>
      </c>
      <c r="K71">
        <f t="array" ref="K71">CONCATENATE("update msg_out_fld_config set msg_fld_name = '",A71,"' where cd = 'C76B3FBB53D2A5BF00C5D365C55DAE7C';")</f>
        <v>0</v>
      </c>
      <c r="M71">
        <f t="array" ref="M71">CONCATENATE("update msg_out_fld set description = '",D71,"' where tab_name = 'PARTNER' and fld_name = 'EIN_CODE';")</f>
        <v>0</v>
      </c>
    </row>
    <row r="72" spans="1:13">
      <c r="A72" t="s">
        <v>1808</v>
      </c>
      <c r="C72" t="s">
        <v>1298</v>
      </c>
      <c r="D72" t="s">
        <v>1809</v>
      </c>
      <c r="H72" t="s">
        <v>1807</v>
      </c>
      <c r="K72">
        <f t="array" ref="K72">CONCATENATE("update msg_out_fld_config set msg_fld_name = '",A72,"' where cd = '69887A7985B4F8A986E8F85A4A372D64';")</f>
        <v>0</v>
      </c>
      <c r="M72">
        <f t="array" ref="M72">CONCATENATE("update msg_out_fld set description = '",D72,"' where tab_name = 'PARTNER' and fld_name = 'ARBEITGEBER';")</f>
        <v>0</v>
      </c>
    </row>
    <row r="73" spans="1:13">
      <c r="A73" t="s">
        <v>1810</v>
      </c>
      <c r="C73" t="s">
        <v>68</v>
      </c>
      <c r="D73" t="s">
        <v>1811</v>
      </c>
      <c r="E73" t="s">
        <v>1812</v>
      </c>
      <c r="F73" t="s">
        <v>23</v>
      </c>
      <c r="H73" t="s">
        <v>1617</v>
      </c>
      <c r="K73">
        <f t="array" ref="K73">CONCATENATE("update msg_out_fld_config set msg_fld_name = '",A73,"' where cd = '0A3CB87E1BFDCA1722AF1D0810990891';")</f>
        <v>0</v>
      </c>
      <c r="M73">
        <f t="array" ref="M73">CONCATENATE("update msg_out_fld set description = '",D73,"' where tab_name = 'PARTNER' and fld_name = 'EINKOMMEN_CD';")</f>
        <v>0</v>
      </c>
    </row>
    <row r="74" spans="1:13">
      <c r="A74" t="s">
        <v>1814</v>
      </c>
      <c r="C74" t="s">
        <v>20</v>
      </c>
      <c r="D74" t="s">
        <v>1815</v>
      </c>
      <c r="E74" t="s">
        <v>112</v>
      </c>
      <c r="F74" t="s">
        <v>23</v>
      </c>
      <c r="H74" t="s">
        <v>1813</v>
      </c>
      <c r="K74">
        <f t="array" ref="K74">CONCATENATE("update msg_out_fld_config set msg_fld_name = '",A74,"' where cd = 'A6C57D0E4B4D1B9FA46A72363A2931AF';")</f>
        <v>0</v>
      </c>
      <c r="M74">
        <f t="array" ref="M74">CONCATENATE("update msg_out_fld set description = '",D74,"' where tab_name = 'PARTNER' and fld_name = 'EU_TAXDOMIZIL_CD';")</f>
        <v>0</v>
      </c>
    </row>
    <row r="75" spans="1:13">
      <c r="A75" t="s">
        <v>1816</v>
      </c>
      <c r="C75" t="s">
        <v>68</v>
      </c>
      <c r="D75" t="s">
        <v>1817</v>
      </c>
      <c r="E75" t="s">
        <v>1818</v>
      </c>
      <c r="F75" t="s">
        <v>23</v>
      </c>
      <c r="H75" t="s">
        <v>1563</v>
      </c>
      <c r="K75">
        <f t="array" ref="K75">CONCATENATE("update msg_out_fld_config set msg_fld_name = '",A75,"' where cd = '3BC8A67BA6C1CC43F6893886F32F2054';")</f>
        <v>0</v>
      </c>
      <c r="M75">
        <f t="array" ref="M75">CONCATENATE("update msg_out_fld set description = '",D75,"' where tab_name = 'PARTNER' and fld_name = 'VERPFLICHTUNGSART_CD';")</f>
        <v>0</v>
      </c>
    </row>
    <row r="76" spans="1:13">
      <c r="A76" t="s">
        <v>1820</v>
      </c>
      <c r="C76" t="s">
        <v>42</v>
      </c>
      <c r="D76" t="s">
        <v>1821</v>
      </c>
      <c r="H76" t="s">
        <v>1819</v>
      </c>
      <c r="K76">
        <f t="array" ref="K76">CONCATENATE("update msg_out_fld_config set msg_fld_name = '",A76,"' where cd = '55F7C5C6EE1FD072A2CC28C07993E144';")</f>
        <v>0</v>
      </c>
      <c r="M76">
        <f t="array" ref="M76">CONCATENATE("update msg_out_fld set description = '",D76,"' where tab_name = 'PARTNER' and fld_name = 'VERPFLICHTUNGBEI';")</f>
        <v>0</v>
      </c>
    </row>
    <row r="77" spans="1:13">
      <c r="A77" t="s">
        <v>1823</v>
      </c>
      <c r="C77" t="s">
        <v>275</v>
      </c>
      <c r="D77" t="s">
        <v>1824</v>
      </c>
      <c r="E77" t="s">
        <v>1825</v>
      </c>
      <c r="F77" t="s">
        <v>23</v>
      </c>
      <c r="H77" t="s">
        <v>1822</v>
      </c>
      <c r="K77">
        <f t="array" ref="K77">CONCATENATE("update msg_out_fld_config set msg_fld_name = '",A77,"' where cd = 'EA1DADAB99F6B1F5AAC742C06C5F16E1';")</f>
        <v>0</v>
      </c>
      <c r="M77">
        <f t="array" ref="M77">CONCATENATE("update msg_out_fld set description = '",D77,"' where tab_name = 'PARTNER' and fld_name = 'FATCA_STATUS_CD';")</f>
        <v>0</v>
      </c>
    </row>
    <row r="78" spans="1:13">
      <c r="A78" t="s">
        <v>1827</v>
      </c>
      <c r="C78" t="s">
        <v>90</v>
      </c>
      <c r="D78" t="s">
        <v>1828</v>
      </c>
      <c r="E78" t="s">
        <v>1829</v>
      </c>
      <c r="F78" t="s">
        <v>23</v>
      </c>
      <c r="H78" t="s">
        <v>1826</v>
      </c>
      <c r="K78">
        <f t="array" ref="K78">CONCATENATE("update msg_out_fld_config set msg_fld_name = '",A78,"' where cd = '111374AC0B5F92131DE3FF9814C66CAE';")</f>
        <v>0</v>
      </c>
      <c r="M78">
        <f t="array" ref="M78">CONCATENATE("update msg_out_fld set description = '",D78,"' where tab_name = 'PARTNER' and fld_name = 'FATCA_PARTNER_TYPE_CD';")</f>
        <v>0</v>
      </c>
    </row>
    <row r="79" spans="1:13">
      <c r="A79" t="s">
        <v>1831</v>
      </c>
      <c r="C79" t="s">
        <v>90</v>
      </c>
      <c r="D79" t="s">
        <v>1832</v>
      </c>
      <c r="E79" t="s">
        <v>1833</v>
      </c>
      <c r="F79" t="s">
        <v>23</v>
      </c>
      <c r="H79" t="s">
        <v>1830</v>
      </c>
      <c r="K79">
        <f t="array" ref="K79">CONCATENATE("update msg_out_fld_config set msg_fld_name = '",A79,"' where cd = '4AEA50F5D2F27E0B165230071F3EA032';")</f>
        <v>0</v>
      </c>
      <c r="M79">
        <f t="array" ref="M79">CONCATENATE("update msg_out_fld set description = '",D79,"' where tab_name = 'PARTNER' and fld_name = 'FATCA_NONUS_PARTNER_TYPE_CD';")</f>
        <v>0</v>
      </c>
    </row>
    <row r="80" spans="1:13">
      <c r="A80" t="s">
        <v>120</v>
      </c>
      <c r="C80" t="s">
        <v>1087</v>
      </c>
      <c r="D80" t="s">
        <v>121</v>
      </c>
      <c r="H80" t="s">
        <v>119</v>
      </c>
      <c r="K80">
        <f t="array" ref="K80">CONCATENATE("update msg_out_fld_config set msg_fld_name = '",A80,"' where cd = '4CBC9CB29065FB81FB566A2D72A47903';")</f>
        <v>0</v>
      </c>
      <c r="M80">
        <f t="array" ref="M80">CONCATENATE("update msg_out_fld set description = '",D80,"' where tab_name = 'PARTNER' and fld_name = 'VORNAME';")</f>
        <v>0</v>
      </c>
    </row>
    <row r="81" spans="1:13">
      <c r="A81" t="s">
        <v>1835</v>
      </c>
      <c r="C81" t="s">
        <v>26</v>
      </c>
      <c r="D81" t="s">
        <v>1836</v>
      </c>
      <c r="E81" t="s">
        <v>28</v>
      </c>
      <c r="F81" t="s">
        <v>29</v>
      </c>
      <c r="G81" t="s">
        <v>30</v>
      </c>
      <c r="H81" t="s">
        <v>1834</v>
      </c>
      <c r="K81">
        <f t="array" ref="K81">CONCATENATE("update msg_out_fld_config set msg_fld_name = '",A81,"' where cd = 'A8866525E581189B762DED0D14C62CFF';")</f>
        <v>0</v>
      </c>
      <c r="M81">
        <f t="array" ref="M81">CONCATENATE("update msg_out_fld set description = '",D81,"' where tab_name = 'PARTNER' and fld_name = 'FOUNDINBLACKLIST_CD';")</f>
        <v>0</v>
      </c>
    </row>
    <row r="82" spans="1:13">
      <c r="A82" t="s">
        <v>1838</v>
      </c>
      <c r="C82" t="s">
        <v>20</v>
      </c>
      <c r="D82" t="s">
        <v>1839</v>
      </c>
      <c r="E82" t="s">
        <v>112</v>
      </c>
      <c r="F82" t="s">
        <v>23</v>
      </c>
      <c r="H82" t="s">
        <v>1837</v>
      </c>
      <c r="K82">
        <f t="array" ref="K82">CONCATENATE("update msg_out_fld_config set msg_fld_name = '",A82,"' where cd = '7AA844033FB5C762F92802F2551F6876';")</f>
        <v>0</v>
      </c>
      <c r="M82">
        <f t="array" ref="M82">CONCATENATE("update msg_out_fld set description = '",D82,"' where tab_name = 'PARTNER' and fld_name = 'STEUERLAND_ABGST_CD';")</f>
        <v>0</v>
      </c>
    </row>
    <row r="83" spans="1:13">
      <c r="A83" t="s">
        <v>1840</v>
      </c>
      <c r="C83" t="s">
        <v>26</v>
      </c>
      <c r="D83" t="s">
        <v>1607</v>
      </c>
      <c r="E83" t="s">
        <v>1841</v>
      </c>
      <c r="F83" t="s">
        <v>23</v>
      </c>
      <c r="H83" t="s">
        <v>1605</v>
      </c>
      <c r="K83">
        <f t="array" ref="K83">CONCATENATE("update msg_out_fld_config set msg_fld_name = '",A83,"' where cd = 'E9C66C7B1290026B9D3E1A367AFE936F';")</f>
        <v>0</v>
      </c>
      <c r="M83">
        <f t="array" ref="M83">CONCATENATE("update msg_out_fld set description = '",D83,"' where tab_name = 'PARTNER' and fld_name = 'GESCHLECHT_CD';")</f>
        <v>0</v>
      </c>
    </row>
    <row r="84" spans="1:13">
      <c r="A84" t="s">
        <v>1843</v>
      </c>
      <c r="C84" t="s">
        <v>42</v>
      </c>
      <c r="D84" t="s">
        <v>1844</v>
      </c>
      <c r="H84" t="s">
        <v>1842</v>
      </c>
      <c r="K84">
        <f t="array" ref="K84">CONCATENATE("update msg_out_fld_config set msg_fld_name = '",A84,"' where cd = 'D1E22E043D914715A3178840F4F649F0';")</f>
        <v>0</v>
      </c>
      <c r="M84">
        <f t="array" ref="M84">CONCATENATE("update msg_out_fld set description = '",D84,"' where tab_name = 'PARTNER' and fld_name = 'HOBBYS';")</f>
        <v>0</v>
      </c>
    </row>
    <row r="85" spans="1:13">
      <c r="A85" t="s">
        <v>1846</v>
      </c>
      <c r="C85" t="s">
        <v>758</v>
      </c>
      <c r="D85" t="s">
        <v>1847</v>
      </c>
      <c r="E85" t="s">
        <v>1848</v>
      </c>
      <c r="F85" t="s">
        <v>23</v>
      </c>
      <c r="H85" t="s">
        <v>1845</v>
      </c>
      <c r="K85">
        <f t="array" ref="K85">CONCATENATE("update msg_out_fld_config set msg_fld_name = '",A85,"' where cd = '6481E51B32931A61D2EEF210E32421D1';")</f>
        <v>0</v>
      </c>
      <c r="M85">
        <f t="array" ref="M85">CONCATENATE("update msg_out_fld set description = '",D85,"' where tab_name = 'PARTNER' and fld_name = 'BRANCHE_CD';")</f>
        <v>0</v>
      </c>
    </row>
    <row r="86" spans="1:13">
      <c r="A86" t="s">
        <v>1850</v>
      </c>
      <c r="C86" t="s">
        <v>26</v>
      </c>
      <c r="D86" t="s">
        <v>1851</v>
      </c>
      <c r="E86" t="s">
        <v>28</v>
      </c>
      <c r="F86" t="s">
        <v>29</v>
      </c>
      <c r="G86" t="s">
        <v>30</v>
      </c>
      <c r="H86" t="s">
        <v>1849</v>
      </c>
      <c r="K86">
        <f t="array" ref="K86">CONCATENATE("update msg_out_fld_config set msg_fld_name = '",A86,"' where cd = '1C518A0FC4AEB537B1448622CB9D2725';")</f>
        <v>0</v>
      </c>
      <c r="M86">
        <f t="array" ref="M86">CONCATENATE("update msg_out_fld set description = '",D86,"' where tab_name = 'PARTNER' and fld_name = 'ERBSCHAFTEN_CD';")</f>
        <v>0</v>
      </c>
    </row>
    <row r="87" spans="1:13">
      <c r="A87" t="s">
        <v>1853</v>
      </c>
      <c r="C87" t="s">
        <v>42</v>
      </c>
      <c r="D87" t="s">
        <v>1854</v>
      </c>
      <c r="H87" t="s">
        <v>1852</v>
      </c>
      <c r="K87">
        <f t="array" ref="K87">CONCATENATE("update msg_out_fld_config set msg_fld_name = '",A87,"' where cd = 'E93A8113C8276D5CCFE4CC2832FC2BB9';")</f>
        <v>0</v>
      </c>
      <c r="M87">
        <f t="array" ref="M87">CONCATENATE("update msg_out_fld set description = '",D87,"' where tab_name = 'PARTNER' and fld_name = 'ERBSCHAFTEN_BEMERKUNG';")</f>
        <v>0</v>
      </c>
    </row>
    <row r="88" spans="1:13">
      <c r="A88" t="s">
        <v>1856</v>
      </c>
      <c r="C88" t="s">
        <v>26</v>
      </c>
      <c r="D88" t="s">
        <v>1857</v>
      </c>
      <c r="E88" t="s">
        <v>28</v>
      </c>
      <c r="F88" t="s">
        <v>29</v>
      </c>
      <c r="G88" t="s">
        <v>30</v>
      </c>
      <c r="H88" t="s">
        <v>1855</v>
      </c>
      <c r="K88">
        <f t="array" ref="K88">CONCATENATE("update msg_out_fld_config set msg_fld_name = '",A88,"' where cd = 'FE0D5CF5C8EFA9FE5F9F308A08995C38';")</f>
        <v>0</v>
      </c>
      <c r="M88">
        <f t="array" ref="M88">CONCATENATE("update msg_out_fld set description = '",D88,"' where tab_name = 'PARTNER' and fld_name = 'KULTUR_CD';")</f>
        <v>0</v>
      </c>
    </row>
    <row r="89" spans="1:13">
      <c r="A89" t="s">
        <v>1859</v>
      </c>
      <c r="C89" t="s">
        <v>26</v>
      </c>
      <c r="D89" t="s">
        <v>1860</v>
      </c>
      <c r="E89" t="s">
        <v>28</v>
      </c>
      <c r="F89" t="s">
        <v>29</v>
      </c>
      <c r="G89" t="s">
        <v>30</v>
      </c>
      <c r="H89" t="s">
        <v>1858</v>
      </c>
      <c r="K89">
        <f t="array" ref="K89">CONCATENATE("update msg_out_fld_config set msg_fld_name = '",A89,"' where cd = '43239C412E6121A18CC2A1743A3618FA';")</f>
        <v>0</v>
      </c>
      <c r="M89">
        <f t="array" ref="M89">CONCATENATE("update msg_out_fld set description = '",D89,"' where tab_name = 'PARTNER' and fld_name = 'WIRTSCHAFT_CD';")</f>
        <v>0</v>
      </c>
    </row>
    <row r="90" spans="1:13">
      <c r="A90" t="s">
        <v>1862</v>
      </c>
      <c r="C90" t="s">
        <v>26</v>
      </c>
      <c r="D90" t="s">
        <v>1863</v>
      </c>
      <c r="E90" t="s">
        <v>28</v>
      </c>
      <c r="F90" t="s">
        <v>29</v>
      </c>
      <c r="G90" t="s">
        <v>30</v>
      </c>
      <c r="H90" t="s">
        <v>1861</v>
      </c>
      <c r="K90">
        <f t="array" ref="K90">CONCATENATE("update msg_out_fld_config set msg_fld_name = '",A90,"' where cd = '4F6215467ACEC3CCC4F034271D8B835E';")</f>
        <v>0</v>
      </c>
      <c r="M90">
        <f t="array" ref="M90">CONCATENATE("update msg_out_fld set description = '",D90,"' where tab_name = 'PARTNER' and fld_name = 'UMWELT_CD';")</f>
        <v>0</v>
      </c>
    </row>
    <row r="91" spans="1:13">
      <c r="A91" t="s">
        <v>1865</v>
      </c>
      <c r="C91" t="s">
        <v>26</v>
      </c>
      <c r="D91" t="s">
        <v>1866</v>
      </c>
      <c r="E91" t="s">
        <v>28</v>
      </c>
      <c r="F91" t="s">
        <v>29</v>
      </c>
      <c r="G91" t="s">
        <v>30</v>
      </c>
      <c r="H91" t="s">
        <v>1864</v>
      </c>
      <c r="K91">
        <f t="array" ref="K91">CONCATENATE("update msg_out_fld_config set msg_fld_name = '",A91,"' where cd = 'D6C2C2ED09C06019067F856208883B7F';")</f>
        <v>0</v>
      </c>
      <c r="M91">
        <f t="array" ref="M91">CONCATENATE("update msg_out_fld set description = '",D91,"' where tab_name = 'PARTNER' and fld_name = 'SPORT_CD';")</f>
        <v>0</v>
      </c>
    </row>
    <row r="92" spans="1:13">
      <c r="A92" t="s">
        <v>1868</v>
      </c>
      <c r="C92" t="s">
        <v>26</v>
      </c>
      <c r="D92" t="s">
        <v>1869</v>
      </c>
      <c r="E92" t="s">
        <v>28</v>
      </c>
      <c r="F92" t="s">
        <v>29</v>
      </c>
      <c r="G92" t="s">
        <v>30</v>
      </c>
      <c r="H92" t="s">
        <v>1867</v>
      </c>
      <c r="K92">
        <f t="array" ref="K92">CONCATENATE("update msg_out_fld_config set msg_fld_name = '",A92,"' where cd = 'A23364C2DBB03E02D62C2354802F414F';")</f>
        <v>0</v>
      </c>
      <c r="M92">
        <f t="array" ref="M92">CONCATENATE("update msg_out_fld set description = '",D92,"' where tab_name = 'PARTNER' and fld_name = 'TRENDS_CD';")</f>
        <v>0</v>
      </c>
    </row>
    <row r="93" spans="1:13">
      <c r="A93" t="s">
        <v>806</v>
      </c>
      <c r="C93" t="s">
        <v>664</v>
      </c>
      <c r="D93" t="s">
        <v>807</v>
      </c>
      <c r="E93" t="s">
        <v>808</v>
      </c>
      <c r="F93" t="s">
        <v>23</v>
      </c>
      <c r="H93" t="s">
        <v>805</v>
      </c>
      <c r="K93">
        <f t="array" ref="K93">CONCATENATE("update msg_out_fld_config set msg_fld_name = '",A93,"' where cd = '73F1DC167BC0B51DF477345883B46A91';")</f>
        <v>0</v>
      </c>
      <c r="M93">
        <f t="array" ref="M93">CONCATENATE("update msg_out_fld set description = '",D93,"' where tab_name = 'PARTNER' and fld_name = 'APSYS_IDRCIQIS';")</f>
        <v>0</v>
      </c>
    </row>
    <row r="94" spans="1:13">
      <c r="A94" t="s">
        <v>810</v>
      </c>
      <c r="C94" t="s">
        <v>664</v>
      </c>
      <c r="D94" t="s">
        <v>811</v>
      </c>
      <c r="E94" t="s">
        <v>812</v>
      </c>
      <c r="F94" t="s">
        <v>23</v>
      </c>
      <c r="H94" t="s">
        <v>809</v>
      </c>
      <c r="K94">
        <f t="array" ref="K94">CONCATENATE("update msg_out_fld_config set msg_fld_name = '",A94,"' where cd = 'FF16B44781ABA61300062C76E3D16801';")</f>
        <v>0</v>
      </c>
      <c r="M94">
        <f t="array" ref="M94">CONCATENATE("update msg_out_fld set description = '",D94,"' where tab_name = 'PARTNER' and fld_name = 'APSYS_IDRCIFATCAS';")</f>
        <v>0</v>
      </c>
    </row>
    <row r="95" spans="1:13">
      <c r="A95" t="s">
        <v>1871</v>
      </c>
      <c r="C95" t="s">
        <v>26</v>
      </c>
      <c r="D95" t="s">
        <v>1872</v>
      </c>
      <c r="E95" t="s">
        <v>28</v>
      </c>
      <c r="F95" t="s">
        <v>29</v>
      </c>
      <c r="G95" t="s">
        <v>30</v>
      </c>
      <c r="H95" t="s">
        <v>1870</v>
      </c>
      <c r="K95">
        <f t="array" ref="K95">CONCATENATE("update msg_out_fld_config set msg_fld_name = '",A95,"' where cd = '82C0C019B559932D0DEEDDA4D906BC48';")</f>
        <v>0</v>
      </c>
      <c r="M95">
        <f t="array" ref="M95">CONCATENATE("update msg_out_fld set description = '",D95,"' where tab_name = 'PARTNER' and fld_name = 'AGENT_CD';")</f>
        <v>0</v>
      </c>
    </row>
    <row r="96" spans="1:13">
      <c r="A96" t="s">
        <v>1874</v>
      </c>
      <c r="C96" t="s">
        <v>26</v>
      </c>
      <c r="D96" t="s">
        <v>108</v>
      </c>
      <c r="E96" t="s">
        <v>28</v>
      </c>
      <c r="F96" t="s">
        <v>29</v>
      </c>
      <c r="G96" t="s">
        <v>30</v>
      </c>
      <c r="H96" t="s">
        <v>1873</v>
      </c>
      <c r="K96">
        <f t="array" ref="K96">CONCATENATE("update msg_out_fld_config set msg_fld_name = '",A96,"' where cd = 'BCA5D741B2BC2B83B73C8FD28E851907';")</f>
        <v>0</v>
      </c>
      <c r="M96">
        <f t="array" ref="M96">CONCATENATE("update msg_out_fld set description = '",D96,"' where tab_name = 'PARTNER' and fld_name = 'FIRMA_CD';")</f>
        <v>0</v>
      </c>
    </row>
    <row r="97" spans="1:13">
      <c r="A97" t="s">
        <v>1876</v>
      </c>
      <c r="C97" t="s">
        <v>26</v>
      </c>
      <c r="D97" t="s">
        <v>1877</v>
      </c>
      <c r="E97" t="s">
        <v>28</v>
      </c>
      <c r="F97" t="s">
        <v>29</v>
      </c>
      <c r="G97" t="s">
        <v>30</v>
      </c>
      <c r="H97" t="s">
        <v>1875</v>
      </c>
      <c r="K97">
        <f t="array" ref="K97">CONCATENATE("update msg_out_fld_config set msg_fld_name = '",A97,"' where cd = '07DC437D0720503A895BCCA30667D91A';")</f>
        <v>0</v>
      </c>
      <c r="M97">
        <f t="array" ref="M97">CONCATENATE("update msg_out_fld set description = '",D97,"' where tab_name = 'PARTNER' and fld_name = 'COUNTRY_OF_MANAG_AEOI_REL_CD';")</f>
        <v>0</v>
      </c>
    </row>
    <row r="98" spans="1:13">
      <c r="A98" t="s">
        <v>1879</v>
      </c>
      <c r="C98" t="s">
        <v>26</v>
      </c>
      <c r="D98" s="2" t="s">
        <v>1878</v>
      </c>
      <c r="E98" t="s">
        <v>28</v>
      </c>
      <c r="F98" t="s">
        <v>29</v>
      </c>
      <c r="G98" t="s">
        <v>30</v>
      </c>
      <c r="H98" t="s">
        <v>1878</v>
      </c>
      <c r="K98">
        <f t="array" ref="K98">CONCATENATE("update msg_out_fld_config set msg_fld_name = '",A98,"' where cd = '724901F18CAFA173B8CA3BFA86A7F201';")</f>
        <v>0</v>
      </c>
      <c r="M98">
        <f t="array" ref="M98">CONCATENATE("update msg_out_fld set description = '",D98,"' where tab_name = 'PARTNER' and fld_name = 'OWNERS_STATEMENT_CD';")</f>
        <v>0</v>
      </c>
    </row>
    <row r="99" spans="1:13">
      <c r="A99" t="s">
        <v>1881</v>
      </c>
      <c r="C99" t="s">
        <v>26</v>
      </c>
      <c r="D99" t="s">
        <v>1882</v>
      </c>
      <c r="E99" t="s">
        <v>28</v>
      </c>
      <c r="F99" t="s">
        <v>29</v>
      </c>
      <c r="G99" t="s">
        <v>30</v>
      </c>
      <c r="H99" t="s">
        <v>1880</v>
      </c>
      <c r="K99">
        <f t="array" ref="K99">CONCATENATE("update msg_out_fld_config set msg_fld_name = '",A99,"' where cd = 'C7EEA34CCF2CAD1FB4918A0361316A3C';")</f>
        <v>0</v>
      </c>
      <c r="M99">
        <f t="array" ref="M99">CONCATENATE("update msg_out_fld set description = '",D99,"' where tab_name = 'PARTNER' and fld_name = 'COUNTRY_OF_REGIS_AEOI_REL_CD';")</f>
        <v>0</v>
      </c>
    </row>
    <row r="100" spans="1:13">
      <c r="A100" t="s">
        <v>1884</v>
      </c>
      <c r="C100" t="s">
        <v>26</v>
      </c>
      <c r="D100" s="2" t="s">
        <v>1883</v>
      </c>
      <c r="E100" t="s">
        <v>28</v>
      </c>
      <c r="F100" t="s">
        <v>29</v>
      </c>
      <c r="G100" t="s">
        <v>30</v>
      </c>
      <c r="H100" t="s">
        <v>1883</v>
      </c>
      <c r="K100">
        <f t="array" ref="K100">CONCATENATE("update msg_out_fld_config set msg_fld_name = '",A100,"' where cd = 'AF0C6F14797C1DD6A9E7DC4D401EB6BC';")</f>
        <v>0</v>
      </c>
      <c r="M100">
        <f t="array" ref="M100">CONCATENATE("update msg_out_fld set description = '",D100,"' where tab_name = 'PARTNER' and fld_name = 'IS_SPONSORED_ENTITY_CD';")</f>
        <v>0</v>
      </c>
    </row>
    <row r="101" spans="1:13">
      <c r="A101" t="s">
        <v>1886</v>
      </c>
      <c r="C101" t="s">
        <v>26</v>
      </c>
      <c r="D101" s="2" t="s">
        <v>1885</v>
      </c>
      <c r="E101" t="s">
        <v>28</v>
      </c>
      <c r="F101" t="s">
        <v>29</v>
      </c>
      <c r="G101" t="s">
        <v>30</v>
      </c>
      <c r="H101" t="s">
        <v>1885</v>
      </c>
      <c r="K101">
        <f t="array" ref="K101">CONCATENATE("update msg_out_fld_config set msg_fld_name = '",A101,"' where cd = '99AE2218D4496B1F363C8242272A5EE1';")</f>
        <v>0</v>
      </c>
      <c r="M101">
        <f t="array" ref="M101">CONCATENATE("update msg_out_fld set description = '",D101,"' where tab_name = 'PARTNER' and fld_name = 'IS_SUBST_PRESENCE_TEST_CD';")</f>
        <v>0</v>
      </c>
    </row>
    <row r="102" spans="1:13">
      <c r="A102" t="s">
        <v>1888</v>
      </c>
      <c r="C102" t="s">
        <v>26</v>
      </c>
      <c r="D102" t="s">
        <v>1889</v>
      </c>
      <c r="E102" t="s">
        <v>562</v>
      </c>
      <c r="F102" t="s">
        <v>29</v>
      </c>
      <c r="G102" t="s">
        <v>30</v>
      </c>
      <c r="H102" t="s">
        <v>1887</v>
      </c>
      <c r="K102">
        <f t="array" ref="K102">CONCATENATE("update msg_out_fld_config set msg_fld_name = '",A102,"' where cd = 'B1ABAFE970929B2AB78B9DB4BFC4899A';")</f>
        <v>0</v>
      </c>
      <c r="M102">
        <f t="array" ref="M102">CONCATENATE("update msg_out_fld set description = '",D102,"' where tab_name = 'PARTNER' and fld_name = 'IS_DOMICILIARY_COMPANY_CD';")</f>
        <v>0</v>
      </c>
    </row>
    <row r="103" spans="1:13">
      <c r="A103" t="s">
        <v>1891</v>
      </c>
      <c r="C103" t="s">
        <v>68</v>
      </c>
      <c r="D103" t="s">
        <v>1892</v>
      </c>
      <c r="E103" t="s">
        <v>1893</v>
      </c>
      <c r="F103" t="s">
        <v>29</v>
      </c>
      <c r="G103" t="s">
        <v>742</v>
      </c>
      <c r="H103" t="s">
        <v>1890</v>
      </c>
      <c r="K103">
        <f t="array" ref="K103">CONCATENATE("update msg_out_fld_config set msg_fld_name = '",A103,"' where cd = '6C8C58CFCBAAA4CD8BEDA8885BD4B068';")</f>
        <v>0</v>
      </c>
      <c r="M103">
        <f t="array" ref="M103">CONCATENATE("update msg_out_fld set description = '",D103,"' where tab_name = 'PARTNER' and fld_name = 'US_PERSON_CD';")</f>
        <v>0</v>
      </c>
    </row>
    <row r="104" spans="1:13">
      <c r="A104" t="s">
        <v>1895</v>
      </c>
      <c r="C104" t="s">
        <v>26</v>
      </c>
      <c r="D104" s="2" t="s">
        <v>1894</v>
      </c>
      <c r="E104" t="s">
        <v>28</v>
      </c>
      <c r="F104" t="s">
        <v>29</v>
      </c>
      <c r="G104" t="s">
        <v>30</v>
      </c>
      <c r="H104" t="s">
        <v>1894</v>
      </c>
      <c r="K104">
        <f t="array" ref="K104">CONCATENATE("update msg_out_fld_config set msg_fld_name = '",A104,"' where cd = 'A29C3A8FB0CD9EFE0A9EB5AC48E008EA';")</f>
        <v>0</v>
      </c>
      <c r="M104">
        <f t="array" ref="M104">CONCATENATE("update msg_out_fld set description = '",D104,"' where tab_name = 'PARTNER' and fld_name = 'IS_US_RESIDENT_ALIEN_CD';")</f>
        <v>0</v>
      </c>
    </row>
    <row r="105" spans="1:13">
      <c r="A105" t="s">
        <v>1897</v>
      </c>
      <c r="C105" t="s">
        <v>68</v>
      </c>
      <c r="D105" t="s">
        <v>1898</v>
      </c>
      <c r="E105" t="s">
        <v>746</v>
      </c>
      <c r="F105" t="s">
        <v>23</v>
      </c>
      <c r="H105" t="s">
        <v>1896</v>
      </c>
      <c r="K105">
        <f t="array" ref="K105">CONCATENATE("update msg_out_fld_config set msg_fld_name = '",A105,"' where cd = '3ED44C0B6B2C0343E52D1DA7BC4A4400';")</f>
        <v>0</v>
      </c>
      <c r="M105">
        <f t="array" ref="M105">CONCATENATE("update msg_out_fld set description = '",D105,"' where tab_name = 'PARTNER' and fld_name = 'SPRACH_CD';")</f>
        <v>0</v>
      </c>
    </row>
    <row r="106" spans="1:13">
      <c r="A106" t="s">
        <v>140</v>
      </c>
      <c r="C106" t="s">
        <v>68</v>
      </c>
      <c r="D106" t="s">
        <v>1899</v>
      </c>
      <c r="E106" t="s">
        <v>1900</v>
      </c>
      <c r="F106" t="s">
        <v>23</v>
      </c>
      <c r="H106" t="s">
        <v>139</v>
      </c>
      <c r="K106">
        <f t="array" ref="K106">CONCATENATE("update msg_out_fld_config set msg_fld_name = '",A106,"' where cd = '2004ED747214B77D72CB994DFDBC60EA';")</f>
        <v>0</v>
      </c>
      <c r="M106">
        <f t="array" ref="M106">CONCATENATE("update msg_out_fld set description = '",D106,"' where tab_name = 'PARTNER' and fld_name = 'BRIEFANREDE_CD';")</f>
        <v>0</v>
      </c>
    </row>
    <row r="107" spans="1:13">
      <c r="A107" t="s">
        <v>1901</v>
      </c>
      <c r="C107" t="s">
        <v>75</v>
      </c>
      <c r="D107" t="s">
        <v>1902</v>
      </c>
      <c r="H107" t="s">
        <v>822</v>
      </c>
      <c r="K107">
        <f t="array" ref="K107">CONCATENATE("update msg_out_fld_config set msg_fld_name = '",A107,"' where cd = '24031BE00C87DA34B1B1D9C112E6A020';")</f>
        <v>0</v>
      </c>
      <c r="M107">
        <f t="array" ref="M107">CONCATENATE("update msg_out_fld set description = '",D107,"' where tab_name = 'PARTNER' and fld_name = 'LEDIGERNAME';")</f>
        <v>0</v>
      </c>
    </row>
    <row r="108" spans="1:13">
      <c r="A108" t="s">
        <v>1904</v>
      </c>
      <c r="C108" t="s">
        <v>42</v>
      </c>
      <c r="D108" t="s">
        <v>1905</v>
      </c>
      <c r="H108" t="s">
        <v>1903</v>
      </c>
      <c r="K108">
        <f t="array" ref="K108">CONCATENATE("update msg_out_fld_config set msg_fld_name = '",A108,"' where cd = 'FB94104D3ED76BE374505D146AF52FE2';")</f>
        <v>0</v>
      </c>
      <c r="M108">
        <f t="array" ref="M108">CONCATENATE("update msg_out_fld set description = '",D108,"' where tab_name = 'PARTNER' and fld_name = 'HAUSBANK';")</f>
        <v>0</v>
      </c>
    </row>
    <row r="109" spans="1:13">
      <c r="A109" t="s">
        <v>1907</v>
      </c>
      <c r="C109" t="s">
        <v>26</v>
      </c>
      <c r="D109" t="s">
        <v>1908</v>
      </c>
      <c r="E109" t="s">
        <v>1909</v>
      </c>
      <c r="F109" t="s">
        <v>23</v>
      </c>
      <c r="H109" t="s">
        <v>1906</v>
      </c>
      <c r="K109">
        <f t="array" ref="K109">CONCATENATE("update msg_out_fld_config set msg_fld_name = '",A109,"' where cd = '1EFE4F4A26558E597EE2B01353A44FD7';")</f>
        <v>0</v>
      </c>
      <c r="M109">
        <f t="array" ref="M109">CONCATENATE("update msg_out_fld set description = '",D109,"' where tab_name = 'PARTNER' and fld_name = 'ZIVILSTAND_CD';")</f>
        <v>0</v>
      </c>
    </row>
    <row r="110" spans="1:13">
      <c r="A110" t="s">
        <v>58</v>
      </c>
      <c r="C110" t="s">
        <v>33</v>
      </c>
      <c r="D110" t="s">
        <v>1910</v>
      </c>
      <c r="H110" t="s">
        <v>57</v>
      </c>
      <c r="K110">
        <f t="array" ref="K110">CONCATENATE("update msg_out_fld_config set msg_fld_name = '",A110,"' where cd = '6870F433AA44A9B3B77EEEBB38FF0CD3';")</f>
        <v>0</v>
      </c>
      <c r="M110">
        <f t="array" ref="M110">CONCATENATE("update msg_out_fld set description = '",D110,"' where tab_name = 'PARTNER' and fld_name = 'MUTDATUM';")</f>
        <v>0</v>
      </c>
    </row>
    <row r="111" spans="1:13">
      <c r="A111" t="s">
        <v>61</v>
      </c>
      <c r="C111" t="s">
        <v>37</v>
      </c>
      <c r="D111" t="s">
        <v>1911</v>
      </c>
      <c r="E111" t="s">
        <v>39</v>
      </c>
      <c r="F111" t="s">
        <v>23</v>
      </c>
      <c r="H111" t="s">
        <v>60</v>
      </c>
      <c r="K111">
        <f t="array" ref="K111">CONCATENATE("update msg_out_fld_config set msg_fld_name = '",A111,"' where cd = '54C00D13BED98C848D333CB7B823192C';")</f>
        <v>0</v>
      </c>
      <c r="M111">
        <f t="array" ref="M111">CONCATENATE("update msg_out_fld set description = '",D111,"' where tab_name = 'PARTNER' and fld_name = 'MUTUSER';")</f>
        <v>0</v>
      </c>
    </row>
    <row r="112" spans="1:13">
      <c r="A112" t="s">
        <v>167</v>
      </c>
      <c r="C112" t="s">
        <v>1087</v>
      </c>
      <c r="D112" t="s">
        <v>168</v>
      </c>
      <c r="H112" t="s">
        <v>166</v>
      </c>
      <c r="K112">
        <f t="array" ref="K112">CONCATENATE("update msg_out_fld_config set msg_fld_name = '",A112,"' where cd = '81B197FFBE79177E4D9A8B50D90CF026';")</f>
        <v>0</v>
      </c>
      <c r="M112">
        <f t="array" ref="M112">CONCATENATE("update msg_out_fld set description = '",D112,"' where tab_name = 'PARTNER' and fld_name = 'NAME';")</f>
        <v>0</v>
      </c>
    </row>
    <row r="113" spans="1:13">
      <c r="A113" t="s">
        <v>843</v>
      </c>
      <c r="C113" t="s">
        <v>20</v>
      </c>
      <c r="D113" t="s">
        <v>844</v>
      </c>
      <c r="E113" t="s">
        <v>112</v>
      </c>
      <c r="F113" t="s">
        <v>23</v>
      </c>
      <c r="H113" t="s">
        <v>1085</v>
      </c>
      <c r="K113">
        <f t="array" ref="K113">CONCATENATE("update msg_out_fld_config set msg_fld_name = '",A113,"' where cd = '148CD9C21E2136FB7DF3FC8D398E43A5';")</f>
        <v>0</v>
      </c>
      <c r="M113">
        <f t="array" ref="M113">CONCATENATE("update msg_out_fld set description = '",D113,"' where tab_name = 'PARTNER' and fld_name = 'NATION_CD';")</f>
        <v>0</v>
      </c>
    </row>
    <row r="114" spans="1:13">
      <c r="A114" t="s">
        <v>1913</v>
      </c>
      <c r="C114" t="s">
        <v>20</v>
      </c>
      <c r="D114" t="s">
        <v>1914</v>
      </c>
      <c r="E114" t="s">
        <v>112</v>
      </c>
      <c r="F114" t="s">
        <v>23</v>
      </c>
      <c r="H114" t="s">
        <v>1912</v>
      </c>
      <c r="K114">
        <f t="array" ref="K114">CONCATENATE("update msg_out_fld_config set msg_fld_name = '",A114,"' where cd = '27F9CEE8B0A0CB874F885FBE17CCF18A';")</f>
        <v>0</v>
      </c>
      <c r="M114">
        <f t="array" ref="M114">CONCATENATE("update msg_out_fld set description = '",D114,"' where tab_name = 'PARTNER' and fld_name = 'GEBURTSLAND_CD';")</f>
        <v>0</v>
      </c>
    </row>
    <row r="115" spans="1:13">
      <c r="A115" t="s">
        <v>1916</v>
      </c>
      <c r="C115" t="s">
        <v>37</v>
      </c>
      <c r="D115" t="s">
        <v>1917</v>
      </c>
      <c r="H115" t="s">
        <v>1915</v>
      </c>
      <c r="K115">
        <f t="array" ref="K115">CONCATENATE("update msg_out_fld_config set msg_fld_name = '",A115,"' where cd = 'F8A049B775EAC2A10379157C4415DC9C';")</f>
        <v>0</v>
      </c>
      <c r="M115">
        <f t="array" ref="M115">CONCATENATE("update msg_out_fld set description = '",D115,"' where tab_name = 'PARTNER' and fld_name = 'HEIMATORT';")</f>
        <v>0</v>
      </c>
    </row>
    <row r="116" spans="1:13">
      <c r="A116" t="s">
        <v>1919</v>
      </c>
      <c r="C116" t="s">
        <v>104</v>
      </c>
      <c r="D116" t="s">
        <v>1920</v>
      </c>
      <c r="H116" t="s">
        <v>1918</v>
      </c>
      <c r="K116">
        <f t="array" ref="K116">CONCATENATE("update msg_out_fld_config set msg_fld_name = '",A116,"' where cd = 'ED25C275D98ACD4D9439DBB438A0DE4C';")</f>
        <v>0</v>
      </c>
      <c r="M116">
        <f t="array" ref="M116">CONCATENATE("update msg_out_fld set description = '",D116,"' where tab_name = 'PARTNER' and fld_name = 'PARTNERBESUCH';")</f>
        <v>0</v>
      </c>
    </row>
    <row r="117" spans="1:13">
      <c r="A117" t="s">
        <v>1921</v>
      </c>
      <c r="C117" t="s">
        <v>68</v>
      </c>
      <c r="D117" t="s">
        <v>1922</v>
      </c>
      <c r="E117" t="s">
        <v>1923</v>
      </c>
      <c r="F117" t="s">
        <v>23</v>
      </c>
      <c r="H117" t="s">
        <v>544</v>
      </c>
      <c r="K117">
        <f t="array" ref="K117">CONCATENATE("update msg_out_fld_config set msg_fld_name = '",A117,"' where cd = '44C85F264DE6AA2CAB3513DA026A1FB3';")</f>
        <v>0</v>
      </c>
      <c r="M117">
        <f t="array" ref="M117">CONCATENATE("update msg_out_fld set description = '",D117,"' where tab_name = 'PARTNER' and fld_name = 'KINDER_CD';")</f>
        <v>0</v>
      </c>
    </row>
    <row r="118" spans="1:13">
      <c r="A118" t="s">
        <v>1925</v>
      </c>
      <c r="C118" t="s">
        <v>42</v>
      </c>
      <c r="D118" t="s">
        <v>1926</v>
      </c>
      <c r="H118" t="s">
        <v>1924</v>
      </c>
      <c r="K118">
        <f t="array" ref="K118">CONCATENATE("update msg_out_fld_config set msg_fld_name = '",A118,"' where cd = '285A574149904B34B0421A7FF6C22133';")</f>
        <v>0</v>
      </c>
      <c r="M118">
        <f t="array" ref="M118">CONCATENATE("update msg_out_fld set description = '",D118,"' where tab_name = 'PARTNER' and fld_name = 'BANKVERBINDUNGEN';")</f>
        <v>0</v>
      </c>
    </row>
    <row r="119" spans="1:13">
      <c r="A119" t="s">
        <v>1928</v>
      </c>
      <c r="C119" t="s">
        <v>104</v>
      </c>
      <c r="D119" s="2" t="s">
        <v>1927</v>
      </c>
      <c r="H119" t="s">
        <v>1927</v>
      </c>
      <c r="K119">
        <f t="array" ref="K119">CONCATENATE("update msg_out_fld_config set msg_fld_name = '",A119,"' where cd = '997FBC8C84A35F3C9B98510D248E4259';")</f>
        <v>0</v>
      </c>
      <c r="M119">
        <f t="array" ref="M119">CONCATENATE("update msg_out_fld set description = '",D119,"' where tab_name = 'PARTNER' and fld_name = 'OWNERS_STATEMENT_SIGN_DATE';")</f>
        <v>0</v>
      </c>
    </row>
    <row r="120" spans="1:13">
      <c r="A120" t="s">
        <v>1930</v>
      </c>
      <c r="C120" t="s">
        <v>26</v>
      </c>
      <c r="D120" t="s">
        <v>1931</v>
      </c>
      <c r="E120" t="s">
        <v>28</v>
      </c>
      <c r="F120" t="s">
        <v>29</v>
      </c>
      <c r="G120" t="s">
        <v>30</v>
      </c>
      <c r="H120" t="s">
        <v>1929</v>
      </c>
      <c r="K120">
        <f t="array" ref="K120">CONCATENATE("update msg_out_fld_config set msg_fld_name = '",A120,"' where cd = '52C3825092A4D875629200C76F9F1BCF';")</f>
        <v>0</v>
      </c>
      <c r="M120">
        <f t="array" ref="M120">CONCATENATE("update msg_out_fld set description = '",D120,"' where tab_name = 'PARTNER' and fld_name = 'BESUCHERWUENSCHT_CD';")</f>
        <v>0</v>
      </c>
    </row>
    <row r="121" spans="1:13">
      <c r="A121" t="s">
        <v>1933</v>
      </c>
      <c r="C121" t="s">
        <v>68</v>
      </c>
      <c r="D121" t="s">
        <v>1934</v>
      </c>
      <c r="E121" t="s">
        <v>1935</v>
      </c>
      <c r="F121" t="s">
        <v>23</v>
      </c>
      <c r="H121" t="s">
        <v>1932</v>
      </c>
      <c r="K121">
        <f t="array" ref="K121">CONCATENATE("update msg_out_fld_config set msg_fld_name = '",A121,"' where cd = 'ED9FE9FD4F0F8E4FCA1E72694D271BDC';")</f>
        <v>0</v>
      </c>
      <c r="M121">
        <f t="array" ref="M121">CONCATENATE("update msg_out_fld set description = '",D121,"' where tab_name = 'PARTNER' and fld_name = 'POTENTIAL_CD';")</f>
        <v>0</v>
      </c>
    </row>
    <row r="122" spans="1:13">
      <c r="A122" t="s">
        <v>1937</v>
      </c>
      <c r="C122" t="s">
        <v>37</v>
      </c>
      <c r="D122" t="s">
        <v>1938</v>
      </c>
      <c r="H122" t="s">
        <v>1936</v>
      </c>
      <c r="K122">
        <f t="array" ref="K122">CONCATENATE("update msg_out_fld_config set msg_fld_name = '",A122,"' where cd = '2F934DFFBD35C3462B53E7B2DC3AA3EA';")</f>
        <v>0</v>
      </c>
      <c r="M122">
        <f t="array" ref="M122">CONCATENATE("update msg_out_fld set description = '",D122,"' where tab_name = 'PARTNER' and fld_name = 'BERUF';")</f>
        <v>0</v>
      </c>
    </row>
    <row r="123" spans="1:13">
      <c r="A123" t="s">
        <v>1940</v>
      </c>
      <c r="C123" t="s">
        <v>68</v>
      </c>
      <c r="D123" t="s">
        <v>1941</v>
      </c>
      <c r="E123" t="s">
        <v>1942</v>
      </c>
      <c r="F123" t="s">
        <v>23</v>
      </c>
      <c r="H123" t="s">
        <v>1939</v>
      </c>
      <c r="K123">
        <f t="array" ref="K123">CONCATENATE("update msg_out_fld_config set msg_fld_name = '",A123,"' where cd = '05A80EC575D14DC679F6311ADBB5E4EE';")</f>
        <v>0</v>
      </c>
      <c r="M123">
        <f t="array" ref="M123">CONCATENATE("update msg_out_fld set description = '",D123,"' where tab_name = 'PARTNER' and fld_name = 'POSITION_CD';")</f>
        <v>0</v>
      </c>
    </row>
    <row r="124" spans="1:13">
      <c r="A124" t="s">
        <v>1944</v>
      </c>
      <c r="C124" t="s">
        <v>68</v>
      </c>
      <c r="D124" t="s">
        <v>1945</v>
      </c>
      <c r="E124" t="s">
        <v>1946</v>
      </c>
      <c r="F124" t="s">
        <v>23</v>
      </c>
      <c r="H124" t="s">
        <v>1943</v>
      </c>
      <c r="K124">
        <f t="array" ref="K124">CONCATENATE("update msg_out_fld_config set msg_fld_name = '",A124,"' where cd = '317BF2985853BA649D877ABEAD6A3EA1';")</f>
        <v>0</v>
      </c>
      <c r="M124">
        <f t="array" ref="M124">CONCATENATE("update msg_out_fld set description = '",D124,"' where tab_name = 'PARTNER' and fld_name = 'ERWERBSSTATUS_CD';")</f>
        <v>0</v>
      </c>
    </row>
    <row r="125" spans="1:13">
      <c r="A125" t="s">
        <v>1948</v>
      </c>
      <c r="C125" t="s">
        <v>90</v>
      </c>
      <c r="D125" t="s">
        <v>1949</v>
      </c>
      <c r="E125" t="s">
        <v>1950</v>
      </c>
      <c r="F125" t="s">
        <v>23</v>
      </c>
      <c r="H125" t="s">
        <v>1947</v>
      </c>
      <c r="K125">
        <f t="array" ref="K125">CONCATENATE("update msg_out_fld_config set msg_fld_name = '",A125,"' where cd = '22A7BDA10A4097F5B7B16CD8FCD0D6B9';")</f>
        <v>0</v>
      </c>
      <c r="M125">
        <f t="array" ref="M125">CONCATENATE("update msg_out_fld set description = '",D125,"' where tab_name = 'PARTNER' and fld_name = 'QI_CLASSIFICATION_CD';")</f>
        <v>0</v>
      </c>
    </row>
    <row r="126" spans="1:13">
      <c r="A126" t="s">
        <v>1952</v>
      </c>
      <c r="C126" t="s">
        <v>68</v>
      </c>
      <c r="D126" t="s">
        <v>1953</v>
      </c>
      <c r="E126" t="s">
        <v>1954</v>
      </c>
      <c r="F126" t="s">
        <v>23</v>
      </c>
      <c r="H126" t="s">
        <v>1951</v>
      </c>
      <c r="K126">
        <f t="array" ref="K126">CONCATENATE("update msg_out_fld_config set msg_fld_name = '",A126,"' where cd = '3CE8074A6AA50CADF664531D81DBCF02';")</f>
        <v>0</v>
      </c>
      <c r="M126">
        <f t="array" ref="M126">CONCATENATE("update msg_out_fld set description = '",D126,"' where tab_name = 'PARTNER' and fld_name = 'IMMOBILIEN_CD';")</f>
        <v>0</v>
      </c>
    </row>
    <row r="127" spans="1:13">
      <c r="A127" t="s">
        <v>1956</v>
      </c>
      <c r="C127" t="s">
        <v>1957</v>
      </c>
      <c r="D127" t="s">
        <v>1958</v>
      </c>
      <c r="H127" t="s">
        <v>1955</v>
      </c>
      <c r="K127">
        <f t="array" ref="K127">CONCATENATE("update msg_out_fld_config set msg_fld_name = '",A127,"' where cd = 'FAA9CEFD8071C686EFC9E6B3AE19AA11';")</f>
        <v>0</v>
      </c>
      <c r="M127">
        <f t="array" ref="M127">CONCATENATE("update msg_out_fld set description = '",D127,"' where tab_name = 'PARTNER' and fld_name = 'IMMOBILIEN_BEMERKUNG';")</f>
        <v>0</v>
      </c>
    </row>
    <row r="128" spans="1:13">
      <c r="A128" t="s">
        <v>1960</v>
      </c>
      <c r="C128" t="s">
        <v>16</v>
      </c>
      <c r="D128" t="s">
        <v>1961</v>
      </c>
      <c r="E128" t="s">
        <v>336</v>
      </c>
      <c r="F128" t="s">
        <v>23</v>
      </c>
      <c r="H128" t="s">
        <v>1959</v>
      </c>
      <c r="K128">
        <f t="array" ref="K128">CONCATENATE("update msg_out_fld_config set msg_fld_name = '",A128,"' where cd = 'ED131CA6C73BB07F0464FD9D8F488BA4';")</f>
        <v>0</v>
      </c>
      <c r="M128">
        <f t="array" ref="M128">CONCATENATE("update msg_out_fld set description = '",D128,"' where tab_name = 'PARTNER' and fld_name = 'RELATION_CD';")</f>
        <v>0</v>
      </c>
    </row>
    <row r="129" spans="1:13">
      <c r="A129" t="s">
        <v>898</v>
      </c>
      <c r="C129" t="s">
        <v>20</v>
      </c>
      <c r="D129" t="s">
        <v>1963</v>
      </c>
      <c r="E129" t="s">
        <v>112</v>
      </c>
      <c r="F129" t="s">
        <v>23</v>
      </c>
      <c r="H129" t="s">
        <v>1962</v>
      </c>
      <c r="K129">
        <f t="array" ref="K129">CONCATENATE("update msg_out_fld_config set msg_fld_name = '",A129,"' where cd = '917D56D553FBD5B5AB3431A22C890EB9';")</f>
        <v>0</v>
      </c>
      <c r="M129">
        <f t="array" ref="M129">CONCATENATE("update msg_out_fld set description = '",D129,"' where tab_name = 'PARTNER' and fld_name = 'COUNTRY_OF_RISK_CD';")</f>
        <v>0</v>
      </c>
    </row>
    <row r="130" spans="1:13">
      <c r="A130" t="s">
        <v>1965</v>
      </c>
      <c r="C130" t="s">
        <v>275</v>
      </c>
      <c r="D130" t="s">
        <v>1966</v>
      </c>
      <c r="E130" t="s">
        <v>940</v>
      </c>
      <c r="F130" t="s">
        <v>23</v>
      </c>
      <c r="H130" t="s">
        <v>1964</v>
      </c>
      <c r="K130">
        <f t="array" ref="K130">CONCATENATE("update msg_out_fld_config set msg_fld_name = '",A130,"' where cd = 'FF2097F2C60128E2C429BFB0A1FA33FB';")</f>
        <v>0</v>
      </c>
      <c r="M130">
        <f t="array" ref="M130">CONCATENATE("update msg_out_fld set description = '",D130,"' where tab_name = 'PARTNER' and fld_name = 'REGION_OF_RISK_CD';")</f>
        <v>0</v>
      </c>
    </row>
    <row r="131" spans="1:13">
      <c r="A131" t="s">
        <v>177</v>
      </c>
      <c r="C131" t="s">
        <v>68</v>
      </c>
      <c r="D131" t="s">
        <v>178</v>
      </c>
      <c r="E131" t="s">
        <v>1967</v>
      </c>
      <c r="F131" t="s">
        <v>23</v>
      </c>
      <c r="H131" t="s">
        <v>176</v>
      </c>
      <c r="K131">
        <f t="array" ref="K131">CONCATENATE("update msg_out_fld_config set msg_fld_name = '",A131,"' where cd = '36410370802836B36B88EE01E73632CE';")</f>
        <v>0</v>
      </c>
      <c r="M131">
        <f t="array" ref="M131">CONCATENATE("update msg_out_fld set description = '",D131,"' where tab_name = 'PARTNER' and fld_name = 'ANREDE_CD';")</f>
        <v>0</v>
      </c>
    </row>
    <row r="132" spans="1:13">
      <c r="A132" t="s">
        <v>1969</v>
      </c>
      <c r="C132" t="s">
        <v>26</v>
      </c>
      <c r="D132" t="s">
        <v>1970</v>
      </c>
      <c r="E132" t="s">
        <v>28</v>
      </c>
      <c r="F132" t="s">
        <v>29</v>
      </c>
      <c r="G132" t="s">
        <v>30</v>
      </c>
      <c r="H132" t="s">
        <v>1968</v>
      </c>
      <c r="K132">
        <f t="array" ref="K132">CONCATENATE("update msg_out_fld_config set msg_fld_name = '",A132,"' where cd = '6BA8360C2FE07C6BD3C00B5CF3E200AA';")</f>
        <v>0</v>
      </c>
      <c r="M132">
        <f t="array" ref="M132">CONCATENATE("update msg_out_fld set description = '",D132,"' where tab_name = 'PARTNER' and fld_name = 'VORSORGE_CD';")</f>
        <v>0</v>
      </c>
    </row>
    <row r="133" spans="1:13">
      <c r="A133" t="s">
        <v>1972</v>
      </c>
      <c r="C133" t="s">
        <v>42</v>
      </c>
      <c r="D133" t="s">
        <v>1973</v>
      </c>
      <c r="H133" t="s">
        <v>1971</v>
      </c>
      <c r="K133">
        <f t="array" ref="K133">CONCATENATE("update msg_out_fld_config set msg_fld_name = '",A133,"' where cd = '30B640D3FB4EC7C9696EB8102294A79D';")</f>
        <v>0</v>
      </c>
      <c r="M133">
        <f t="array" ref="M133">CONCATENATE("update msg_out_fld set description = '",D133,"' where tab_name = 'PARTNER' and fld_name = 'VORSORGE_BEMERKUNG';")</f>
        <v>0</v>
      </c>
    </row>
    <row r="134" spans="1:13">
      <c r="A134" t="s">
        <v>917</v>
      </c>
      <c r="C134" t="s">
        <v>780</v>
      </c>
      <c r="D134" t="s">
        <v>918</v>
      </c>
      <c r="E134" t="s">
        <v>919</v>
      </c>
      <c r="F134" t="s">
        <v>23</v>
      </c>
      <c r="H134" t="s">
        <v>916</v>
      </c>
      <c r="K134">
        <f t="array" ref="K134">CONCATENATE("update msg_out_fld_config set msg_fld_name = '",A134,"' where cd = '5C7F287CBB819F471C1E81B15E2C0C0B';")</f>
        <v>0</v>
      </c>
      <c r="M134">
        <f t="array" ref="M134">CONCATENATE("update msg_out_fld set description = '",D134,"' where tab_name = 'PARTNER' and fld_name = 'APSYS_CDINDUSSBNS';")</f>
        <v>0</v>
      </c>
    </row>
    <row r="135" spans="1:13">
      <c r="A135" t="s">
        <v>1975</v>
      </c>
      <c r="C135" t="s">
        <v>26</v>
      </c>
      <c r="D135" t="s">
        <v>1976</v>
      </c>
      <c r="E135" t="s">
        <v>1977</v>
      </c>
      <c r="F135" t="s">
        <v>23</v>
      </c>
      <c r="H135" t="s">
        <v>1974</v>
      </c>
      <c r="K135">
        <f t="array" ref="K135">CONCATENATE("update msg_out_fld_config set msg_fld_name = '",A135,"' where cd = 'E1DB2B2FD33237375E2088D0032AEF51';")</f>
        <v>0</v>
      </c>
      <c r="M135">
        <f t="array" ref="M135">CONCATENATE("update msg_out_fld set description = '",D135,"' where tab_name = 'PARTNER' and fld_name = 'GES_STELLUNG_CD';")</f>
        <v>0</v>
      </c>
    </row>
    <row r="136" spans="1:13">
      <c r="A136" t="s">
        <v>1979</v>
      </c>
      <c r="C136" t="s">
        <v>26</v>
      </c>
      <c r="D136" s="2" t="s">
        <v>1978</v>
      </c>
      <c r="E136" t="s">
        <v>28</v>
      </c>
      <c r="F136" t="s">
        <v>29</v>
      </c>
      <c r="G136" t="s">
        <v>30</v>
      </c>
      <c r="H136" t="s">
        <v>1978</v>
      </c>
      <c r="K136">
        <f t="array" ref="K136">CONCATENATE("update msg_out_fld_config set msg_fld_name = '",A136,"' where cd = '54188D04001E94B84F11BC5C15D2B2B5';")</f>
        <v>0</v>
      </c>
      <c r="M136">
        <f t="array" ref="M136">CONCATENATE("update msg_out_fld set description = '",D136,"' where tab_name = 'PARTNER' and fld_name = 'SUBSTANCIAL_US_OWNERS_CD';")</f>
        <v>0</v>
      </c>
    </row>
    <row r="137" spans="1:13">
      <c r="A137" t="s">
        <v>1981</v>
      </c>
      <c r="C137" t="s">
        <v>104</v>
      </c>
      <c r="D137" s="2" t="s">
        <v>1980</v>
      </c>
      <c r="H137" t="s">
        <v>1980</v>
      </c>
      <c r="K137">
        <f t="array" ref="K137">CONCATENATE("update msg_out_fld_config set msg_fld_name = '",A137,"' where cd = '7AAE355E30CB5586796C9ABB80509CC6';")</f>
        <v>0</v>
      </c>
      <c r="M137">
        <f t="array" ref="M137">CONCATENATE("update msg_out_fld set description = '",D137,"' where tab_name = 'PARTNER' and fld_name = 'SUBST_PRESENCE_TEST_EXPDATE';")</f>
        <v>0</v>
      </c>
    </row>
    <row r="138" spans="1:13">
      <c r="A138" t="s">
        <v>1983</v>
      </c>
      <c r="C138" t="s">
        <v>26</v>
      </c>
      <c r="D138" t="s">
        <v>1984</v>
      </c>
      <c r="E138" t="s">
        <v>28</v>
      </c>
      <c r="F138" t="s">
        <v>29</v>
      </c>
      <c r="G138" t="s">
        <v>30</v>
      </c>
      <c r="H138" t="s">
        <v>1982</v>
      </c>
      <c r="K138">
        <f t="array" ref="K138">CONCATENATE("update msg_out_fld_config set msg_fld_name = '",A138,"' where cd = '5F596B73517B90BEDA1E04C66F4A580D';")</f>
        <v>0</v>
      </c>
      <c r="M138">
        <f t="array" ref="M138">CONCATENATE("update msg_out_fld set description = '",D138,"' where tab_name = 'PARTNER' and fld_name = 'NACHFOLGE_CD';")</f>
        <v>0</v>
      </c>
    </row>
    <row r="139" spans="1:13">
      <c r="A139" t="s">
        <v>1986</v>
      </c>
      <c r="C139" t="s">
        <v>42</v>
      </c>
      <c r="D139" t="s">
        <v>1987</v>
      </c>
      <c r="H139" t="s">
        <v>1985</v>
      </c>
      <c r="K139">
        <f t="array" ref="K139">CONCATENATE("update msg_out_fld_config set msg_fld_name = '",A139,"' where cd = '6C8C840ADAED76C7AA5FD89F4518F223';")</f>
        <v>0</v>
      </c>
      <c r="M139">
        <f t="array" ref="M139">CONCATENATE("update msg_out_fld set description = '",D139,"' where tab_name = 'PARTNER' and fld_name = 'NACHFOLGE_BEMERKUNG';")</f>
        <v>0</v>
      </c>
    </row>
    <row r="140" spans="1:13">
      <c r="A140" t="s">
        <v>1989</v>
      </c>
      <c r="C140" t="s">
        <v>26</v>
      </c>
      <c r="D140" t="s">
        <v>1990</v>
      </c>
      <c r="E140" t="s">
        <v>28</v>
      </c>
      <c r="F140" t="s">
        <v>29</v>
      </c>
      <c r="G140" t="s">
        <v>30</v>
      </c>
      <c r="H140" t="s">
        <v>1988</v>
      </c>
      <c r="K140">
        <f t="array" ref="K140">CONCATENATE("update msg_out_fld_config set msg_fld_name = '",A140,"' where cd = '2210E8ED8EA21869413156531893E714';")</f>
        <v>0</v>
      </c>
      <c r="M140">
        <f t="array" ref="M140">CONCATENATE("update msg_out_fld set description = '",D140,"' where tab_name = 'PARTNER' and fld_name = 'STEUERUNTERLAGEN_CD';")</f>
        <v>0</v>
      </c>
    </row>
    <row r="141" spans="1:13">
      <c r="A141" t="s">
        <v>1992</v>
      </c>
      <c r="C141" t="s">
        <v>42</v>
      </c>
      <c r="D141" t="s">
        <v>1993</v>
      </c>
      <c r="H141" t="s">
        <v>1991</v>
      </c>
      <c r="K141">
        <f t="array" ref="K141">CONCATENATE("update msg_out_fld_config set msg_fld_name = '",A141,"' where cd = '0BF4C33F5068C4CFE92EF2F4129A6186';")</f>
        <v>0</v>
      </c>
      <c r="M141">
        <f t="array" ref="M141">CONCATENATE("update msg_out_fld set description = '",D141,"' where tab_name = 'PARTNER' and fld_name = 'STEUERDOMIZIL';")</f>
        <v>0</v>
      </c>
    </row>
    <row r="142" spans="1:13">
      <c r="A142" t="s">
        <v>1995</v>
      </c>
      <c r="C142" t="s">
        <v>20</v>
      </c>
      <c r="D142" t="s">
        <v>1996</v>
      </c>
      <c r="E142" t="s">
        <v>112</v>
      </c>
      <c r="F142" t="s">
        <v>23</v>
      </c>
      <c r="H142" t="s">
        <v>1994</v>
      </c>
      <c r="K142">
        <f t="array" ref="K142">CONCATENATE("update msg_out_fld_config set msg_fld_name = '",A142,"' where cd = '8805EE495F4EFDE982DD23FC44F4440A';")</f>
        <v>0</v>
      </c>
      <c r="M142">
        <f t="array" ref="M142">CONCATENATE("update msg_out_fld set description = '",D142,"' where tab_name = 'PARTNER' and fld_name = 'TAX_DOMICILE_CD';")</f>
        <v>0</v>
      </c>
    </row>
    <row r="143" spans="1:13">
      <c r="A143" t="s">
        <v>1998</v>
      </c>
      <c r="C143" t="s">
        <v>870</v>
      </c>
      <c r="D143" t="s">
        <v>1999</v>
      </c>
      <c r="H143" t="s">
        <v>1997</v>
      </c>
      <c r="K143">
        <f t="array" ref="K143">CONCATENATE("update msg_out_fld_config set msg_fld_name = '",A143,"' where cd = 'E9BCA6FD50BAA22AF9EE3AA568650B0A';")</f>
        <v>0</v>
      </c>
      <c r="M143">
        <f t="array" ref="M143">CONCATENATE("update msg_out_fld set description = '",D143,"' where tab_name = 'PARTNER' and fld_name = 'TAX_DOMICILE_REMARK';")</f>
        <v>0</v>
      </c>
    </row>
    <row r="144" spans="1:13">
      <c r="A144" t="s">
        <v>2001</v>
      </c>
      <c r="C144" t="s">
        <v>104</v>
      </c>
      <c r="D144" t="s">
        <v>2002</v>
      </c>
      <c r="H144" t="s">
        <v>2000</v>
      </c>
      <c r="K144">
        <f t="array" ref="K144">CONCATENATE("update msg_out_fld_config set msg_fld_name = '",A144,"' where cd = '494F0DF5882E4945D030C046BD467B9C';")</f>
        <v>0</v>
      </c>
      <c r="M144">
        <f t="array" ref="M144">CONCATENATE("update msg_out_fld set description = '",D144,"' where tab_name = 'PARTNER' and fld_name = 'TAX_DOMICILE_REVIEW_DATE';")</f>
        <v>0</v>
      </c>
    </row>
    <row r="145" spans="1:13">
      <c r="A145" t="s">
        <v>2004</v>
      </c>
      <c r="C145" t="s">
        <v>104</v>
      </c>
      <c r="D145" t="s">
        <v>2005</v>
      </c>
      <c r="H145" t="s">
        <v>2003</v>
      </c>
      <c r="K145">
        <f t="array" ref="K145">CONCATENATE("update msg_out_fld_config set msg_fld_name = '",A145,"' where cd = '76CDFCDB9BE290667E1E517C1E7D8B66';")</f>
        <v>0</v>
      </c>
      <c r="M145">
        <f t="array" ref="M145">CONCATENATE("update msg_out_fld set description = '",D145,"' where tab_name = 'PARTNER' and fld_name = 'TAX_DOMICILE_FROM_DATE';")</f>
        <v>0</v>
      </c>
    </row>
    <row r="146" spans="1:13">
      <c r="A146" t="s">
        <v>2007</v>
      </c>
      <c r="C146" t="s">
        <v>104</v>
      </c>
      <c r="D146" t="s">
        <v>2008</v>
      </c>
      <c r="H146" t="s">
        <v>2006</v>
      </c>
      <c r="K146">
        <f t="array" ref="K146">CONCATENATE("update msg_out_fld_config set msg_fld_name = '",A146,"' where cd = 'B75CFBBFCF00D813EEF493C6927271F6';")</f>
        <v>0</v>
      </c>
      <c r="M146">
        <f t="array" ref="M146">CONCATENATE("update msg_out_fld set description = '",D146,"' where tab_name = 'PARTNER' and fld_name = 'TAX_DOMICILE_UNTIL_DATE';")</f>
        <v>0</v>
      </c>
    </row>
    <row r="147" spans="1:13">
      <c r="A147" t="s">
        <v>2010</v>
      </c>
      <c r="C147" t="s">
        <v>20</v>
      </c>
      <c r="D147" t="s">
        <v>2011</v>
      </c>
      <c r="E147" t="s">
        <v>112</v>
      </c>
      <c r="F147" t="s">
        <v>23</v>
      </c>
      <c r="H147" t="s">
        <v>2009</v>
      </c>
      <c r="K147">
        <f t="array" ref="K147">CONCATENATE("update msg_out_fld_config set msg_fld_name = '",A147,"' where cd = '349AE10D4AABD94F9BC2AD96A59A591C';")</f>
        <v>0</v>
      </c>
      <c r="M147">
        <f t="array" ref="M147">CONCATENATE("update msg_out_fld set description = '",D147,"' where tab_name = 'PARTNER' and fld_name = 'TAX_DOMICILE2_CD';")</f>
        <v>0</v>
      </c>
    </row>
    <row r="148" spans="1:13">
      <c r="A148" t="s">
        <v>2013</v>
      </c>
      <c r="C148" t="s">
        <v>104</v>
      </c>
      <c r="D148" t="s">
        <v>2014</v>
      </c>
      <c r="H148" t="s">
        <v>2012</v>
      </c>
      <c r="K148">
        <f t="array" ref="K148">CONCATENATE("update msg_out_fld_config set msg_fld_name = '",A148,"' where cd = '63FAF352ACDA5A31C5209DA7540B60DD';")</f>
        <v>0</v>
      </c>
      <c r="M148">
        <f t="array" ref="M148">CONCATENATE("update msg_out_fld set description = '",D148,"' where tab_name = 'PARTNER' and fld_name = 'TAX_DOMICILE2_FROM_DATE';")</f>
        <v>0</v>
      </c>
    </row>
    <row r="149" spans="1:13">
      <c r="A149" t="s">
        <v>2016</v>
      </c>
      <c r="C149" t="s">
        <v>104</v>
      </c>
      <c r="D149" t="s">
        <v>2017</v>
      </c>
      <c r="H149" t="s">
        <v>2015</v>
      </c>
      <c r="K149">
        <f t="array" ref="K149">CONCATENATE("update msg_out_fld_config set msg_fld_name = '",A149,"' where cd = 'AD4F28931F10ED321EE17022341228DD';")</f>
        <v>0</v>
      </c>
      <c r="M149">
        <f t="array" ref="M149">CONCATENATE("update msg_out_fld set description = '",D149,"' where tab_name = 'PARTNER' and fld_name = 'TAX_DOMICILE2_UNTIL_DATE';")</f>
        <v>0</v>
      </c>
    </row>
    <row r="150" spans="1:13">
      <c r="A150" t="s">
        <v>2019</v>
      </c>
      <c r="C150" t="s">
        <v>20</v>
      </c>
      <c r="D150" t="s">
        <v>2020</v>
      </c>
      <c r="E150" t="s">
        <v>112</v>
      </c>
      <c r="F150" t="s">
        <v>23</v>
      </c>
      <c r="H150" t="s">
        <v>2018</v>
      </c>
      <c r="K150">
        <f t="array" ref="K150">CONCATENATE("update msg_out_fld_config set msg_fld_name = '",A150,"' where cd = '77CEBCAECFA329F65BC048CE6F3FF823';")</f>
        <v>0</v>
      </c>
      <c r="M150">
        <f t="array" ref="M150">CONCATENATE("update msg_out_fld set description = '",D150,"' where tab_name = 'PARTNER' and fld_name = 'TAX_DOMICILE3_CD';")</f>
        <v>0</v>
      </c>
    </row>
    <row r="151" spans="1:13">
      <c r="A151" t="s">
        <v>2022</v>
      </c>
      <c r="C151" t="s">
        <v>104</v>
      </c>
      <c r="D151" t="s">
        <v>2023</v>
      </c>
      <c r="H151" t="s">
        <v>2021</v>
      </c>
      <c r="K151">
        <f t="array" ref="K151">CONCATENATE("update msg_out_fld_config set msg_fld_name = '",A151,"' where cd = 'AEE54642EEE44DF0B34AC48B9AB16F3B';")</f>
        <v>0</v>
      </c>
      <c r="M151">
        <f t="array" ref="M151">CONCATENATE("update msg_out_fld set description = '",D151,"' where tab_name = 'PARTNER' and fld_name = 'TAX_DOMICILE3_FROM_DATE';")</f>
        <v>0</v>
      </c>
    </row>
    <row r="152" spans="1:13">
      <c r="A152" t="s">
        <v>2025</v>
      </c>
      <c r="C152" t="s">
        <v>104</v>
      </c>
      <c r="D152" t="s">
        <v>2026</v>
      </c>
      <c r="H152" t="s">
        <v>2024</v>
      </c>
      <c r="K152">
        <f t="array" ref="K152">CONCATENATE("update msg_out_fld_config set msg_fld_name = '",A152,"' where cd = '04A44DE93016D4BAFCEBA7CCFA899D4F';")</f>
        <v>0</v>
      </c>
      <c r="M152">
        <f t="array" ref="M152">CONCATENATE("update msg_out_fld set description = '",D152,"' where tab_name = 'PARTNER' and fld_name = 'TAX_DOMICILE3_UNTIL_DATE';")</f>
        <v>0</v>
      </c>
    </row>
    <row r="153" spans="1:13">
      <c r="A153" t="s">
        <v>2028</v>
      </c>
      <c r="C153" t="s">
        <v>37</v>
      </c>
      <c r="D153" t="s">
        <v>2029</v>
      </c>
      <c r="H153" t="s">
        <v>2027</v>
      </c>
      <c r="K153">
        <f t="array" ref="K153">CONCATENATE("update msg_out_fld_config set msg_fld_name = '",A153,"' where cd = '298938CCFE343546312B0EAA4FAE812F';")</f>
        <v>0</v>
      </c>
      <c r="M153">
        <f t="array" ref="M153">CONCATENATE("update msg_out_fld set description = '",D153,"' where tab_name = 'PARTNER' and fld_name = 'EU_TIN';")</f>
        <v>0</v>
      </c>
    </row>
    <row r="154" spans="1:13">
      <c r="A154" t="s">
        <v>2030</v>
      </c>
      <c r="C154" t="s">
        <v>68</v>
      </c>
      <c r="D154" t="s">
        <v>935</v>
      </c>
      <c r="E154" t="s">
        <v>2031</v>
      </c>
      <c r="F154" t="s">
        <v>23</v>
      </c>
      <c r="H154" t="s">
        <v>512</v>
      </c>
      <c r="K154">
        <f t="array" ref="K154">CONCATENATE("update msg_out_fld_config set msg_fld_name = '",A154,"' where cd = '3D150779A60FAEC919389A928C7F287F';")</f>
        <v>0</v>
      </c>
      <c r="M154">
        <f t="array" ref="M154">CONCATENATE("update msg_out_fld set description = '",D154,"' where tab_name = 'PARTNER' and fld_name = 'VERMOEGENSKATEGORIE_CD';")</f>
        <v>0</v>
      </c>
    </row>
    <row r="155" spans="1:13">
      <c r="A155" t="s">
        <v>2033</v>
      </c>
      <c r="C155" t="s">
        <v>26</v>
      </c>
      <c r="D155" t="s">
        <v>2034</v>
      </c>
      <c r="E155" t="s">
        <v>28</v>
      </c>
      <c r="F155" t="s">
        <v>29</v>
      </c>
      <c r="G155" t="s">
        <v>30</v>
      </c>
      <c r="H155" t="s">
        <v>2032</v>
      </c>
      <c r="K155">
        <f t="array" ref="K155">CONCATENATE("update msg_out_fld_config set msg_fld_name = '",A155,"' where cd = '97986446AFAC8299BD1033892EB1082F';")</f>
        <v>0</v>
      </c>
      <c r="M155">
        <f t="array" ref="M155">CONCATENATE("update msg_out_fld set description = '",D155,"' where tab_name = 'PARTNER' and fld_name = 'IS_TRUSTEE_PHYSICAL_CD';")</f>
        <v>0</v>
      </c>
    </row>
    <row r="156" spans="1:13">
      <c r="A156" t="s">
        <v>2036</v>
      </c>
      <c r="C156" t="s">
        <v>90</v>
      </c>
      <c r="D156" t="s">
        <v>2037</v>
      </c>
      <c r="E156" t="s">
        <v>2038</v>
      </c>
      <c r="F156" t="s">
        <v>29</v>
      </c>
      <c r="G156" t="s">
        <v>2039</v>
      </c>
      <c r="H156" t="s">
        <v>2035</v>
      </c>
      <c r="K156">
        <f t="array" ref="K156">CONCATENATE("update msg_out_fld_config set msg_fld_name = '",A156,"' where cd = 'FF9DBEE16F1E1CAED1BC6D3490C9E0D0';")</f>
        <v>0</v>
      </c>
      <c r="M156">
        <f t="array" ref="M156">CONCATENATE("update msg_out_fld set description = '",D156,"' where tab_name = 'PARTNER' and fld_name = 'USTAX_COUNTRY_OF_RESIDENCE_CD';")</f>
        <v>0</v>
      </c>
    </row>
    <row r="157" spans="1:13">
      <c r="A157" t="s">
        <v>2041</v>
      </c>
      <c r="C157" t="s">
        <v>20</v>
      </c>
      <c r="D157" t="s">
        <v>2042</v>
      </c>
      <c r="E157" t="s">
        <v>2043</v>
      </c>
      <c r="F157" t="s">
        <v>23</v>
      </c>
      <c r="H157" t="s">
        <v>2040</v>
      </c>
      <c r="K157">
        <f t="array" ref="K157">CONCATENATE("update msg_out_fld_config set msg_fld_name = '",A157,"' where cd = '396DA8CC4165F6477C287DE7CF486579';")</f>
        <v>0</v>
      </c>
      <c r="M157">
        <f t="array" ref="M157">CONCATENATE("update msg_out_fld set description = '",D157,"' where tab_name = 'PARTNER' and fld_name = 'USWBASKET_CD';")</f>
        <v>0</v>
      </c>
    </row>
    <row r="158" spans="1:13">
      <c r="A158" t="s">
        <v>193</v>
      </c>
      <c r="C158" t="s">
        <v>26</v>
      </c>
      <c r="D158" t="s">
        <v>2044</v>
      </c>
      <c r="E158" t="s">
        <v>195</v>
      </c>
      <c r="F158" t="s">
        <v>29</v>
      </c>
      <c r="G158" t="s">
        <v>196</v>
      </c>
      <c r="H158" t="s">
        <v>192</v>
      </c>
      <c r="K158">
        <f t="array" ref="K158">CONCATENATE("update msg_out_fld_config set msg_fld_name = '",A158,"' where cd = '0C3700589B73CFECF6EDB6A968304684';")</f>
        <v>0</v>
      </c>
      <c r="M158">
        <f t="array" ref="M158">CONCATENATE("update msg_out_fld set description = '",D158,"' where tab_name = 'PARTNER' and fld_name = 'VALID_CD';")</f>
        <v>0</v>
      </c>
    </row>
    <row r="159" spans="1:13">
      <c r="A159" t="s">
        <v>201</v>
      </c>
      <c r="C159" t="s">
        <v>90</v>
      </c>
      <c r="D159" t="s">
        <v>202</v>
      </c>
      <c r="H159" t="s">
        <v>200</v>
      </c>
      <c r="K159">
        <f t="array" ref="K159">CONCATENATE("update msg_out_fld_config set msg_fld_name = '",A159,"' where cd = '3CAAA53BF6252FB44F8DA05B445200F8';")</f>
        <v>0</v>
      </c>
      <c r="M159">
        <f t="array" ref="M159">CONCATENATE("update msg_out_fld set description = '",D159,"' where tab_name = 'PARTNER' and fld_name = 'VALIDID';")</f>
        <v>0</v>
      </c>
    </row>
    <row r="160" spans="1:13">
      <c r="A160" t="s">
        <v>207</v>
      </c>
      <c r="C160" t="s">
        <v>37</v>
      </c>
      <c r="D160" t="s">
        <v>208</v>
      </c>
      <c r="E160" t="s">
        <v>39</v>
      </c>
      <c r="F160" t="s">
        <v>23</v>
      </c>
      <c r="H160" t="s">
        <v>206</v>
      </c>
      <c r="K160">
        <f t="array" ref="K160">CONCATENATE("update msg_out_fld_config set msg_fld_name = '",A160,"' where cd = '5ED91E145388EBF35AAAA8648BC0FCDC';")</f>
        <v>0</v>
      </c>
      <c r="M160">
        <f t="array" ref="M160">CONCATENATE("update msg_out_fld set description = '",D160,"' where tab_name = 'PARTNER' and fld_name = 'VALIDUSER';")</f>
        <v>0</v>
      </c>
    </row>
    <row r="161" spans="1:13">
      <c r="A161" t="s">
        <v>2046</v>
      </c>
      <c r="C161" t="s">
        <v>26</v>
      </c>
      <c r="D161" t="s">
        <v>2047</v>
      </c>
      <c r="E161" t="s">
        <v>28</v>
      </c>
      <c r="F161" t="s">
        <v>29</v>
      </c>
      <c r="G161" t="s">
        <v>30</v>
      </c>
      <c r="H161" t="s">
        <v>2045</v>
      </c>
      <c r="K161">
        <f t="array" ref="K161">CONCATENATE("update msg_out_fld_config set msg_fld_name = '",A161,"' where cd = 'E8E1363893318501EE5E6EB89666EB79';")</f>
        <v>0</v>
      </c>
      <c r="M161">
        <f t="array" ref="M161">CONCATENATE("update msg_out_fld set description = '",D161,"' where tab_name = 'PARTNER' and fld_name = 'WITH_UNL_LIABILITY_CD';")</f>
        <v>0</v>
      </c>
    </row>
    <row r="162" spans="1:13">
      <c r="A162" t="s">
        <v>2049</v>
      </c>
      <c r="C162" t="s">
        <v>26</v>
      </c>
      <c r="D162" t="s">
        <v>2050</v>
      </c>
      <c r="E162" t="s">
        <v>28</v>
      </c>
      <c r="F162" t="s">
        <v>29</v>
      </c>
      <c r="G162" t="s">
        <v>30</v>
      </c>
      <c r="H162" t="s">
        <v>2048</v>
      </c>
      <c r="K162">
        <f t="array" ref="K162">CONCATENATE("update msg_out_fld_config set msg_fld_name = '",A162,"' where cd = '82715177A32120DA443B1239982E6679';")</f>
        <v>0</v>
      </c>
      <c r="M162">
        <f t="array" ref="M162">CONCATENATE("update msg_out_fld set description = '",D162,"' where tab_name = 'PARTNER' and fld_name = 'ERTRAGSABHAENGIG_CD';")</f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27.140625" customWidth="1"/>
    <col min="2" max="2" width="4.28515625" customWidth="1"/>
    <col min="3" max="3" width="16.28515625" customWidth="1"/>
    <col min="4" max="4" width="31.85546875" customWidth="1"/>
    <col min="5" max="5" width="34.28515625" customWidth="1"/>
    <col min="6" max="6" width="10.28515625" customWidth="1"/>
    <col min="7" max="7" width="15.140625" customWidth="1"/>
    <col min="8" max="8" width="30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90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2051</v>
      </c>
    </row>
    <row r="2" spans="1:13">
      <c r="A2" s="1" t="s">
        <v>2052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s="2" t="s">
        <v>2053</v>
      </c>
      <c r="H6" t="s">
        <v>2053</v>
      </c>
      <c r="K6">
        <f t="array" ref="K6">CONCATENATE("update msg_out_fld_config set msg_fld_name = '",A6,"' where cd = '7C9EDE6EFBEA874F5126B00A6598536C';")</f>
        <v>0</v>
      </c>
      <c r="M6">
        <f t="array" ref="M6">CONCATENATE("update msg_out_fld set description = '",D6,"' where tab_name = 'PARTNER_GENERAL_CLASSIFICATION' and fld_name = 'GENERAL_CLASSIFICATION_CD';")</f>
        <v>0</v>
      </c>
    </row>
    <row r="7" spans="1:13">
      <c r="A7" t="s">
        <v>25</v>
      </c>
      <c r="C7" t="s">
        <v>26</v>
      </c>
      <c r="D7" s="2" t="s">
        <v>24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'077628CBFD94A7F830780C8EEDC57F59';")</f>
        <v>0</v>
      </c>
      <c r="M7">
        <f t="array" ref="M7">CONCATENATE("update msg_out_fld set description = '",D7,"' where tab_name = 'PARTNER_GENERAL_CLASSIFICATION' and fld_name = 'LOESCH_CD';")</f>
        <v>0</v>
      </c>
    </row>
    <row r="8" spans="1:13">
      <c r="A8" t="s">
        <v>32</v>
      </c>
      <c r="C8" t="s">
        <v>104</v>
      </c>
      <c r="D8" t="s">
        <v>31</v>
      </c>
      <c r="H8" t="s">
        <v>31</v>
      </c>
      <c r="K8">
        <f t="array" ref="K8">CONCATENATE("update msg_out_fld_config set msg_fld_name = '",A8,"' where cd = 'A635AA5B7BB168A35E1CE89862A21DAB';")</f>
        <v>0</v>
      </c>
      <c r="M8">
        <f t="array" ref="M8">CONCATENATE("update msg_out_fld set description = '",D8,"' where tab_name = 'PARTNER_GENERAL_CLASSIFICATION' and fld_name = 'LOESCHDATUM';")</f>
        <v>0</v>
      </c>
    </row>
    <row r="9" spans="1:13">
      <c r="A9" t="s">
        <v>36</v>
      </c>
      <c r="C9" t="s">
        <v>37</v>
      </c>
      <c r="D9" t="s">
        <v>35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'184F073CF96612648AF9494B2C429756';")</f>
        <v>0</v>
      </c>
      <c r="M9">
        <f t="array" ref="M9">CONCATENATE("update msg_out_fld set description = '",D9,"' where tab_name = 'PARTNER_GENERAL_CLASSIFICATION' and fld_name = 'LOESCHUSER';")</f>
        <v>0</v>
      </c>
    </row>
    <row r="10" spans="1:13">
      <c r="A10" t="s">
        <v>45</v>
      </c>
      <c r="C10" t="s">
        <v>104</v>
      </c>
      <c r="D10" t="s">
        <v>44</v>
      </c>
      <c r="H10" t="s">
        <v>44</v>
      </c>
      <c r="K10">
        <f t="array" ref="K10">CONCATENATE("update msg_out_fld_config set msg_fld_name = '",A10,"' where cd = '93C53081B30B00E4D3B80202E4AED543';")</f>
        <v>0</v>
      </c>
      <c r="M10">
        <f t="array" ref="M10">CONCATENATE("update msg_out_fld set description = '",D10,"' where tab_name = 'PARTNER_GENERAL_CLASSIFICATION' and fld_name = 'CRTDATUM';")</f>
        <v>0</v>
      </c>
    </row>
    <row r="11" spans="1:13">
      <c r="A11" t="s">
        <v>48</v>
      </c>
      <c r="C11" t="s">
        <v>37</v>
      </c>
      <c r="D11" t="s">
        <v>47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'62FE73424B56AB265B3402C2D4702A98';")</f>
        <v>0</v>
      </c>
      <c r="M11">
        <f t="array" ref="M11">CONCATENATE("update msg_out_fld set description = '",D11,"' where tab_name = 'PARTNER_GENERAL_CLASSIFICATION' and fld_name = 'CRTUSER';")</f>
        <v>0</v>
      </c>
    </row>
    <row r="12" spans="1:13">
      <c r="A12" t="s">
        <v>55</v>
      </c>
      <c r="C12" t="s">
        <v>75</v>
      </c>
      <c r="D12" s="2" t="s">
        <v>2054</v>
      </c>
      <c r="H12" t="s">
        <v>2054</v>
      </c>
      <c r="K12">
        <f t="array" ref="K12">CONCATENATE("update msg_out_fld_config set msg_fld_name = '",A12,"' where cd = '3DFE7480FDC7F46AF02BCB4A5119E459';")</f>
        <v>0</v>
      </c>
      <c r="M12">
        <f t="array" ref="M12">CONCATENATE("update msg_out_fld set description = '",D12,"' where tab_name = 'PARTNER_GENERAL_CLASSIFICATION' and fld_name = 'GENERAL_CLASSIFICATION';")</f>
        <v>0</v>
      </c>
    </row>
    <row r="13" spans="1:13">
      <c r="A13" t="s">
        <v>2056</v>
      </c>
      <c r="C13" t="s">
        <v>26</v>
      </c>
      <c r="D13" t="s">
        <v>2057</v>
      </c>
      <c r="E13" t="s">
        <v>28</v>
      </c>
      <c r="F13" t="s">
        <v>29</v>
      </c>
      <c r="G13" t="s">
        <v>30</v>
      </c>
      <c r="H13" t="s">
        <v>2055</v>
      </c>
      <c r="K13">
        <f t="array" ref="K13">CONCATENATE("update msg_out_fld_config set msg_fld_name = '",A13,"' where cd = '5CAA584C6C2E5E69C234CA7AC8554B3A';")</f>
        <v>0</v>
      </c>
      <c r="M13">
        <f t="array" ref="M13">CONCATENATE("update msg_out_fld set description = '",D13,"' where tab_name = 'PARTNER_GENERAL_CLASSIFICATION' and fld_name = 'PARTNER_IS_TAX_BO_CD';")</f>
        <v>0</v>
      </c>
    </row>
    <row r="14" spans="1:13">
      <c r="A14" t="s">
        <v>58</v>
      </c>
      <c r="C14" t="s">
        <v>104</v>
      </c>
      <c r="D14" t="s">
        <v>57</v>
      </c>
      <c r="H14" t="s">
        <v>57</v>
      </c>
      <c r="K14">
        <f t="array" ref="K14">CONCATENATE("update msg_out_fld_config set msg_fld_name = '",A14,"' where cd = '071B1E7C861F1FDF677351D3F95A79DA';")</f>
        <v>0</v>
      </c>
      <c r="M14">
        <f t="array" ref="M14">CONCATENATE("update msg_out_fld set description = '",D14,"' where tab_name = 'PARTNER_GENERAL_CLASSIFICATION' and fld_name = 'MUTDATUM';")</f>
        <v>0</v>
      </c>
    </row>
    <row r="15" spans="1:13">
      <c r="A15" t="s">
        <v>61</v>
      </c>
      <c r="C15" t="s">
        <v>37</v>
      </c>
      <c r="D15" t="s">
        <v>60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'930ADEF31B14AC3008482EE0381382CE';")</f>
        <v>0</v>
      </c>
      <c r="M15">
        <f t="array" ref="M15">CONCATENATE("update msg_out_fld set description = '",D15,"' where tab_name = 'PARTNER_GENERAL_CLASSIFICATION' and fld_name = 'MUTUSER';")</f>
        <v>0</v>
      </c>
    </row>
    <row r="16" spans="1:13">
      <c r="A16" t="s">
        <v>2059</v>
      </c>
      <c r="C16" t="s">
        <v>26</v>
      </c>
      <c r="D16" t="s">
        <v>2060</v>
      </c>
      <c r="E16" t="s">
        <v>28</v>
      </c>
      <c r="F16" t="s">
        <v>29</v>
      </c>
      <c r="G16" t="s">
        <v>30</v>
      </c>
      <c r="H16" t="s">
        <v>2058</v>
      </c>
      <c r="K16">
        <f t="array" ref="K16">CONCATENATE("update msg_out_fld_config set msg_fld_name = '",A16,"' where cd = 'BF5876DBEF470EFEFB005007C5A079EA';")</f>
        <v>0</v>
      </c>
      <c r="M16">
        <f t="array" ref="M16">CONCATENATE("update msg_out_fld set description = '",D16,"' where tab_name = 'PARTNER_GENERAL_CLASSIFICATION' and fld_name = 'SUITABLE_COMPANIES_CD';")</f>
        <v>0</v>
      </c>
    </row>
    <row r="17" spans="1:13">
      <c r="A17" t="s">
        <v>2062</v>
      </c>
      <c r="C17" t="s">
        <v>26</v>
      </c>
      <c r="D17" t="s">
        <v>2063</v>
      </c>
      <c r="E17" t="s">
        <v>28</v>
      </c>
      <c r="F17" t="s">
        <v>29</v>
      </c>
      <c r="G17" t="s">
        <v>30</v>
      </c>
      <c r="H17" t="s">
        <v>2061</v>
      </c>
      <c r="K17">
        <f t="array" ref="K17">CONCATENATE("update msg_out_fld_config set msg_fld_name = '",A17,"' where cd = 'CB40CD70C2E864F98D01BB1669C3E270';")</f>
        <v>0</v>
      </c>
      <c r="M17">
        <f t="array" ref="M17">CONCATENATE("update msg_out_fld set description = '",D17,"' where tab_name = 'PARTNER_GENERAL_CLASSIFICATION' and fld_name = 'SUITABLE_NON_COMPANIES_CD';")</f>
        <v>0</v>
      </c>
    </row>
    <row r="18" spans="1:13">
      <c r="A18" t="s">
        <v>2065</v>
      </c>
      <c r="C18" t="s">
        <v>26</v>
      </c>
      <c r="D18" t="s">
        <v>2066</v>
      </c>
      <c r="E18" t="s">
        <v>28</v>
      </c>
      <c r="F18" t="s">
        <v>29</v>
      </c>
      <c r="G18" t="s">
        <v>30</v>
      </c>
      <c r="H18" t="s">
        <v>2064</v>
      </c>
      <c r="K18">
        <f t="array" ref="K18">CONCATENATE("update msg_out_fld_config set msg_fld_name = '",A18,"' where cd = '9FCF42490135DA17E07D707424DCCFA4';")</f>
        <v>0</v>
      </c>
      <c r="M18">
        <f t="array" ref="M18">CONCATENATE("update msg_out_fld set description = '",D18,"' where tab_name = 'PARTNER_GENERAL_CLASSIFICATION' and fld_name = 'SUITABLE_US_PERSONS_CD';")</f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27.14062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47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2067</v>
      </c>
    </row>
    <row r="2" spans="1:13">
      <c r="A2" s="1" t="s">
        <v>2068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758</v>
      </c>
      <c r="D6" t="s">
        <v>17</v>
      </c>
      <c r="H6" t="s">
        <v>1845</v>
      </c>
      <c r="K6">
        <f t="array" ref="K6">CONCATENATE("update msg_out_fld_config set msg_fld_name = '",A6,"' where cd = '7348AEF6BE77C06DABDE66DED735B39B';")</f>
        <v>0</v>
      </c>
      <c r="M6">
        <f t="array" ref="M6">CONCATENATE("update msg_out_fld set description = '",D6,"' where tab_name = 'BRANCHE' and fld_name = 'BRANCHE_CD';")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'FE3711E9E4E4BF463220AE55B1AE56C8';")</f>
        <v>0</v>
      </c>
      <c r="M7">
        <f t="array" ref="M7">CONCATENATE("update msg_out_fld set description = '",D7,"' where tab_name = 'BRANCHE'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'6A32E5320CA32D99AEF93303BF0D4C53';")</f>
        <v>0</v>
      </c>
      <c r="M8">
        <f t="array" ref="M8">CONCATENATE("update msg_out_fld set description = '",D8,"' where tab_name = 'BRANCHE'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'1027CF3565E284298079283E23C94FFE';")</f>
        <v>0</v>
      </c>
      <c r="M9">
        <f t="array" ref="M9">CONCATENATE("update msg_out_fld set description = '",D9,"' where tab_name = 'BRANCHE'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'FF438407A4EC7DBF518E372531C5EE4C';")</f>
        <v>0</v>
      </c>
      <c r="M10">
        <f t="array" ref="M10">CONCATENATE("update msg_out_fld set description = '",D10,"' where tab_name = 'BRANCHE'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'40718641FCE7E5D1C9574EB46515CE93';")</f>
        <v>0</v>
      </c>
      <c r="M11">
        <f t="array" ref="M11">CONCATENATE("update msg_out_fld set description = '",D11,"' where tab_name = 'BRANCHE' and fld_name = 'CRTUSER';")</f>
        <v>0</v>
      </c>
    </row>
    <row r="12" spans="1:13">
      <c r="A12" t="s">
        <v>55</v>
      </c>
      <c r="C12" t="s">
        <v>171</v>
      </c>
      <c r="D12" t="s">
        <v>2070</v>
      </c>
      <c r="H12" t="s">
        <v>2069</v>
      </c>
      <c r="K12">
        <f t="array" ref="K12">CONCATENATE("update msg_out_fld_config set msg_fld_name = '",A12,"' where cd = '5F54729A3C4775EA1FFE819C2971E209';")</f>
        <v>0</v>
      </c>
      <c r="M12">
        <f t="array" ref="M12">CONCATENATE("update msg_out_fld set description = '",D12,"' where tab_name = 'BRANCHE' and fld_name = 'BRANCHE_LANG';")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'88E355791BCC1AF6A3EE61818A9356F8';")</f>
        <v>0</v>
      </c>
      <c r="M13">
        <f t="array" ref="M13">CONCATENATE("update msg_out_fld set description = '",D13,"' where tab_name = 'BRANCHE'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'4EC52C901CAB8BD970B7CEA6B641C98E';")</f>
        <v>0</v>
      </c>
      <c r="M14">
        <f t="array" ref="M14">CONCATENATE("update msg_out_fld set description = '",D14,"' where tab_name = 'BRANCHE' and fld_name = 'MUTUSER';")</f>
        <v>0</v>
      </c>
    </row>
    <row r="15" spans="1:13">
      <c r="A15" t="s">
        <v>83</v>
      </c>
      <c r="C15" t="s">
        <v>84</v>
      </c>
      <c r="D15" t="s">
        <v>85</v>
      </c>
      <c r="H15" t="s">
        <v>82</v>
      </c>
      <c r="K15">
        <f t="array" ref="K15">CONCATENATE("update msg_out_fld_config set msg_fld_name = '",A15,"' where cd = '4AF00E4FC99170E2185C008A675C829C';")</f>
        <v>0</v>
      </c>
      <c r="M15">
        <f t="array" ref="M15">CONCATENATE("update msg_out_fld set description = '",D15,"' where tab_name = 'BRANCHE' and fld_name = 'RISKINDEX';")</f>
        <v>0</v>
      </c>
    </row>
    <row r="16" spans="1:13">
      <c r="A16" t="s">
        <v>2072</v>
      </c>
      <c r="C16" t="s">
        <v>37</v>
      </c>
      <c r="D16" t="s">
        <v>2073</v>
      </c>
      <c r="H16" t="s">
        <v>2071</v>
      </c>
      <c r="K16">
        <f t="array" ref="K16">CONCATENATE("update msg_out_fld_config set msg_fld_name = '",A16,"' where cd = '74C4D7C13C32D7C0BEE6D2A0B6015C33';")</f>
        <v>0</v>
      </c>
      <c r="M16">
        <f t="array" ref="M16">CONCATENATE("update msg_out_fld set description = '",D16,"' where tab_name = 'BRANCHE' and fld_name = 'BRANCHE_KURZ';")</f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8.7109375" customWidth="1"/>
    <col min="5" max="5" width="34.28515625" customWidth="1"/>
    <col min="6" max="6" width="10.28515625" customWidth="1"/>
    <col min="7" max="7" width="15.140625" customWidth="1"/>
    <col min="8" max="8" width="22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2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2074</v>
      </c>
    </row>
    <row r="2" spans="1:13">
      <c r="A2" s="1" t="s">
        <v>2075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2076</v>
      </c>
      <c r="K6">
        <f t="array" ref="K6">CONCATENATE("update msg_out_fld_config set msg_fld_name = '",A6,"' where cd = 'CE4E9685AAFEBB23730F4064674A05FF';")</f>
        <v>0</v>
      </c>
      <c r="M6">
        <f t="array" ref="M6">CONCATENATE("update msg_out_fld set description = '",D6,"' where tab_name = 'ANLAGESTRATEGIE' and fld_name = 'ANLAGESTRATEGIE_CD';")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'A57C3C5F25A6DCE79619309981F069F5';")</f>
        <v>0</v>
      </c>
      <c r="M7">
        <f t="array" ref="M7">CONCATENATE("update msg_out_fld set description = '",D7,"' where tab_name = 'ANLAGESTRATEGIE'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'3B22B8636C8A132C4ABA023716D08D3F';")</f>
        <v>0</v>
      </c>
      <c r="M8">
        <f t="array" ref="M8">CONCATENATE("update msg_out_fld set description = '",D8,"' where tab_name = 'ANLAGESTRATEGIE'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'CB427300D830163701EE83CEE4334BD1';")</f>
        <v>0</v>
      </c>
      <c r="M9">
        <f t="array" ref="M9">CONCATENATE("update msg_out_fld set description = '",D9,"' where tab_name = 'ANLAGESTRATEGIE'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'33E330B402B9A64D863C06E2F7E23A80';")</f>
        <v>0</v>
      </c>
      <c r="M10">
        <f t="array" ref="M10">CONCATENATE("update msg_out_fld set description = '",D10,"' where tab_name = 'ANLAGESTRATEGIE'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'BC169BBC6CEB0FC73BB75F8AEF70846E';")</f>
        <v>0</v>
      </c>
      <c r="M11">
        <f t="array" ref="M11">CONCATENATE("update msg_out_fld set description = '",D11,"' where tab_name = 'ANLAGESTRATEGIE' and fld_name = 'CRTUSER';")</f>
        <v>0</v>
      </c>
    </row>
    <row r="12" spans="1:13">
      <c r="A12" t="s">
        <v>55</v>
      </c>
      <c r="C12" t="s">
        <v>37</v>
      </c>
      <c r="D12" t="s">
        <v>2078</v>
      </c>
      <c r="H12" t="s">
        <v>2077</v>
      </c>
      <c r="K12">
        <f t="array" ref="K12">CONCATENATE("update msg_out_fld_config set msg_fld_name = '",A12,"' where cd = '3FCDE9EED67D5BD17F869BBE560B0C9D';")</f>
        <v>0</v>
      </c>
      <c r="M12">
        <f t="array" ref="M12">CONCATENATE("update msg_out_fld set description = '",D12,"' where tab_name = 'ANLAGESTRATEGIE' and fld_name = 'ANLAGESTRATEGIE';")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'001C224387F881ECBEDCED6C5F59AF32';")</f>
        <v>0</v>
      </c>
      <c r="M13">
        <f t="array" ref="M13">CONCATENATE("update msg_out_fld set description = '",D13,"' where tab_name = 'ANLAGESTRATEGIE'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'1433CE4DB6FE44316DABA558F9E50415';")</f>
        <v>0</v>
      </c>
      <c r="M14">
        <f t="array" ref="M14">CONCATENATE("update msg_out_fld set description = '",D14,"' where tab_name = 'ANLAGESTRATEGIE' and fld_name = 'MUTUSER';")</f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44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2079</v>
      </c>
    </row>
    <row r="2" spans="1:13">
      <c r="A2" s="1" t="s">
        <v>2080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758</v>
      </c>
      <c r="D6" t="s">
        <v>17</v>
      </c>
      <c r="H6" t="s">
        <v>2081</v>
      </c>
      <c r="K6">
        <f t="array" ref="K6">CONCATENATE("update msg_out_fld_config set msg_fld_name = '",A6,"' where cd = '3DDBC3DF8EDD5410DD221DAD8E77FED9';")</f>
        <v>0</v>
      </c>
      <c r="M6">
        <f t="array" ref="M6">CONCATENATE("update msg_out_fld set description = '",D6,"' where tab_name = 'IRSCODE' and fld_name = 'IRSCODE_CD';")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'08C40E22EDE4B63B154F918EA396C02C';")</f>
        <v>0</v>
      </c>
      <c r="M7">
        <f t="array" ref="M7">CONCATENATE("update msg_out_fld set description = '",D7,"' where tab_name = 'IRSCODE'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'8837AA6F82C27DC2C74F636515A905E1';")</f>
        <v>0</v>
      </c>
      <c r="M8">
        <f t="array" ref="M8">CONCATENATE("update msg_out_fld set description = '",D8,"' where tab_name = 'IRSCODE'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'28A2380E6336B50CB36D102CD3277803';")</f>
        <v>0</v>
      </c>
      <c r="M9">
        <f t="array" ref="M9">CONCATENATE("update msg_out_fld set description = '",D9,"' where tab_name = 'IRSCODE'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'142AD4FBC4DD76AB14F22E34D6DFF5C6';")</f>
        <v>0</v>
      </c>
      <c r="M10">
        <f t="array" ref="M10">CONCATENATE("update msg_out_fld set description = '",D10,"' where tab_name = 'IRSCODE'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'2CAF28B016F3A926C8D05FE60D56ED96';")</f>
        <v>0</v>
      </c>
      <c r="M11">
        <f t="array" ref="M11">CONCATENATE("update msg_out_fld set description = '",D11,"' where tab_name = 'IRSCODE' and fld_name = 'CRTUSER';")</f>
        <v>0</v>
      </c>
    </row>
    <row r="12" spans="1:13">
      <c r="A12" t="s">
        <v>55</v>
      </c>
      <c r="C12" t="s">
        <v>42</v>
      </c>
      <c r="D12" t="s">
        <v>803</v>
      </c>
      <c r="H12" t="s">
        <v>2082</v>
      </c>
      <c r="K12">
        <f t="array" ref="K12">CONCATENATE("update msg_out_fld_config set msg_fld_name = '",A12,"' where cd = 'E524962860D2C38C8C8327164228684F';")</f>
        <v>0</v>
      </c>
      <c r="M12">
        <f t="array" ref="M12">CONCATENATE("update msg_out_fld set description = '",D12,"' where tab_name = 'IRSCODE' and fld_name = 'IRSCODE';")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'C2E1522CEB8B77D16EC711E27655FD0C';")</f>
        <v>0</v>
      </c>
      <c r="M13">
        <f t="array" ref="M13">CONCATENATE("update msg_out_fld set description = '",D13,"' where tab_name = 'IRSCODE'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'50157C94B61CA75C478547712DD6D70A';")</f>
        <v>0</v>
      </c>
      <c r="M14">
        <f t="array" ref="M14">CONCATENATE("update msg_out_fld set description = '",D14,"' where tab_name = 'IRSCODE' and fld_name = 'MUTUSER';")</f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37.85546875" customWidth="1"/>
    <col min="5" max="5" width="34.28515625" customWidth="1"/>
    <col min="6" max="6" width="10.28515625" customWidth="1"/>
    <col min="7" max="7" width="15.140625" customWidth="1"/>
    <col min="8" max="8" width="33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83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2083</v>
      </c>
    </row>
    <row r="2" spans="1:13">
      <c r="A2" s="1" t="s">
        <v>2084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664</v>
      </c>
      <c r="D6" t="s">
        <v>17</v>
      </c>
      <c r="H6" t="s">
        <v>2085</v>
      </c>
      <c r="K6">
        <f t="array" ref="K6">CONCATENATE("update msg_out_fld_config set msg_fld_name = '",A6,"' where cd = '0C3E473ED28C50A5068A44C398273771';")</f>
        <v>0</v>
      </c>
      <c r="M6">
        <f t="array" ref="M6">CONCATENATE("update msg_out_fld set description = '",D6,"' where tab_name = 'QI_IRS_RECIPIENT_CLASS' and fld_name = 'QI_IRS_RECIPIENT_CLASS_CD';")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'892D1FF1752F3E35CE5B0AC91E3B3D13';")</f>
        <v>0</v>
      </c>
      <c r="M7">
        <f t="array" ref="M7">CONCATENATE("update msg_out_fld set description = '",D7,"' where tab_name = 'QI_IRS_RECIPIENT_CLASS' and fld_name = 'LOESCH_CD';")</f>
        <v>0</v>
      </c>
    </row>
    <row r="8" spans="1:13">
      <c r="A8" t="s">
        <v>32</v>
      </c>
      <c r="C8" t="s">
        <v>104</v>
      </c>
      <c r="D8" t="s">
        <v>34</v>
      </c>
      <c r="H8" t="s">
        <v>31</v>
      </c>
      <c r="K8">
        <f t="array" ref="K8">CONCATENATE("update msg_out_fld_config set msg_fld_name = '",A8,"' where cd = 'EB7F009B572B5B01053B4D41F6F5A9B2';")</f>
        <v>0</v>
      </c>
      <c r="M8">
        <f t="array" ref="M8">CONCATENATE("update msg_out_fld set description = '",D8,"' where tab_name = 'QI_IRS_RECIPIENT_CLASS'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'12BD94F6FE9DE45EFF3B8B955DD43815';")</f>
        <v>0</v>
      </c>
      <c r="M9">
        <f t="array" ref="M9">CONCATENATE("update msg_out_fld set description = '",D9,"' where tab_name = 'QI_IRS_RECIPIENT_CLASS' and fld_name = 'LOESCHUSER';")</f>
        <v>0</v>
      </c>
    </row>
    <row r="10" spans="1:13">
      <c r="A10" t="s">
        <v>45</v>
      </c>
      <c r="C10" t="s">
        <v>104</v>
      </c>
      <c r="D10" t="s">
        <v>46</v>
      </c>
      <c r="H10" t="s">
        <v>44</v>
      </c>
      <c r="K10">
        <f t="array" ref="K10">CONCATENATE("update msg_out_fld_config set msg_fld_name = '",A10,"' where cd = 'AFADD3035CFB32FD327BFC2272EAB77B';")</f>
        <v>0</v>
      </c>
      <c r="M10">
        <f t="array" ref="M10">CONCATENATE("update msg_out_fld set description = '",D10,"' where tab_name = 'QI_IRS_RECIPIENT_CLASS'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'B84DFD7A3CDE4C8402BD1868C65DAB21';")</f>
        <v>0</v>
      </c>
      <c r="M11">
        <f t="array" ref="M11">CONCATENATE("update msg_out_fld set description = '",D11,"' where tab_name = 'QI_IRS_RECIPIENT_CLASS' and fld_name = 'CRTUSER';")</f>
        <v>0</v>
      </c>
    </row>
    <row r="12" spans="1:13">
      <c r="A12" t="s">
        <v>55</v>
      </c>
      <c r="C12" t="s">
        <v>1226</v>
      </c>
      <c r="D12" t="s">
        <v>2087</v>
      </c>
      <c r="H12" t="s">
        <v>2086</v>
      </c>
      <c r="K12">
        <f t="array" ref="K12">CONCATENATE("update msg_out_fld_config set msg_fld_name = '",A12,"' where cd = 'BB53F95A3FD477204BA649EA1E1FCBCF';")</f>
        <v>0</v>
      </c>
      <c r="M12">
        <f t="array" ref="M12">CONCATENATE("update msg_out_fld set description = '",D12,"' where tab_name = 'QI_IRS_RECIPIENT_CLASS' and fld_name = 'QI_IRS_RECIPIENT_CLASS_DESC';")</f>
        <v>0</v>
      </c>
    </row>
    <row r="13" spans="1:13">
      <c r="A13" t="s">
        <v>58</v>
      </c>
      <c r="C13" t="s">
        <v>104</v>
      </c>
      <c r="D13" t="s">
        <v>59</v>
      </c>
      <c r="H13" t="s">
        <v>57</v>
      </c>
      <c r="K13">
        <f t="array" ref="K13">CONCATENATE("update msg_out_fld_config set msg_fld_name = '",A13,"' where cd = '3368AFD7D744106872AF78CA55C8D8CF';")</f>
        <v>0</v>
      </c>
      <c r="M13">
        <f t="array" ref="M13">CONCATENATE("update msg_out_fld set description = '",D13,"' where tab_name = 'QI_IRS_RECIPIENT_CLASS'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'184E368F00C2C44D086C3AC5D58670F7';")</f>
        <v>0</v>
      </c>
      <c r="M14">
        <f t="array" ref="M14">CONCATENATE("update msg_out_fld set description = '",D14,"' where tab_name = 'QI_IRS_RECIPIENT_CLASS' and fld_name = 'MUTUSER';")</f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41.5703125" customWidth="1"/>
    <col min="5" max="5" width="34.28515625" customWidth="1"/>
    <col min="6" max="6" width="10.28515625" customWidth="1"/>
    <col min="7" max="7" width="15.140625" customWidth="1"/>
    <col min="8" max="8" width="36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90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2088</v>
      </c>
    </row>
    <row r="2" spans="1:13">
      <c r="A2" s="1" t="s">
        <v>2089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664</v>
      </c>
      <c r="D6" t="s">
        <v>17</v>
      </c>
      <c r="H6" t="s">
        <v>1574</v>
      </c>
      <c r="K6">
        <f t="array" ref="K6">CONCATENATE("update msg_out_fld_config set msg_fld_name = '",A6,"' where cd = '4605BDCF7BC6B8C98F89117F136AF832';")</f>
        <v>0</v>
      </c>
      <c r="M6">
        <f t="array" ref="M6">CONCATENATE("update msg_out_fld set description = '",D6,"' where tab_name = 'FATCA_IRS_RECIPIENT_CLASS' and fld_name = 'FATCA_IRS_RECIPIENT_CLASS_CD';")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'6C4008BF2F0B7F3E8B561C554BCEA519';")</f>
        <v>0</v>
      </c>
      <c r="M7">
        <f t="array" ref="M7">CONCATENATE("update msg_out_fld set description = '",D7,"' where tab_name = 'FATCA_IRS_RECIPIENT_CLASS' and fld_name = 'LOESCH_CD';")</f>
        <v>0</v>
      </c>
    </row>
    <row r="8" spans="1:13">
      <c r="A8" t="s">
        <v>32</v>
      </c>
      <c r="C8" t="s">
        <v>104</v>
      </c>
      <c r="D8" t="s">
        <v>34</v>
      </c>
      <c r="H8" t="s">
        <v>31</v>
      </c>
      <c r="K8">
        <f t="array" ref="K8">CONCATENATE("update msg_out_fld_config set msg_fld_name = '",A8,"' where cd = 'EAE124AF458F23F962B6AAD752F03C48';")</f>
        <v>0</v>
      </c>
      <c r="M8">
        <f t="array" ref="M8">CONCATENATE("update msg_out_fld set description = '",D8,"' where tab_name = 'FATCA_IRS_RECIPIENT_CLASS'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'58351A8440202263B60310DE10363348';")</f>
        <v>0</v>
      </c>
      <c r="M9">
        <f t="array" ref="M9">CONCATENATE("update msg_out_fld set description = '",D9,"' where tab_name = 'FATCA_IRS_RECIPIENT_CLASS' and fld_name = 'LOESCHUSER';")</f>
        <v>0</v>
      </c>
    </row>
    <row r="10" spans="1:13">
      <c r="A10" t="s">
        <v>45</v>
      </c>
      <c r="C10" t="s">
        <v>104</v>
      </c>
      <c r="D10" t="s">
        <v>46</v>
      </c>
      <c r="H10" t="s">
        <v>44</v>
      </c>
      <c r="K10">
        <f t="array" ref="K10">CONCATENATE("update msg_out_fld_config set msg_fld_name = '",A10,"' where cd = 'EB7561B920308E1D5A00BD7791805D1A';")</f>
        <v>0</v>
      </c>
      <c r="M10">
        <f t="array" ref="M10">CONCATENATE("update msg_out_fld set description = '",D10,"' where tab_name = 'FATCA_IRS_RECIPIENT_CLASS'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'608FB74DE4B4C22DB7E1205522DF4758';")</f>
        <v>0</v>
      </c>
      <c r="M11">
        <f t="array" ref="M11">CONCATENATE("update msg_out_fld set description = '",D11,"' where tab_name = 'FATCA_IRS_RECIPIENT_CLASS' and fld_name = 'CRTUSER';")</f>
        <v>0</v>
      </c>
    </row>
    <row r="12" spans="1:13">
      <c r="A12" t="s">
        <v>55</v>
      </c>
      <c r="C12" t="s">
        <v>1226</v>
      </c>
      <c r="D12" t="s">
        <v>1575</v>
      </c>
      <c r="H12" t="s">
        <v>2090</v>
      </c>
      <c r="K12">
        <f t="array" ref="K12">CONCATENATE("update msg_out_fld_config set msg_fld_name = '",A12,"' where cd = '94F5E65EA6BB1419D1AECDA35AFD6563';")</f>
        <v>0</v>
      </c>
      <c r="M12">
        <f t="array" ref="M12">CONCATENATE("update msg_out_fld set description = '",D12,"' where tab_name = 'FATCA_IRS_RECIPIENT_CLASS' and fld_name = 'FATCA_IRS_RECIPIENT_CLASS_DESC';")</f>
        <v>0</v>
      </c>
    </row>
    <row r="13" spans="1:13">
      <c r="A13" t="s">
        <v>58</v>
      </c>
      <c r="C13" t="s">
        <v>104</v>
      </c>
      <c r="D13" t="s">
        <v>59</v>
      </c>
      <c r="H13" t="s">
        <v>57</v>
      </c>
      <c r="K13">
        <f t="array" ref="K13">CONCATENATE("update msg_out_fld_config set msg_fld_name = '",A13,"' where cd = '7326636EA8262431FC7E03F74B275D90';")</f>
        <v>0</v>
      </c>
      <c r="M13">
        <f t="array" ref="M13">CONCATENATE("update msg_out_fld set description = '",D13,"' where tab_name = 'FATCA_IRS_RECIPIENT_CLASS'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'1689A748F32FD6D5A25F08BA54145FFA';")</f>
        <v>0</v>
      </c>
      <c r="M14">
        <f t="array" ref="M14">CONCATENATE("update msg_out_fld set description = '",D14,"' where tab_name = 'FATCA_IRS_RECIPIENT_CLASS' and fld_name = 'MUTUSER';")</f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5.140625" customWidth="1"/>
    <col min="5" max="5" width="34.28515625" customWidth="1"/>
    <col min="6" max="6" width="10.28515625" customWidth="1"/>
    <col min="7" max="7" width="15.140625" customWidth="1"/>
    <col min="8" max="8" width="17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3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2091</v>
      </c>
    </row>
    <row r="2" spans="1:13">
      <c r="A2" s="1" t="s">
        <v>2092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132</v>
      </c>
      <c r="K6">
        <f t="array" ref="K6">CONCATENATE("update msg_out_fld_config set msg_fld_name = '",A6,"' where cd = '68C4E38F48F1FB203AC46EA8B088BB7E';")</f>
        <v>0</v>
      </c>
      <c r="M6">
        <f t="array" ref="M6">CONCATENATE("update msg_out_fld set description = '",D6,"' where tab_name = 'LABELFORMAT' and fld_name = 'LABELFORMAT_CD';")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'342608A3D1A28B307BC55AF6B7A78EB1';")</f>
        <v>0</v>
      </c>
      <c r="M7">
        <f t="array" ref="M7">CONCATENATE("update msg_out_fld set description = '",D7,"' where tab_name = 'LABELFORMAT'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'CE4E8ABD707E304F941963187BDFD77E';")</f>
        <v>0</v>
      </c>
      <c r="M8">
        <f t="array" ref="M8">CONCATENATE("update msg_out_fld set description = '",D8,"' where tab_name = 'LABELFORMAT'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'E325248DEB470C1F56E8DF2D0172852A';")</f>
        <v>0</v>
      </c>
      <c r="M9">
        <f t="array" ref="M9">CONCATENATE("update msg_out_fld set description = '",D9,"' where tab_name = 'LABELFORMAT'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'67D981F3445E23980AB1CD46FF9AC51B';")</f>
        <v>0</v>
      </c>
      <c r="M10">
        <f t="array" ref="M10">CONCATENATE("update msg_out_fld set description = '",D10,"' where tab_name = 'LABELFORMAT'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'B88D586221216BA8CB9458FB5A316DC7';")</f>
        <v>0</v>
      </c>
      <c r="M11">
        <f t="array" ref="M11">CONCATENATE("update msg_out_fld set description = '",D11,"' where tab_name = 'LABELFORMAT' and fld_name = 'CRTUSER';")</f>
        <v>0</v>
      </c>
    </row>
    <row r="12" spans="1:13">
      <c r="A12" t="s">
        <v>55</v>
      </c>
      <c r="C12" t="s">
        <v>75</v>
      </c>
      <c r="D12" t="s">
        <v>134</v>
      </c>
      <c r="H12" t="s">
        <v>2093</v>
      </c>
      <c r="K12">
        <f t="array" ref="K12">CONCATENATE("update msg_out_fld_config set msg_fld_name = '",A12,"' where cd = 'DB1D1F5814007E2693D9CDA8D3EB86C2';")</f>
        <v>0</v>
      </c>
      <c r="M12">
        <f t="array" ref="M12">CONCATENATE("update msg_out_fld set description = '",D12,"' where tab_name = 'LABELFORMAT' and fld_name = 'LABELFORMAT';")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'8DF2EF64E515B7CC8CC6F93377751D3D';")</f>
        <v>0</v>
      </c>
      <c r="M13">
        <f t="array" ref="M13">CONCATENATE("update msg_out_fld set description = '",D13,"' where tab_name = 'LABELFORMAT'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'8F4495E7E8D4DDC0D282B1424D930877';")</f>
        <v>0</v>
      </c>
      <c r="M14">
        <f t="array" ref="M14">CONCATENATE("update msg_out_fld set description = '",D14,"' where tab_name = 'LABELFORMAT' and fld_name = 'MUTUSER';")</f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31.85546875" customWidth="1"/>
    <col min="2" max="2" width="4.28515625" customWidth="1"/>
    <col min="3" max="3" width="15.140625" customWidth="1"/>
    <col min="4" max="4" width="28.28515625" customWidth="1"/>
    <col min="5" max="5" width="34.28515625" customWidth="1"/>
    <col min="6" max="6" width="10.28515625" customWidth="1"/>
    <col min="7" max="7" width="15.140625" customWidth="1"/>
    <col min="8" max="8" width="27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9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2094</v>
      </c>
    </row>
    <row r="2" spans="1:13">
      <c r="A2" s="1" t="s">
        <v>2095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1896</v>
      </c>
      <c r="K6">
        <f t="array" ref="K6">CONCATENATE("update msg_out_fld_config set msg_fld_name = '",A6,"' where cd = 'DBE51DFDA5ACEDE1FCEE66B8877C363E';")</f>
        <v>0</v>
      </c>
      <c r="M6">
        <f t="array" ref="M6">CONCATENATE("update msg_out_fld set description = '",D6,"' where tab_name = 'SPRACHE' and fld_name = 'SPRACH_CD';")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'139130B40DC3B934BDF9769831BB9571';")</f>
        <v>0</v>
      </c>
      <c r="M7">
        <f t="array" ref="M7">CONCATENATE("update msg_out_fld set description = '",D7,"' where tab_name = 'SPRACHE'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'9A05404D255D65A47195B0C4688AC6E6';")</f>
        <v>0</v>
      </c>
      <c r="M8">
        <f t="array" ref="M8">CONCATENATE("update msg_out_fld set description = '",D8,"' where tab_name = 'SPRACHE'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'99ACDE919C5B0F9784BE102D1B90142C';")</f>
        <v>0</v>
      </c>
      <c r="M9">
        <f t="array" ref="M9">CONCATENATE("update msg_out_fld set description = '",D9,"' where tab_name = 'SPRACHE'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'3EF5CF046DD0EE4D9021D1183B1EB3F9';")</f>
        <v>0</v>
      </c>
      <c r="M10">
        <f t="array" ref="M10">CONCATENATE("update msg_out_fld set description = '",D10,"' where tab_name = 'SPRACHE'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'952BC77264D32E7DB5833618DBA10B2B';")</f>
        <v>0</v>
      </c>
      <c r="M11">
        <f t="array" ref="M11">CONCATENATE("update msg_out_fld set description = '",D11,"' where tab_name = 'SPRACHE' and fld_name = 'CRTUSER';")</f>
        <v>0</v>
      </c>
    </row>
    <row r="12" spans="1:13">
      <c r="A12" t="s">
        <v>55</v>
      </c>
      <c r="C12" t="s">
        <v>211</v>
      </c>
      <c r="D12" t="s">
        <v>1898</v>
      </c>
      <c r="H12" t="s">
        <v>2096</v>
      </c>
      <c r="K12">
        <f t="array" ref="K12">CONCATENATE("update msg_out_fld_config set msg_fld_name = '",A12,"' where cd = 'A6B7194C357BC9CACD8D0B09E968639D';")</f>
        <v>0</v>
      </c>
      <c r="M12">
        <f t="array" ref="M12">CONCATENATE("update msg_out_fld set description = '",D12,"' where tab_name = 'SPRACHE' and fld_name = 'SPRACHE';")</f>
        <v>0</v>
      </c>
    </row>
    <row r="13" spans="1:13">
      <c r="A13" t="s">
        <v>2098</v>
      </c>
      <c r="C13" t="s">
        <v>171</v>
      </c>
      <c r="D13" t="s">
        <v>2099</v>
      </c>
      <c r="H13" t="s">
        <v>2097</v>
      </c>
      <c r="K13">
        <f t="array" ref="K13">CONCATENATE("update msg_out_fld_config set msg_fld_name = '",A13,"' where cd = 'BF4BB396F3A624FE19DEA098239F115D';")</f>
        <v>0</v>
      </c>
      <c r="M13">
        <f t="array" ref="M13">CONCATENATE("update msg_out_fld set description = '",D13,"' where tab_name = 'SPRACHE' and fld_name = 'HELPFILE';")</f>
        <v>0</v>
      </c>
    </row>
    <row r="14" spans="1:13">
      <c r="A14" t="s">
        <v>2101</v>
      </c>
      <c r="C14" t="s">
        <v>37</v>
      </c>
      <c r="D14" t="s">
        <v>2102</v>
      </c>
      <c r="H14" t="s">
        <v>2100</v>
      </c>
      <c r="K14">
        <f t="array" ref="K14">CONCATENATE("update msg_out_fld_config set msg_fld_name = '",A14,"' where cd = 'A95DBE0164A671B46B33F096FB75A72E';")</f>
        <v>0</v>
      </c>
      <c r="M14">
        <f t="array" ref="M14">CONCATENATE("update msg_out_fld set description = '",D14,"' where tab_name = 'SPRACHE' and fld_name = 'BANKLAGERND';")</f>
        <v>0</v>
      </c>
    </row>
    <row r="15" spans="1:13">
      <c r="A15" t="s">
        <v>2104</v>
      </c>
      <c r="C15" t="s">
        <v>26</v>
      </c>
      <c r="D15" t="s">
        <v>745</v>
      </c>
      <c r="E15" t="s">
        <v>28</v>
      </c>
      <c r="F15" t="s">
        <v>29</v>
      </c>
      <c r="G15" t="s">
        <v>30</v>
      </c>
      <c r="H15" t="s">
        <v>2103</v>
      </c>
      <c r="K15">
        <f t="array" ref="K15">CONCATENATE("update msg_out_fld_config set msg_fld_name = '",A15,"' where cd = 'EE4E2D4BFB5FBB2A8D6AE4C2F5B00791';")</f>
        <v>0</v>
      </c>
      <c r="M15">
        <f t="array" ref="M15">CONCATENATE("update msg_out_fld set description = '",D15,"' where tab_name = 'SPRACHE' and fld_name = 'VERTRAGSPRACHE_CD';")</f>
        <v>0</v>
      </c>
    </row>
    <row r="16" spans="1:13">
      <c r="A16" t="s">
        <v>2105</v>
      </c>
      <c r="C16" t="s">
        <v>26</v>
      </c>
      <c r="D16" t="s">
        <v>2106</v>
      </c>
      <c r="E16" t="s">
        <v>28</v>
      </c>
      <c r="F16" t="s">
        <v>29</v>
      </c>
      <c r="G16" t="s">
        <v>30</v>
      </c>
      <c r="H16" t="s">
        <v>751</v>
      </c>
      <c r="K16">
        <f t="array" ref="K16">CONCATENATE("update msg_out_fld_config set msg_fld_name = '",A16,"' where cd = '8E2C5A03CE699CAA3E38C098F46529C5';")</f>
        <v>0</v>
      </c>
      <c r="M16">
        <f t="array" ref="M16">CONCATENATE("update msg_out_fld set description = '",D16,"' where tab_name = 'SPRACHE' and fld_name = 'KORRESPONDENZSPRACH_CD';")</f>
        <v>0</v>
      </c>
    </row>
    <row r="17" spans="1:13">
      <c r="A17" t="s">
        <v>2108</v>
      </c>
      <c r="C17" t="s">
        <v>26</v>
      </c>
      <c r="D17" t="s">
        <v>2109</v>
      </c>
      <c r="E17" t="s">
        <v>28</v>
      </c>
      <c r="F17" t="s">
        <v>29</v>
      </c>
      <c r="G17" t="s">
        <v>30</v>
      </c>
      <c r="H17" t="s">
        <v>2107</v>
      </c>
      <c r="K17">
        <f t="array" ref="K17">CONCATENATE("update msg_out_fld_config set msg_fld_name = '",A17,"' where cd = '78A04F04839AC766BE5C7A261A81A93F';")</f>
        <v>0</v>
      </c>
      <c r="M17">
        <f t="array" ref="M17">CONCATENATE("update msg_out_fld set description = '",D17,"' where tab_name = 'SPRACHE' and fld_name = 'GUISPRACH_CD';")</f>
        <v>0</v>
      </c>
    </row>
    <row r="18" spans="1:13">
      <c r="A18" t="s">
        <v>2111</v>
      </c>
      <c r="C18" t="s">
        <v>664</v>
      </c>
      <c r="D18" t="s">
        <v>2112</v>
      </c>
      <c r="H18" t="s">
        <v>2110</v>
      </c>
      <c r="K18">
        <f t="array" ref="K18">CONCATENATE("update msg_out_fld_config set msg_fld_name = '",A18,"' where cd = '6C1EC6B5D37A3140AF46C2BFEF265D11';")</f>
        <v>0</v>
      </c>
      <c r="M18">
        <f t="array" ref="M18">CONCATENATE("update msg_out_fld set description = '",D18,"' where tab_name = 'SPRACHE' and fld_name = 'SPRACHE_ISO_CD';")</f>
        <v>0</v>
      </c>
    </row>
    <row r="19" spans="1:13">
      <c r="A19" t="s">
        <v>58</v>
      </c>
      <c r="C19" t="s">
        <v>33</v>
      </c>
      <c r="D19" t="s">
        <v>59</v>
      </c>
      <c r="H19" t="s">
        <v>57</v>
      </c>
      <c r="K19">
        <f t="array" ref="K19">CONCATENATE("update msg_out_fld_config set msg_fld_name = '",A19,"' where cd = '784D6EE713FCB51809A2B35916A97CB2';")</f>
        <v>0</v>
      </c>
      <c r="M19">
        <f t="array" ref="M19">CONCATENATE("update msg_out_fld set description = '",D19,"' where tab_name = 'SPRACHE' and fld_name = 'MUTDATUM';")</f>
        <v>0</v>
      </c>
    </row>
    <row r="20" spans="1:13">
      <c r="A20" t="s">
        <v>61</v>
      </c>
      <c r="C20" t="s">
        <v>37</v>
      </c>
      <c r="D20" t="s">
        <v>62</v>
      </c>
      <c r="E20" t="s">
        <v>39</v>
      </c>
      <c r="F20" t="s">
        <v>23</v>
      </c>
      <c r="H20" t="s">
        <v>60</v>
      </c>
      <c r="K20">
        <f t="array" ref="K20">CONCATENATE("update msg_out_fld_config set msg_fld_name = '",A20,"' where cd = '20168C27AD9267477A5462A36B2A16F2';")</f>
        <v>0</v>
      </c>
      <c r="M20">
        <f t="array" ref="M20">CONCATENATE("update msg_out_fld set description = '",D20,"' where tab_name = 'SPRACHE' and fld_name = 'MUTUSER';")</f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22.2851562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49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2113</v>
      </c>
    </row>
    <row r="2" spans="1:13">
      <c r="A2" s="1" t="s">
        <v>2114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176</v>
      </c>
      <c r="K6">
        <f t="array" ref="K6">CONCATENATE("update msg_out_fld_config set msg_fld_name = '",A6,"' where cd = '9B7598BB6D519EC625958AB0E1776E07';")</f>
        <v>0</v>
      </c>
      <c r="M6">
        <f t="array" ref="M6">CONCATENATE("update msg_out_fld set description = '",D6,"' where tab_name = 'BRIEFANREDE' and fld_name = 'ANREDE_CD';")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'144E399E20615221B8302F5142D16A87';")</f>
        <v>0</v>
      </c>
      <c r="M7">
        <f t="array" ref="M7">CONCATENATE("update msg_out_fld set description = '",D7,"' where tab_name = 'BRIEFANREDE'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'804CE99BE5C161A43A9D3697CEC4CBFD';")</f>
        <v>0</v>
      </c>
      <c r="M8">
        <f t="array" ref="M8">CONCATENATE("update msg_out_fld set description = '",D8,"' where tab_name = 'BRIEFANREDE'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'B3ED577AF2A972907E4B95B202DDE737';")</f>
        <v>0</v>
      </c>
      <c r="M9">
        <f t="array" ref="M9">CONCATENATE("update msg_out_fld set description = '",D9,"' where tab_name = 'BRIEFANREDE'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'F278B64FA44A3A8B0C72D5DC72987F50';")</f>
        <v>0</v>
      </c>
      <c r="M10">
        <f t="array" ref="M10">CONCATENATE("update msg_out_fld set description = '",D10,"' where tab_name = 'BRIEFANREDE'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'AB84AB9BEBD7DA729832813455B7FEE9';")</f>
        <v>0</v>
      </c>
      <c r="M11">
        <f t="array" ref="M11">CONCATENATE("update msg_out_fld set description = '",D11,"' where tab_name = 'BRIEFANREDE' and fld_name = 'CRTUSER';")</f>
        <v>0</v>
      </c>
    </row>
    <row r="12" spans="1:13">
      <c r="A12" t="s">
        <v>55</v>
      </c>
      <c r="C12" t="s">
        <v>37</v>
      </c>
      <c r="D12" t="s">
        <v>2116</v>
      </c>
      <c r="H12" t="s">
        <v>2115</v>
      </c>
      <c r="K12">
        <f t="array" ref="K12">CONCATENATE("update msg_out_fld_config set msg_fld_name = '",A12,"' where cd = '759D8795C0AB1259D2B59531E51E6F4F';")</f>
        <v>0</v>
      </c>
      <c r="M12">
        <f t="array" ref="M12">CONCATENATE("update msg_out_fld set description = '",D12,"' where tab_name = 'BRIEFANREDE' and fld_name = 'ANREDE';")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'C3576050F234C5FA080D2AED4DDDA2A5';")</f>
        <v>0</v>
      </c>
      <c r="M13">
        <f t="array" ref="M13">CONCATENATE("update msg_out_fld set description = '",D13,"' where tab_name = 'BRIEFANREDE'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'628298B43708301294F9708A14521A0B';")</f>
        <v>0</v>
      </c>
      <c r="M14">
        <f t="array" ref="M14">CONCATENATE("update msg_out_fld set description = '",D14,"' where tab_name = 'BRIEFANREDE' and fld_name = 'MUTUSER';")</f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23.5703125" customWidth="1"/>
    <col min="2" max="2" width="4.28515625" customWidth="1"/>
    <col min="3" max="3" width="16.28515625" customWidth="1"/>
    <col min="4" max="4" width="41.5703125" customWidth="1"/>
    <col min="5" max="5" width="34.28515625" customWidth="1"/>
    <col min="6" max="6" width="10.28515625" customWidth="1"/>
    <col min="7" max="7" width="15.140625" customWidth="1"/>
    <col min="8" max="8" width="24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7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2117</v>
      </c>
    </row>
    <row r="2" spans="1:13">
      <c r="A2" s="1" t="s">
        <v>2118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2119</v>
      </c>
      <c r="H6" t="s">
        <v>457</v>
      </c>
      <c r="K6">
        <f t="array" ref="K6">CONCATENATE("update msg_out_fld_config set msg_fld_name = '",A6,"' where cd = '43C320F208EBD391F379220BE7C80A3E';")</f>
        <v>0</v>
      </c>
      <c r="M6">
        <f t="array" ref="M6">CONCATENATE("update msg_out_fld set description = '",D6,"' where tab_name = 'VERSANDATTACHMENT' and fld_name = 'VERSANDATTACHMENTID';")</f>
        <v>0</v>
      </c>
    </row>
    <row r="7" spans="1:13">
      <c r="A7" t="s">
        <v>14</v>
      </c>
      <c r="C7" t="s">
        <v>211</v>
      </c>
      <c r="D7" t="s">
        <v>17</v>
      </c>
      <c r="H7" t="s">
        <v>454</v>
      </c>
      <c r="K7">
        <f t="array" ref="K7">CONCATENATE("update msg_out_fld_config set msg_fld_name = '",A7,"' where cd = '5431C11B3E5808360430C964342375C0';")</f>
        <v>0</v>
      </c>
      <c r="M7">
        <f t="array" ref="M7">CONCATENATE("update msg_out_fld set description = '",D7,"' where tab_name = 'VERSANDATTACHMENT' and fld_name = 'VERSANDATTACHMENT_CD';")</f>
        <v>0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'319810C83C029426FCA62CD2033EFDD6';")</f>
        <v>0</v>
      </c>
      <c r="M8">
        <f t="array" ref="M8">CONCATENATE("update msg_out_fld set description = '",D8,"' where tab_name = 'VERSANDATTACHMENT' and fld_name = 'LOESCH_CD';")</f>
        <v>0</v>
      </c>
    </row>
    <row r="9" spans="1:13">
      <c r="A9" t="s">
        <v>32</v>
      </c>
      <c r="C9" t="s">
        <v>33</v>
      </c>
      <c r="D9" t="s">
        <v>34</v>
      </c>
      <c r="H9" t="s">
        <v>31</v>
      </c>
      <c r="K9">
        <f t="array" ref="K9">CONCATENATE("update msg_out_fld_config set msg_fld_name = '",A9,"' where cd = 'F1293393D4FEAAFC57BB0D8DDA1CAFAE';")</f>
        <v>0</v>
      </c>
      <c r="M9">
        <f t="array" ref="M9">CONCATENATE("update msg_out_fld set description = '",D9,"' where tab_name = 'VERSANDATTACHMENT' and fld_name = 'LOESCHDATUM';")</f>
        <v>0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'8E4595665171E8BB5421CE16A49C2E67';")</f>
        <v>0</v>
      </c>
      <c r="M10">
        <f t="array" ref="M10">CONCATENATE("update msg_out_fld set description = '",D10,"' where tab_name = 'VERSANDATTACHMENT' and fld_name = 'LOESCHUSER';")</f>
        <v>0</v>
      </c>
    </row>
    <row r="11" spans="1:13">
      <c r="A11" t="s">
        <v>45</v>
      </c>
      <c r="C11" t="s">
        <v>33</v>
      </c>
      <c r="D11" t="s">
        <v>46</v>
      </c>
      <c r="H11" t="s">
        <v>44</v>
      </c>
      <c r="K11">
        <f t="array" ref="K11">CONCATENATE("update msg_out_fld_config set msg_fld_name = '",A11,"' where cd = 'A888E0B971433B5352A50CB1A5060399';")</f>
        <v>0</v>
      </c>
      <c r="M11">
        <f t="array" ref="M11">CONCATENATE("update msg_out_fld set description = '",D11,"' where tab_name = 'VERSANDATTACHMENT' and fld_name = 'CRTDATUM';")</f>
        <v>0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  <c r="K12">
        <f t="array" ref="K12">CONCATENATE("update msg_out_fld_config set msg_fld_name = '",A12,"' where cd = '5FD045DBFC174BE821CD55E94436DD8A';")</f>
        <v>0</v>
      </c>
      <c r="M12">
        <f t="array" ref="M12">CONCATENATE("update msg_out_fld set description = '",D12,"' where tab_name = 'VERSANDATTACHMENT' and fld_name = 'CRTUSER';")</f>
        <v>0</v>
      </c>
    </row>
    <row r="13" spans="1:13">
      <c r="A13" t="s">
        <v>55</v>
      </c>
      <c r="C13" t="s">
        <v>1226</v>
      </c>
      <c r="D13" t="s">
        <v>2121</v>
      </c>
      <c r="H13" t="s">
        <v>2120</v>
      </c>
      <c r="K13">
        <f t="array" ref="K13">CONCATENATE("update msg_out_fld_config set msg_fld_name = '",A13,"' where cd = 'BBA7B93523DBA7BDF9671394CB4A0D05';")</f>
        <v>0</v>
      </c>
      <c r="M13">
        <f t="array" ref="M13">CONCATENATE("update msg_out_fld set description = '",D13,"' where tab_name = 'VERSANDATTACHMENT' and fld_name = 'VERSANDATTACHMENT';")</f>
        <v>0</v>
      </c>
    </row>
    <row r="14" spans="1:13">
      <c r="A14" t="s">
        <v>2123</v>
      </c>
      <c r="C14" t="s">
        <v>26</v>
      </c>
      <c r="D14" t="s">
        <v>2124</v>
      </c>
      <c r="E14" t="s">
        <v>28</v>
      </c>
      <c r="F14" t="s">
        <v>29</v>
      </c>
      <c r="G14" t="s">
        <v>30</v>
      </c>
      <c r="H14" t="s">
        <v>2122</v>
      </c>
      <c r="K14">
        <f t="array" ref="K14">CONCATENATE("update msg_out_fld_config set msg_fld_name = '",A14,"' where cd = '1C015B3B45A694201668111F10BBE212';")</f>
        <v>0</v>
      </c>
      <c r="M14">
        <f t="array" ref="M14">CONCATENATE("update msg_out_fld set description = '",D14,"' where tab_name = 'VERSANDATTACHMENT' and fld_name = 'ANLAGEVERFAELLT_CD';")</f>
        <v>0</v>
      </c>
    </row>
    <row r="15" spans="1:13">
      <c r="A15" t="s">
        <v>2126</v>
      </c>
      <c r="C15" t="s">
        <v>171</v>
      </c>
      <c r="D15" t="s">
        <v>2127</v>
      </c>
      <c r="H15" t="s">
        <v>2125</v>
      </c>
      <c r="K15">
        <f t="array" ref="K15">CONCATENATE("update msg_out_fld_config set msg_fld_name = '",A15,"' where cd = 'FDE497BF4D6306859678A78258F7DF21';")</f>
        <v>0</v>
      </c>
      <c r="M15">
        <f t="array" ref="M15">CONCATENATE("update msg_out_fld set description = '",D15,"' where tab_name = 'VERSANDATTACHMENT' and fld_name = 'FILENAME';")</f>
        <v>0</v>
      </c>
    </row>
    <row r="16" spans="1:13">
      <c r="A16" t="s">
        <v>2129</v>
      </c>
      <c r="C16" t="s">
        <v>26</v>
      </c>
      <c r="D16" t="s">
        <v>2130</v>
      </c>
      <c r="E16" t="s">
        <v>28</v>
      </c>
      <c r="F16" t="s">
        <v>29</v>
      </c>
      <c r="G16" t="s">
        <v>30</v>
      </c>
      <c r="H16" t="s">
        <v>2128</v>
      </c>
      <c r="K16">
        <f t="array" ref="K16">CONCATENATE("update msg_out_fld_config set msg_fld_name = '",A16,"' where cd = 'DA59EEB501CA55506EABF9C8812B9784';")</f>
        <v>0</v>
      </c>
      <c r="M16">
        <f t="array" ref="M16">CONCATENATE("update msg_out_fld set description = '",D16,"' where tab_name = 'VERSANDATTACHMENT' and fld_name = 'ANLAGEALSFILE_CD';")</f>
        <v>0</v>
      </c>
    </row>
    <row r="17" spans="1:13">
      <c r="A17" t="s">
        <v>2132</v>
      </c>
      <c r="C17" t="s">
        <v>20</v>
      </c>
      <c r="D17" t="s">
        <v>2133</v>
      </c>
      <c r="H17" t="s">
        <v>2131</v>
      </c>
      <c r="K17">
        <f t="array" ref="K17">CONCATENATE("update msg_out_fld_config set msg_fld_name = '",A17,"' where cd = 'A0D03AEB5F5D178C4E498F0180CA84DA';")</f>
        <v>0</v>
      </c>
      <c r="M17">
        <f t="array" ref="M17">CONCATENATE("update msg_out_fld set description = '",D17,"' where tab_name = 'VERSANDATTACHMENT' and fld_name = 'LOBTYPE';")</f>
        <v>0</v>
      </c>
    </row>
    <row r="18" spans="1:13">
      <c r="A18" t="s">
        <v>58</v>
      </c>
      <c r="C18" t="s">
        <v>33</v>
      </c>
      <c r="D18" t="s">
        <v>59</v>
      </c>
      <c r="H18" t="s">
        <v>57</v>
      </c>
      <c r="K18">
        <f t="array" ref="K18">CONCATENATE("update msg_out_fld_config set msg_fld_name = '",A18,"' where cd = '9BB174A3AFE6716E354CAB46AC2CD770';")</f>
        <v>0</v>
      </c>
      <c r="M18">
        <f t="array" ref="M18">CONCATENATE("update msg_out_fld set description = '",D18,"' where tab_name = 'VERSANDATTACHMENT' and fld_name = 'MUTDATUM';")</f>
        <v>0</v>
      </c>
    </row>
    <row r="19" spans="1:13">
      <c r="A19" t="s">
        <v>61</v>
      </c>
      <c r="C19" t="s">
        <v>37</v>
      </c>
      <c r="D19" t="s">
        <v>62</v>
      </c>
      <c r="E19" t="s">
        <v>39</v>
      </c>
      <c r="F19" t="s">
        <v>23</v>
      </c>
      <c r="H19" t="s">
        <v>60</v>
      </c>
      <c r="K19">
        <f t="array" ref="K19">CONCATENATE("update msg_out_fld_config set msg_fld_name = '",A19,"' where cd = '649A5EE1589E5A93540F8941BB9A106C';")</f>
        <v>0</v>
      </c>
      <c r="M19">
        <f t="array" ref="M19">CONCATENATE("update msg_out_fld set description = '",D19,"' where tab_name = 'VERSANDATTACHMENT' and fld_name = 'MUTUSER';")</f>
        <v>0</v>
      </c>
    </row>
    <row r="20" spans="1:13">
      <c r="A20" t="s">
        <v>487</v>
      </c>
      <c r="C20" t="s">
        <v>90</v>
      </c>
      <c r="D20" t="s">
        <v>2134</v>
      </c>
      <c r="E20" t="s">
        <v>489</v>
      </c>
      <c r="F20" t="s">
        <v>23</v>
      </c>
      <c r="H20" t="s">
        <v>486</v>
      </c>
      <c r="K20">
        <f t="array" ref="K20">CONCATENATE("update msg_out_fld_config set msg_fld_name = '",A20,"' where cd = '2134365993D2C4E7DDD2002D451C9DA4';")</f>
        <v>0</v>
      </c>
      <c r="M20">
        <f t="array" ref="M20">CONCATENATE("update msg_out_fld set description = '",D20,"' where tab_name = 'VERSANDATTACHMENT' and fld_name = 'GRUPPEN_CD';")</f>
        <v>0</v>
      </c>
    </row>
    <row r="21" spans="1:13">
      <c r="A21" t="s">
        <v>204</v>
      </c>
      <c r="C21" t="s">
        <v>104</v>
      </c>
      <c r="D21" t="s">
        <v>205</v>
      </c>
      <c r="H21" t="s">
        <v>2135</v>
      </c>
      <c r="K21">
        <f t="array" ref="K21">CONCATENATE("update msg_out_fld_config set msg_fld_name = '",A21,"' where cd = 'CB67B317194F533EB4853E0B9AFF1638';")</f>
        <v>0</v>
      </c>
      <c r="M21">
        <f t="array" ref="M21">CONCATENATE("update msg_out_fld set description = '",D21,"' where tab_name = 'VERSANDATTACHMENT' and fld_name = 'VERFALLSDATUM';")</f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2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2136</v>
      </c>
    </row>
    <row r="2" spans="1:13">
      <c r="A2" s="1" t="s">
        <v>2137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66</v>
      </c>
      <c r="K6">
        <f t="array" ref="K6">CONCATENATE("update msg_out_fld_config set msg_fld_name = '",A6,"' where cd = '36867E105F31AE5DACD86F1B2416A430';")</f>
        <v>0</v>
      </c>
      <c r="M6">
        <f t="array" ref="M6">CONCATENATE("update msg_out_fld set description = '",D6,"' where tab_name = 'MAILING_BUSINESS_UNIT1' and fld_name = 'UNIT_CD';")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'DED40128F1D9D91FC47EAEFBD77560AF';")</f>
        <v>0</v>
      </c>
      <c r="M7">
        <f t="array" ref="M7">CONCATENATE("update msg_out_fld set description = '",D7,"' where tab_name = 'MAILING_BUSINESS_UNIT1'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'AA36CA4A9FAEF0F45821E6B55D203D31';")</f>
        <v>0</v>
      </c>
      <c r="M8">
        <f t="array" ref="M8">CONCATENATE("update msg_out_fld set description = '",D8,"' where tab_name = 'MAILING_BUSINESS_UNIT1'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'973B85F2C578289731498E5193102210';")</f>
        <v>0</v>
      </c>
      <c r="M9">
        <f t="array" ref="M9">CONCATENATE("update msg_out_fld set description = '",D9,"' where tab_name = 'MAILING_BUSINESS_UNIT1'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'C246509754DC3CC90A714370B4037DF8';")</f>
        <v>0</v>
      </c>
      <c r="M10">
        <f t="array" ref="M10">CONCATENATE("update msg_out_fld set description = '",D10,"' where tab_name = 'MAILING_BUSINESS_UNIT1'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'87F52B6BEE797DA6FD5A522FEFC6F662';")</f>
        <v>0</v>
      </c>
      <c r="M11">
        <f t="array" ref="M11">CONCATENATE("update msg_out_fld set description = '",D11,"' where tab_name = 'MAILING_BUSINESS_UNIT1' and fld_name = 'CRTUSER';")</f>
        <v>0</v>
      </c>
    </row>
    <row r="12" spans="1:13">
      <c r="A12" t="s">
        <v>55</v>
      </c>
      <c r="C12" t="s">
        <v>37</v>
      </c>
      <c r="D12" t="s">
        <v>168</v>
      </c>
      <c r="H12" t="s">
        <v>166</v>
      </c>
      <c r="K12">
        <f t="array" ref="K12">CONCATENATE("update msg_out_fld_config set msg_fld_name = '",A12,"' where cd = 'E516B244F15178656E1B9C6DFC779978';")</f>
        <v>0</v>
      </c>
      <c r="M12">
        <f t="array" ref="M12">CONCATENATE("update msg_out_fld set description = '",D12,"' where tab_name = 'MAILING_BUSINESS_UNIT1' and fld_name = 'NAME';")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'004F11EF27BFB10E76581640C503EF44';")</f>
        <v>0</v>
      </c>
      <c r="M13">
        <f t="array" ref="M13">CONCATENATE("update msg_out_fld set description = '",D13,"' where tab_name = 'MAILING_BUSINESS_UNIT1'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'4D979B81A089311D53C4D0E28A6CB693';")</f>
        <v>0</v>
      </c>
      <c r="M14">
        <f t="array" ref="M14">CONCATENATE("update msg_out_fld set description = '",D14,"' where tab_name = 'MAILING_BUSINESS_UNIT1' and fld_name = 'MUTUSER';")</f>
        <v>0</v>
      </c>
    </row>
    <row r="15" spans="1:13">
      <c r="A15" t="s">
        <v>2139</v>
      </c>
      <c r="C15" t="s">
        <v>1226</v>
      </c>
      <c r="D15" t="s">
        <v>2140</v>
      </c>
      <c r="H15" t="s">
        <v>2138</v>
      </c>
      <c r="K15">
        <f t="array" ref="K15">CONCATENATE("update msg_out_fld_config set msg_fld_name = '",A15,"' where cd = '9044BC0874DF0E5988E6CAB4298F1350';")</f>
        <v>0</v>
      </c>
      <c r="M15">
        <f t="array" ref="M15">CONCATENATE("update msg_out_fld set description = '",D15,"' where tab_name = 'MAILING_BUSINESS_UNIT1' and fld_name = 'PP_TEXT';")</f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9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6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2141</v>
      </c>
    </row>
    <row r="2" spans="1:13">
      <c r="A2" s="1" t="s">
        <v>2142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1376</v>
      </c>
      <c r="K6">
        <f t="array" ref="K6">CONCATENATE("update msg_out_fld_config set msg_fld_name = '",A6,"' where cd = 'D31BE40F55476DF6082A702BB74B3143';")</f>
        <v>0</v>
      </c>
      <c r="M6">
        <f t="array" ref="M6">CONCATENATE("update msg_out_fld set description = '",D6,"' where tab_name = 'MAILING_DESTINATION' and fld_name = 'DESTINATION_CD';")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'0051858578EE25D3D8A59AA6BBBCC137';")</f>
        <v>0</v>
      </c>
      <c r="M7">
        <f t="array" ref="M7">CONCATENATE("update msg_out_fld set description = '",D7,"' where tab_name = 'MAILING_DESTINATION'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'9E6BF38C281D975E084FE2D22F948190';")</f>
        <v>0</v>
      </c>
      <c r="M8">
        <f t="array" ref="M8">CONCATENATE("update msg_out_fld set description = '",D8,"' where tab_name = 'MAILING_DESTINATION'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'817233328DC3B963695B71A9117F2500';")</f>
        <v>0</v>
      </c>
      <c r="M9">
        <f t="array" ref="M9">CONCATENATE("update msg_out_fld set description = '",D9,"' where tab_name = 'MAILING_DESTINATION'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'5D57ED3B5AA274A42EFA678F98A60C15';")</f>
        <v>0</v>
      </c>
      <c r="M10">
        <f t="array" ref="M10">CONCATENATE("update msg_out_fld set description = '",D10,"' where tab_name = 'MAILING_DESTINATION'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'E24149EB1A26579ABF6F700372C554AF';")</f>
        <v>0</v>
      </c>
      <c r="M11">
        <f t="array" ref="M11">CONCATENATE("update msg_out_fld set description = '",D11,"' where tab_name = 'MAILING_DESTINATION' and fld_name = 'CRTUSER';")</f>
        <v>0</v>
      </c>
    </row>
    <row r="12" spans="1:13">
      <c r="A12" t="s">
        <v>55</v>
      </c>
      <c r="C12" t="s">
        <v>42</v>
      </c>
      <c r="D12" t="s">
        <v>2144</v>
      </c>
      <c r="H12" t="s">
        <v>2143</v>
      </c>
      <c r="K12">
        <f t="array" ref="K12">CONCATENATE("update msg_out_fld_config set msg_fld_name = '",A12,"' where cd = 'A274AB0A7A04B7698DBC3338CD2FD1F8';")</f>
        <v>0</v>
      </c>
      <c r="M12">
        <f t="array" ref="M12">CONCATENATE("update msg_out_fld set description = '",D12,"' where tab_name = 'MAILING_DESTINATION' and fld_name = 'DESTINATION_TEXT';")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'26CD01B1A689A71C47E1E1ECDFB5DB6E';")</f>
        <v>0</v>
      </c>
      <c r="M13">
        <f t="array" ref="M13">CONCATENATE("update msg_out_fld set description = '",D13,"' where tab_name = 'MAILING_DESTINATION'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'6D930BE668E99E4B242A94E7917205BD';")</f>
        <v>0</v>
      </c>
      <c r="M14">
        <f t="array" ref="M14">CONCATENATE("update msg_out_fld set description = '",D14,"' where tab_name = 'MAILING_DESTINATION' and fld_name = 'MUTUSER';")</f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23.5703125" customWidth="1"/>
    <col min="5" max="5" width="34.28515625" customWidth="1"/>
    <col min="6" max="6" width="10.28515625" customWidth="1"/>
    <col min="7" max="7" width="15.140625" customWidth="1"/>
    <col min="8" max="8" width="17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3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2145</v>
      </c>
    </row>
    <row r="2" spans="1:13">
      <c r="A2" s="1" t="s">
        <v>2146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2147</v>
      </c>
      <c r="K6">
        <f t="array" ref="K6">CONCATENATE("update msg_out_fld_config set msg_fld_name = '",A6,"' where cd = 'D1CE77FAD875614A2A55C8086FE25B66';")</f>
        <v>0</v>
      </c>
      <c r="M6">
        <f t="array" ref="M6">CONCATENATE("update msg_out_fld set description = '",D6,"' where tab_name = 'VERSHAEUFIG' and fld_name = 'VERSHAEUFIG_CD';")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'EBAB03398A3D7F55214FB87C207C0390';")</f>
        <v>0</v>
      </c>
      <c r="M7">
        <f t="array" ref="M7">CONCATENATE("update msg_out_fld set description = '",D7,"' where tab_name = 'VERSHAEUFIG'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'FBD31B926B6B408989754C9CEFC297A9';")</f>
        <v>0</v>
      </c>
      <c r="M8">
        <f t="array" ref="M8">CONCATENATE("update msg_out_fld set description = '",D8,"' where tab_name = 'VERSHAEUFIG'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'DFF29637DB0383F94A94F65487C9C4D8';")</f>
        <v>0</v>
      </c>
      <c r="M9">
        <f t="array" ref="M9">CONCATENATE("update msg_out_fld set description = '",D9,"' where tab_name = 'VERSHAEUFIG'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'8371602ACA65EF9A730116841FF7ADF5';")</f>
        <v>0</v>
      </c>
      <c r="M10">
        <f t="array" ref="M10">CONCATENATE("update msg_out_fld set description = '",D10,"' where tab_name = 'VERSHAEUFIG'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'99AA001122E510576C187BE26EB66CAF';")</f>
        <v>0</v>
      </c>
      <c r="M11">
        <f t="array" ref="M11">CONCATENATE("update msg_out_fld set description = '",D11,"' where tab_name = 'VERSHAEUFIG' and fld_name = 'CRTUSER';")</f>
        <v>0</v>
      </c>
    </row>
    <row r="12" spans="1:13">
      <c r="A12" t="s">
        <v>55</v>
      </c>
      <c r="C12" t="s">
        <v>211</v>
      </c>
      <c r="D12" t="s">
        <v>2149</v>
      </c>
      <c r="H12" t="s">
        <v>2148</v>
      </c>
      <c r="K12">
        <f t="array" ref="K12">CONCATENATE("update msg_out_fld_config set msg_fld_name = '",A12,"' where cd = 'D980A14EDC7BECC365214A274C7F5314';")</f>
        <v>0</v>
      </c>
      <c r="M12">
        <f t="array" ref="M12">CONCATENATE("update msg_out_fld set description = '",D12,"' where tab_name = 'VERSHAEUFIG' and fld_name = 'VERSHAEUFIG';")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'B38D0882BAEE218EAF307EFF14746E07';")</f>
        <v>0</v>
      </c>
      <c r="M13">
        <f t="array" ref="M13">CONCATENATE("update msg_out_fld set description = '",D13,"' where tab_name = 'VERSHAEUFIG'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'71ADCDEDDD20FCFAB688FD0A66DD35C8';")</f>
        <v>0</v>
      </c>
      <c r="M14">
        <f t="array" ref="M14">CONCATENATE("update msg_out_fld set description = '",D14,"' where tab_name = 'VERSHAEUFIG' and fld_name = 'MUTUSER';")</f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21.140625" customWidth="1"/>
    <col min="2" max="2" width="4.28515625" customWidth="1"/>
    <col min="3" max="3" width="16.28515625" customWidth="1"/>
    <col min="4" max="4" width="37.85546875" customWidth="1"/>
    <col min="5" max="5" width="31.85546875" customWidth="1"/>
    <col min="6" max="6" width="10.28515625" customWidth="1"/>
    <col min="7" max="7" width="29.5703125" customWidth="1"/>
    <col min="8" max="8" width="24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1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2150</v>
      </c>
    </row>
    <row r="2" spans="1:13">
      <c r="A2" s="1" t="s">
        <v>2151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2153</v>
      </c>
      <c r="H6" t="s">
        <v>2152</v>
      </c>
      <c r="K6">
        <f t="array" ref="K6">CONCATENATE("update msg_out_fld_config set msg_fld_name = '",A6,"' where cd = '7D86C71ED74304441A05B55022437754';")</f>
        <v>0</v>
      </c>
      <c r="M6">
        <f t="array" ref="M6">CONCATENATE("update msg_out_fld set description = '",D6,"' where tab_name = 'VERSANDINSTR' and fld_name = 'VERSANDINSTRUKTIONID';")</f>
        <v>0</v>
      </c>
    </row>
    <row r="7" spans="1:13">
      <c r="A7" t="s">
        <v>93</v>
      </c>
      <c r="C7" t="s">
        <v>90</v>
      </c>
      <c r="D7" t="s">
        <v>94</v>
      </c>
      <c r="H7" t="s">
        <v>92</v>
      </c>
      <c r="K7">
        <f t="array" ref="K7">CONCATENATE("update msg_out_fld_config set msg_fld_name = '",A7,"' where cd = 'C2FAF125E8A4BB2C5443675416F2A62B';")</f>
        <v>0</v>
      </c>
      <c r="M7">
        <f t="array" ref="M7">CONCATENATE("update msg_out_fld set description = '",D7,"' where tab_name = 'VERSANDINSTR' and fld_name = 'AKTID';")</f>
        <v>0</v>
      </c>
    </row>
    <row r="8" spans="1:13">
      <c r="A8" t="s">
        <v>1014</v>
      </c>
      <c r="C8" t="s">
        <v>90</v>
      </c>
      <c r="D8" t="s">
        <v>2154</v>
      </c>
      <c r="E8" t="s">
        <v>162</v>
      </c>
      <c r="H8" t="s">
        <v>88</v>
      </c>
      <c r="K8">
        <f t="array" ref="K8">CONCATENATE("update msg_out_fld_config set msg_fld_name = '",A8,"' where cd = '9267976DA1A40CC542FCEC2B1026B01A';")</f>
        <v>0</v>
      </c>
      <c r="M8">
        <f t="array" ref="M8">CONCATENATE("update msg_out_fld set description = '",D8,"' where tab_name = 'VERSANDINSTR' and fld_name = 'ADRESSID';")</f>
        <v>0</v>
      </c>
    </row>
    <row r="9" spans="1:13">
      <c r="A9" t="s">
        <v>2156</v>
      </c>
      <c r="C9" t="s">
        <v>90</v>
      </c>
      <c r="D9" t="s">
        <v>2157</v>
      </c>
      <c r="E9" t="s">
        <v>2158</v>
      </c>
      <c r="F9" t="s">
        <v>23</v>
      </c>
      <c r="H9" t="s">
        <v>2155</v>
      </c>
      <c r="K9">
        <f t="array" ref="K9">CONCATENATE("update msg_out_fld_config set msg_fld_name = '",A9,"' where cd = '365AFB97168FDD208DF332E8C3318E3C';")</f>
        <v>0</v>
      </c>
      <c r="M9">
        <f t="array" ref="M9">CONCATENATE("update msg_out_fld set description = '",D9,"' where tab_name = 'VERSANDINSTR' and fld_name = 'BUSINESS_UNIT1_CD';")</f>
        <v>0</v>
      </c>
    </row>
    <row r="10" spans="1:13">
      <c r="A10" t="s">
        <v>421</v>
      </c>
      <c r="C10" t="s">
        <v>90</v>
      </c>
      <c r="D10" t="s">
        <v>422</v>
      </c>
      <c r="H10" t="s">
        <v>420</v>
      </c>
      <c r="K10">
        <f t="array" ref="K10">CONCATENATE("update msg_out_fld_config set msg_fld_name = '",A10,"' where cd = '81B1F2417F6D4B4E5C31F7BC75B70B0E';")</f>
        <v>0</v>
      </c>
      <c r="M10">
        <f t="array" ref="M10">CONCATENATE("update msg_out_fld set description = '",D10,"' where tab_name = 'VERSANDINSTR' and fld_name = 'KUNDENID';")</f>
        <v>0</v>
      </c>
    </row>
    <row r="11" spans="1:13">
      <c r="A11" t="s">
        <v>2159</v>
      </c>
      <c r="C11" t="s">
        <v>90</v>
      </c>
      <c r="D11" t="s">
        <v>2160</v>
      </c>
      <c r="H11" t="s">
        <v>1230</v>
      </c>
      <c r="K11">
        <f t="array" ref="K11">CONCATENATE("update msg_out_fld_config set msg_fld_name = '",A11,"' where cd = 'CA96901C7AB52E8C875535D3222A4D1B';")</f>
        <v>0</v>
      </c>
      <c r="M11">
        <f t="array" ref="M11">CONCATENATE("update msg_out_fld set description = '",D11,"' where tab_name = 'VERSANDINSTR' and fld_name = 'KOMMUNIKATIONSID';")</f>
        <v>0</v>
      </c>
    </row>
    <row r="12" spans="1:13">
      <c r="A12" t="s">
        <v>45</v>
      </c>
      <c r="C12" t="s">
        <v>33</v>
      </c>
      <c r="D12" t="s">
        <v>2161</v>
      </c>
      <c r="H12" t="s">
        <v>44</v>
      </c>
      <c r="K12">
        <f t="array" ref="K12">CONCATENATE("update msg_out_fld_config set msg_fld_name = '",A12,"' where cd = '60EB09F2E7E3F5E1D0612BDC1CA14E24';")</f>
        <v>0</v>
      </c>
      <c r="M12">
        <f t="array" ref="M12">CONCATENATE("update msg_out_fld set description = '",D12,"' where tab_name = 'VERSANDINSTR' and fld_name = 'CRTDATUM';")</f>
        <v>0</v>
      </c>
    </row>
    <row r="13" spans="1:13">
      <c r="A13" t="s">
        <v>48</v>
      </c>
      <c r="C13" t="s">
        <v>37</v>
      </c>
      <c r="D13" t="s">
        <v>2162</v>
      </c>
      <c r="E13" t="s">
        <v>39</v>
      </c>
      <c r="F13" t="s">
        <v>23</v>
      </c>
      <c r="H13" t="s">
        <v>47</v>
      </c>
      <c r="K13">
        <f t="array" ref="K13">CONCATENATE("update msg_out_fld_config set msg_fld_name = '",A13,"' where cd = 'E6997089339E58AF061F97C21A26912E';")</f>
        <v>0</v>
      </c>
      <c r="M13">
        <f t="array" ref="M13">CONCATENATE("update msg_out_fld set description = '",D13,"' where tab_name = 'VERSANDINSTR' and fld_name = 'CRTUSER';")</f>
        <v>0</v>
      </c>
    </row>
    <row r="14" spans="1:13">
      <c r="A14" t="s">
        <v>2163</v>
      </c>
      <c r="C14" t="s">
        <v>68</v>
      </c>
      <c r="D14" t="s">
        <v>1412</v>
      </c>
      <c r="E14" t="s">
        <v>2164</v>
      </c>
      <c r="F14" t="s">
        <v>23</v>
      </c>
      <c r="H14" t="s">
        <v>1376</v>
      </c>
      <c r="K14">
        <f t="array" ref="K14">CONCATENATE("update msg_out_fld_config set msg_fld_name = '",A14,"' where cd = '55D740AABCD1A6AF01AA585BBEA83B45';")</f>
        <v>0</v>
      </c>
      <c r="M14">
        <f t="array" ref="M14">CONCATENATE("update msg_out_fld set description = '",D14,"' where tab_name = 'VERSANDINSTR' and fld_name = 'DESTINATION_CD';")</f>
        <v>0</v>
      </c>
    </row>
    <row r="15" spans="1:13">
      <c r="A15" t="s">
        <v>2165</v>
      </c>
      <c r="C15" t="s">
        <v>20</v>
      </c>
      <c r="D15" t="s">
        <v>1602</v>
      </c>
      <c r="E15" t="s">
        <v>2166</v>
      </c>
      <c r="F15" t="s">
        <v>23</v>
      </c>
      <c r="H15" t="s">
        <v>1598</v>
      </c>
      <c r="K15">
        <f t="array" ref="K15">CONCATENATE("update msg_out_fld_config set msg_fld_name = '",A15,"' where cd = 'F8464F7F48EBD2F844216339038FDAE0';")</f>
        <v>0</v>
      </c>
      <c r="M15">
        <f t="array" ref="M15">CONCATENATE("update msg_out_fld set description = '",D15,"' where tab_name = 'VERSANDINSTR' and fld_name = 'FORMAT_CD';")</f>
        <v>0</v>
      </c>
    </row>
    <row r="16" spans="1:13">
      <c r="A16" t="s">
        <v>2167</v>
      </c>
      <c r="C16" t="s">
        <v>68</v>
      </c>
      <c r="D16" t="s">
        <v>1612</v>
      </c>
      <c r="E16" t="s">
        <v>2168</v>
      </c>
      <c r="F16" t="s">
        <v>23</v>
      </c>
      <c r="H16" t="s">
        <v>1610</v>
      </c>
      <c r="K16">
        <f t="array" ref="K16">CONCATENATE("update msg_out_fld_config set msg_fld_name = '",A16,"' where cd = 'A5C041F1F4CBCA5CAA26DFC80EF5236B';")</f>
        <v>0</v>
      </c>
      <c r="M16">
        <f t="array" ref="M16">CONCATENATE("update msg_out_fld set description = '",D16,"' where tab_name = 'VERSANDINSTR' and fld_name = 'ERSTHAEUFIG_CD';")</f>
        <v>0</v>
      </c>
    </row>
    <row r="17" spans="1:13">
      <c r="A17" t="s">
        <v>1067</v>
      </c>
      <c r="C17" t="s">
        <v>90</v>
      </c>
      <c r="D17" t="s">
        <v>127</v>
      </c>
      <c r="E17" t="s">
        <v>128</v>
      </c>
      <c r="H17" t="s">
        <v>125</v>
      </c>
      <c r="K17">
        <f t="array" ref="K17">CONCATENATE("update msg_out_fld_config set msg_fld_name = '",A17,"' where cd = 'F6E273B7CA83E3EDEAB0D13ECDAE2331';")</f>
        <v>0</v>
      </c>
      <c r="M17">
        <f t="array" ref="M17">CONCATENATE("update msg_out_fld set description = '",D17,"' where tab_name = 'VERSANDINSTR' and fld_name = 'PERSONID';")</f>
        <v>0</v>
      </c>
    </row>
    <row r="18" spans="1:13">
      <c r="A18" t="s">
        <v>2169</v>
      </c>
      <c r="C18" t="s">
        <v>68</v>
      </c>
      <c r="D18" t="s">
        <v>2149</v>
      </c>
      <c r="E18" t="s">
        <v>2170</v>
      </c>
      <c r="F18" t="s">
        <v>23</v>
      </c>
      <c r="H18" t="s">
        <v>2147</v>
      </c>
      <c r="K18">
        <f t="array" ref="K18">CONCATENATE("update msg_out_fld_config set msg_fld_name = '",A18,"' where cd = '62EB25E229EC8117957A4429F8AB09F5';")</f>
        <v>0</v>
      </c>
      <c r="M18">
        <f t="array" ref="M18">CONCATENATE("update msg_out_fld set description = '",D18,"' where tab_name = 'VERSANDINSTR' and fld_name = 'VERSHAEUFIG_CD';")</f>
        <v>0</v>
      </c>
    </row>
    <row r="19" spans="1:13">
      <c r="A19" t="s">
        <v>58</v>
      </c>
      <c r="C19" t="s">
        <v>33</v>
      </c>
      <c r="D19" t="s">
        <v>2171</v>
      </c>
      <c r="H19" t="s">
        <v>57</v>
      </c>
      <c r="K19">
        <f t="array" ref="K19">CONCATENATE("update msg_out_fld_config set msg_fld_name = '",A19,"' where cd = '86963F57568B68178E4F6E41817BC37D';")</f>
        <v>0</v>
      </c>
      <c r="M19">
        <f t="array" ref="M19">CONCATENATE("update msg_out_fld set description = '",D19,"' where tab_name = 'VERSANDINSTR' and fld_name = 'MUTDATUM';")</f>
        <v>0</v>
      </c>
    </row>
    <row r="20" spans="1:13">
      <c r="A20" t="s">
        <v>61</v>
      </c>
      <c r="C20" t="s">
        <v>37</v>
      </c>
      <c r="D20" t="s">
        <v>2172</v>
      </c>
      <c r="E20" t="s">
        <v>39</v>
      </c>
      <c r="F20" t="s">
        <v>23</v>
      </c>
      <c r="H20" t="s">
        <v>60</v>
      </c>
      <c r="K20">
        <f t="array" ref="K20">CONCATENATE("update msg_out_fld_config set msg_fld_name = '",A20,"' where cd = '346252F0F2FDEBF839D74EE084F93B2A';")</f>
        <v>0</v>
      </c>
      <c r="M20">
        <f t="array" ref="M20">CONCATENATE("update msg_out_fld set description = '",D20,"' where tab_name = 'VERSANDINSTR' and fld_name = 'MUTUSER';")</f>
        <v>0</v>
      </c>
    </row>
    <row r="21" spans="1:13">
      <c r="A21" t="s">
        <v>2173</v>
      </c>
      <c r="C21" t="s">
        <v>68</v>
      </c>
      <c r="D21" t="s">
        <v>484</v>
      </c>
      <c r="E21" t="s">
        <v>485</v>
      </c>
      <c r="F21" t="s">
        <v>23</v>
      </c>
      <c r="H21" t="s">
        <v>482</v>
      </c>
      <c r="K21">
        <f t="array" ref="K21">CONCATENATE("update msg_out_fld_config set msg_fld_name = '",A21,"' where cd = 'C96D29151D03E9B262E28057AAD8C71A';")</f>
        <v>0</v>
      </c>
      <c r="M21">
        <f t="array" ref="M21">CONCATENATE("update msg_out_fld set description = '",D21,"' where tab_name = 'VERSANDINSTR' and fld_name = 'DOKUMENT_CD';")</f>
        <v>0</v>
      </c>
    </row>
    <row r="22" spans="1:13">
      <c r="A22" t="s">
        <v>487</v>
      </c>
      <c r="C22" t="s">
        <v>68</v>
      </c>
      <c r="D22" t="s">
        <v>488</v>
      </c>
      <c r="E22" t="s">
        <v>489</v>
      </c>
      <c r="F22" t="s">
        <v>23</v>
      </c>
      <c r="H22" t="s">
        <v>486</v>
      </c>
      <c r="K22">
        <f t="array" ref="K22">CONCATENATE("update msg_out_fld_config set msg_fld_name = '",A22,"' where cd = '4DA05D03DF55DE62AD31964A35030C5D';")</f>
        <v>0</v>
      </c>
      <c r="M22">
        <f t="array" ref="M22">CONCATENATE("update msg_out_fld set description = '",D22,"' where tab_name = 'VERSANDINSTR' and fld_name = 'GRUPPEN_CD';")</f>
        <v>0</v>
      </c>
    </row>
    <row r="23" spans="1:13">
      <c r="A23" t="s">
        <v>2175</v>
      </c>
      <c r="C23" t="s">
        <v>68</v>
      </c>
      <c r="D23" t="s">
        <v>2176</v>
      </c>
      <c r="H23" t="s">
        <v>2174</v>
      </c>
      <c r="K23">
        <f t="array" ref="K23">CONCATENATE("update msg_out_fld_config set msg_fld_name = '",A23,"' where cd = '8EBAEDC1713A2961E622A0AAA6B294D7';")</f>
        <v>0</v>
      </c>
      <c r="M23">
        <f t="array" ref="M23">CONCATENATE("update msg_out_fld set description = '",D23,"' where tab_name = 'VERSANDINSTR' and fld_name = 'PROZENTSATZ';")</f>
        <v>0</v>
      </c>
    </row>
    <row r="24" spans="1:13">
      <c r="A24" t="s">
        <v>2178</v>
      </c>
      <c r="C24" t="s">
        <v>90</v>
      </c>
      <c r="D24" t="s">
        <v>2179</v>
      </c>
      <c r="E24" t="s">
        <v>2180</v>
      </c>
      <c r="F24" t="s">
        <v>23</v>
      </c>
      <c r="H24" t="s">
        <v>2177</v>
      </c>
      <c r="K24">
        <f t="array" ref="K24">CONCATENATE("update msg_out_fld_config set msg_fld_name = '",A24,"' where cd = '2E801001B9B52801B860BF192708ABE1';")</f>
        <v>0</v>
      </c>
      <c r="M24">
        <f t="array" ref="M24">CONCATENATE("update msg_out_fld set description = '",D24,"' where tab_name = 'VERSANDINSTR' and fld_name = 'PACKAGE_RULE_CD';")</f>
        <v>0</v>
      </c>
    </row>
    <row r="25" spans="1:13">
      <c r="A25" t="s">
        <v>491</v>
      </c>
      <c r="C25" t="s">
        <v>90</v>
      </c>
      <c r="D25" t="s">
        <v>492</v>
      </c>
      <c r="E25" t="s">
        <v>493</v>
      </c>
      <c r="H25" t="s">
        <v>490</v>
      </c>
      <c r="K25">
        <f t="array" ref="K25">CONCATENATE("update msg_out_fld_config set msg_fld_name = '",A25,"' where cd = 'C41E098BC63A461BB61F78E14847AA7C';")</f>
        <v>0</v>
      </c>
      <c r="M25">
        <f t="array" ref="M25">CONCATENATE("update msg_out_fld set description = '",D25,"' where tab_name = 'VERSANDINSTR' and fld_name = 'PORTFOLIONO';")</f>
        <v>0</v>
      </c>
    </row>
    <row r="26" spans="1:13">
      <c r="A26" t="s">
        <v>2182</v>
      </c>
      <c r="C26" t="s">
        <v>68</v>
      </c>
      <c r="D26" t="s">
        <v>2183</v>
      </c>
      <c r="E26" t="s">
        <v>2184</v>
      </c>
      <c r="F26" t="s">
        <v>23</v>
      </c>
      <c r="H26" t="s">
        <v>2181</v>
      </c>
      <c r="K26">
        <f t="array" ref="K26">CONCATENATE("update msg_out_fld_config set msg_fld_name = '",A26,"' where cd = 'C2E09DB63F338B3A672D665FD1DB02F3';")</f>
        <v>0</v>
      </c>
      <c r="M26">
        <f t="array" ref="M26">CONCATENATE("update msg_out_fld set description = '",D26,"' where tab_name = 'VERSANDINSTR' and fld_name = 'ANZEIGEART_CD';")</f>
        <v>0</v>
      </c>
    </row>
    <row r="27" spans="1:13">
      <c r="A27" t="s">
        <v>183</v>
      </c>
      <c r="C27" t="s">
        <v>68</v>
      </c>
      <c r="D27" t="s">
        <v>2185</v>
      </c>
      <c r="E27" t="s">
        <v>185</v>
      </c>
      <c r="F27" t="s">
        <v>23</v>
      </c>
      <c r="H27" t="s">
        <v>182</v>
      </c>
      <c r="K27">
        <f t="array" ref="K27">CONCATENATE("update msg_out_fld_config set msg_fld_name = '",A27,"' where cd = '02917DBA2034C4FF92B179BAAF5B3ADE';")</f>
        <v>0</v>
      </c>
      <c r="M27">
        <f t="array" ref="M27">CONCATENATE("update msg_out_fld set description = '",D27,"' where tab_name = 'VERSANDINSTR' and fld_name = 'SONDERINST_CD';")</f>
        <v>0</v>
      </c>
    </row>
    <row r="28" spans="1:13">
      <c r="A28" t="s">
        <v>193</v>
      </c>
      <c r="C28" t="s">
        <v>26</v>
      </c>
      <c r="D28" t="s">
        <v>194</v>
      </c>
      <c r="E28" t="s">
        <v>195</v>
      </c>
      <c r="F28" t="s">
        <v>29</v>
      </c>
      <c r="G28" t="s">
        <v>196</v>
      </c>
      <c r="H28" t="s">
        <v>192</v>
      </c>
      <c r="K28">
        <f t="array" ref="K28">CONCATENATE("update msg_out_fld_config set msg_fld_name = '",A28,"' where cd = '2B351C8D1861663D6A5CDB1ADC4B81EE';")</f>
        <v>0</v>
      </c>
      <c r="M28">
        <f t="array" ref="M28">CONCATENATE("update msg_out_fld set description = '",D28,"' where tab_name = 'VERSANDINSTR' and fld_name = 'VALID_CD';")</f>
        <v>0</v>
      </c>
    </row>
    <row r="29" spans="1:13">
      <c r="A29" t="s">
        <v>198</v>
      </c>
      <c r="C29" t="s">
        <v>104</v>
      </c>
      <c r="D29" t="s">
        <v>199</v>
      </c>
      <c r="H29" t="s">
        <v>2186</v>
      </c>
      <c r="K29">
        <f t="array" ref="K29">CONCATENATE("update msg_out_fld_config set msg_fld_name = '",A29,"' where cd = '4957EC5FBA98749D335E2628C6D2809D';")</f>
        <v>0</v>
      </c>
      <c r="M29">
        <f t="array" ref="M29">CONCATENATE("update msg_out_fld set description = '",D29,"' where tab_name = 'VERSANDINSTR' and fld_name = 'GUELTIGAB';")</f>
        <v>0</v>
      </c>
    </row>
    <row r="30" spans="1:13">
      <c r="A30" t="s">
        <v>201</v>
      </c>
      <c r="C30" t="s">
        <v>90</v>
      </c>
      <c r="D30" t="s">
        <v>202</v>
      </c>
      <c r="H30" t="s">
        <v>200</v>
      </c>
      <c r="K30">
        <f t="array" ref="K30">CONCATENATE("update msg_out_fld_config set msg_fld_name = '",A30,"' where cd = '5C442C7D1C500543FF6B204273DCB378';")</f>
        <v>0</v>
      </c>
      <c r="M30">
        <f t="array" ref="M30">CONCATENATE("update msg_out_fld set description = '",D30,"' where tab_name = 'VERSANDINSTR' and fld_name = 'VALIDID';")</f>
        <v>0</v>
      </c>
    </row>
    <row r="31" spans="1:13">
      <c r="A31" t="s">
        <v>207</v>
      </c>
      <c r="C31" t="s">
        <v>37</v>
      </c>
      <c r="D31" t="s">
        <v>208</v>
      </c>
      <c r="E31" t="s">
        <v>39</v>
      </c>
      <c r="F31" t="s">
        <v>23</v>
      </c>
      <c r="H31" t="s">
        <v>206</v>
      </c>
      <c r="K31">
        <f t="array" ref="K31">CONCATENATE("update msg_out_fld_config set msg_fld_name = '",A31,"' where cd = 'C51C5D7099526CE1D4C2C4A0F02BD06C';")</f>
        <v>0</v>
      </c>
      <c r="M31">
        <f t="array" ref="M31">CONCATENATE("update msg_out_fld set description = '",D31,"' where tab_name = 'VERSANDINSTR' and fld_name = 'VALIDUSER';")</f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22.28515625" customWidth="1"/>
    <col min="2" max="2" width="4.28515625" customWidth="1"/>
    <col min="3" max="3" width="16.28515625" customWidth="1"/>
    <col min="4" max="4" width="29.5703125" customWidth="1"/>
    <col min="5" max="5" width="34.28515625" customWidth="1"/>
    <col min="6" max="6" width="10.28515625" customWidth="1"/>
    <col min="7" max="7" width="15.140625" customWidth="1"/>
    <col min="8" max="8" width="19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7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2187</v>
      </c>
    </row>
    <row r="2" spans="1:13">
      <c r="A2" s="1" t="s">
        <v>2188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2189</v>
      </c>
      <c r="K6">
        <f t="array" ref="K6">CONCATENATE("update msg_out_fld_config set msg_fld_name = '",A6,"' where cd = '41397BD4403B368A79954E117C2E7E08';")</f>
        <v>0</v>
      </c>
      <c r="M6">
        <f t="array" ref="M6">CONCATENATE("update msg_out_fld set description = '",D6,"' where tab_name = 'MAILING_PACKAGE_RULE' and fld_name = 'RULE_CD';")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'CB7E7C3E43BF046EA3AA60F9B28C1FE1';")</f>
        <v>0</v>
      </c>
      <c r="M7">
        <f t="array" ref="M7">CONCATENATE("update msg_out_fld set description = '",D7,"' where tab_name = 'MAILING_PACKAGE_RULE'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'2929EA81253013603425CF04B173FFBA';")</f>
        <v>0</v>
      </c>
      <c r="M8">
        <f t="array" ref="M8">CONCATENATE("update msg_out_fld set description = '",D8,"' where tab_name = 'MAILING_PACKAGE_RULE'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'7BF2A0B565676808492316BB121F8BD8';")</f>
        <v>0</v>
      </c>
      <c r="M9">
        <f t="array" ref="M9">CONCATENATE("update msg_out_fld set description = '",D9,"' where tab_name = 'MAILING_PACKAGE_RULE'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'D9F1639BF0F18F3BA83DC257A5F9066E';")</f>
        <v>0</v>
      </c>
      <c r="M10">
        <f t="array" ref="M10">CONCATENATE("update msg_out_fld set description = '",D10,"' where tab_name = 'MAILING_PACKAGE_RULE'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'22A64C26CDC5B3BE660591F5C30C1050';")</f>
        <v>0</v>
      </c>
      <c r="M11">
        <f t="array" ref="M11">CONCATENATE("update msg_out_fld set description = '",D11,"' where tab_name = 'MAILING_PACKAGE_RULE' and fld_name = 'CRTUSER';")</f>
        <v>0</v>
      </c>
    </row>
    <row r="12" spans="1:13">
      <c r="A12" t="s">
        <v>55</v>
      </c>
      <c r="C12" t="s">
        <v>37</v>
      </c>
      <c r="D12" t="s">
        <v>168</v>
      </c>
      <c r="H12" t="s">
        <v>166</v>
      </c>
      <c r="K12">
        <f t="array" ref="K12">CONCATENATE("update msg_out_fld_config set msg_fld_name = '",A12,"' where cd = '8534D59CAD1FC9AA2E31CD4FC098B4B0';")</f>
        <v>0</v>
      </c>
      <c r="M12">
        <f t="array" ref="M12">CONCATENATE("update msg_out_fld set description = '",D12,"' where tab_name = 'MAILING_PACKAGE_RULE' and fld_name = 'NAME';")</f>
        <v>0</v>
      </c>
    </row>
    <row r="13" spans="1:13">
      <c r="A13" t="s">
        <v>2191</v>
      </c>
      <c r="C13" t="s">
        <v>26</v>
      </c>
      <c r="D13" t="s">
        <v>2192</v>
      </c>
      <c r="E13" t="s">
        <v>28</v>
      </c>
      <c r="F13" t="s">
        <v>29</v>
      </c>
      <c r="G13" t="s">
        <v>30</v>
      </c>
      <c r="H13" t="s">
        <v>2190</v>
      </c>
      <c r="K13">
        <f t="array" ref="K13">CONCATENATE("update msg_out_fld_config set msg_fld_name = '",A13,"' where cd = '0226CAD7BBF27C6DA9D30FF2FCC0264D';")</f>
        <v>0</v>
      </c>
      <c r="M13">
        <f t="array" ref="M13">CONCATENATE("update msg_out_fld set description = '",D13,"' where tab_name = 'MAILING_PACKAGE_RULE' and fld_name = 'ENVEL_MACHINE_CD';")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'56226EF24805FF4A3D6543CDE5FA7572';")</f>
        <v>0</v>
      </c>
      <c r="M14">
        <f t="array" ref="M14">CONCATENATE("update msg_out_fld set description = '",D14,"' where tab_name = 'MAILING_PACKAGE_RULE'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'5BCA76AC3F14DD48593826F4FAE2DF18';")</f>
        <v>0</v>
      </c>
      <c r="M15">
        <f t="array" ref="M15">CONCATENATE("update msg_out_fld set description = '",D15,"' where tab_name = 'MAILING_PACKAGE_RULE' and fld_name = 'MUTUSER';")</f>
        <v>0</v>
      </c>
    </row>
    <row r="16" spans="1:13">
      <c r="A16" t="s">
        <v>2194</v>
      </c>
      <c r="C16" t="s">
        <v>26</v>
      </c>
      <c r="D16" t="s">
        <v>2195</v>
      </c>
      <c r="E16" t="s">
        <v>28</v>
      </c>
      <c r="F16" t="s">
        <v>29</v>
      </c>
      <c r="G16" t="s">
        <v>30</v>
      </c>
      <c r="H16" t="s">
        <v>2193</v>
      </c>
      <c r="K16">
        <f t="array" ref="K16">CONCATENATE("update msg_out_fld_config set msg_fld_name = '",A16,"' where cd = '25CA3EC769CA2BC5D2CBE42B180158B3';")</f>
        <v>0</v>
      </c>
      <c r="M16">
        <f t="array" ref="M16">CONCATENATE("update msg_out_fld set description = '",D16,"' where tab_name = 'MAILING_PACKAGE_RULE' and fld_name = 'BARCODE_CD';")</f>
        <v>0</v>
      </c>
    </row>
    <row r="17" spans="1:13">
      <c r="A17" t="s">
        <v>2197</v>
      </c>
      <c r="C17" t="s">
        <v>37</v>
      </c>
      <c r="D17" t="s">
        <v>2198</v>
      </c>
      <c r="E17" t="s">
        <v>2199</v>
      </c>
      <c r="F17" t="s">
        <v>23</v>
      </c>
      <c r="H17" t="s">
        <v>2196</v>
      </c>
      <c r="K17">
        <f t="array" ref="K17">CONCATENATE("update msg_out_fld_config set msg_fld_name = '",A17,"' where cd = 'C4DF6B0AB332D084C0A756F0D978038C';")</f>
        <v>0</v>
      </c>
      <c r="M17">
        <f t="array" ref="M17">CONCATENATE("update msg_out_fld set description = '",D17,"' where tab_name = 'MAILING_PACKAGE_RULE' and fld_name = 'PRINTER_CD';")</f>
        <v>0</v>
      </c>
    </row>
    <row r="18" spans="1:13">
      <c r="A18" t="s">
        <v>2201</v>
      </c>
      <c r="C18" t="s">
        <v>90</v>
      </c>
      <c r="D18" t="s">
        <v>2202</v>
      </c>
      <c r="H18" t="s">
        <v>2200</v>
      </c>
      <c r="K18">
        <f t="array" ref="K18">CONCATENATE("update msg_out_fld_config set msg_fld_name = '",A18,"' where cd = 'ABB2B81801736CF6DFB345530AF55A04';")</f>
        <v>0</v>
      </c>
      <c r="M18">
        <f t="array" ref="M18">CONCATENATE("update msg_out_fld set description = '",D18,"' where tab_name = 'MAILING_PACKAGE_RULE' and fld_name = 'PRIORITY_CD';")</f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21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0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2203</v>
      </c>
    </row>
    <row r="2" spans="1:13">
      <c r="A2" s="1" t="s">
        <v>2204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37</v>
      </c>
      <c r="D6" t="s">
        <v>2206</v>
      </c>
      <c r="H6" t="s">
        <v>2205</v>
      </c>
      <c r="K6">
        <f t="array" ref="K6">CONCATENATE("update msg_out_fld_config set msg_fld_name = '",A6,"' where cd = '763D31AD44C1253E70F6EFFC7BCB3539';")</f>
        <v>0</v>
      </c>
      <c r="M6">
        <f t="array" ref="M6">CONCATENATE("update msg_out_fld set description = '",D6,"' where tab_name = 'VERSANDDRUCKER' and fld_name = 'VERSANDDRUCKER_CD';")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'2DCA4AD287A14ABC295A345298C1B1FD';")</f>
        <v>0</v>
      </c>
      <c r="M7">
        <f t="array" ref="M7">CONCATENATE("update msg_out_fld set description = '",D7,"' where tab_name = 'VERSANDDRUCKER'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'4696B6AD03E5B53BC06566AB65A68685';")</f>
        <v>0</v>
      </c>
      <c r="M8">
        <f t="array" ref="M8">CONCATENATE("update msg_out_fld set description = '",D8,"' where tab_name = 'VERSANDDRUCKER'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'DCFFDE474DFF3BA8355738892CCC2367';")</f>
        <v>0</v>
      </c>
      <c r="M9">
        <f t="array" ref="M9">CONCATENATE("update msg_out_fld set description = '",D9,"' where tab_name = 'VERSANDDRUCKER'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'EEE4CE54555DC20102C90BF021BCD493';")</f>
        <v>0</v>
      </c>
      <c r="M10">
        <f t="array" ref="M10">CONCATENATE("update msg_out_fld set description = '",D10,"' where tab_name = 'VERSANDDRUCKER'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'0A636B7A4449D9C3957192BFE6ACBE39';")</f>
        <v>0</v>
      </c>
      <c r="M11">
        <f t="array" ref="M11">CONCATENATE("update msg_out_fld set description = '",D11,"' where tab_name = 'VERSANDDRUCKER' and fld_name = 'CRTUSER';")</f>
        <v>0</v>
      </c>
    </row>
    <row r="12" spans="1:13">
      <c r="A12" t="s">
        <v>55</v>
      </c>
      <c r="C12" t="s">
        <v>37</v>
      </c>
      <c r="D12" t="s">
        <v>2208</v>
      </c>
      <c r="H12" t="s">
        <v>2207</v>
      </c>
      <c r="K12">
        <f t="array" ref="K12">CONCATENATE("update msg_out_fld_config set msg_fld_name = '",A12,"' where cd = 'A04EA08F0F4CE38C7D41470E08ED9929';")</f>
        <v>0</v>
      </c>
      <c r="M12">
        <f t="array" ref="M12">CONCATENATE("update msg_out_fld set description = '",D12,"' where tab_name = 'VERSANDDRUCKER' and fld_name = 'VERSANDDRUCKER';")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'3092A618C4CC09A94A6246B25FE7828A';")</f>
        <v>0</v>
      </c>
      <c r="M13">
        <f t="array" ref="M13">CONCATENATE("update msg_out_fld set description = '",D13,"' where tab_name = 'VERSANDDRUCKER'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'CC85B039ABC8D0E36A384F93B7AB7563';")</f>
        <v>0</v>
      </c>
      <c r="M14">
        <f t="array" ref="M14">CONCATENATE("update msg_out_fld set description = '",D14,"' where tab_name = 'VERSANDDRUCKER' and fld_name = 'MUTUSER';")</f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9.85546875" customWidth="1"/>
    <col min="5" max="5" width="34.28515625" customWidth="1"/>
    <col min="6" max="6" width="10.28515625" customWidth="1"/>
    <col min="7" max="7" width="15.140625" customWidth="1"/>
    <col min="8" max="8" width="24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7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2209</v>
      </c>
    </row>
    <row r="2" spans="1:13">
      <c r="A2" s="1" t="s">
        <v>2210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155</v>
      </c>
      <c r="K6">
        <f t="array" ref="K6">CONCATENATE("update msg_out_fld_config set msg_fld_name = '",A6,"' where cd = '1BEA8DF0451204994F5D10B5D907EC89';")</f>
        <v>0</v>
      </c>
      <c r="M6">
        <f t="array" ref="M6">CONCATENATE("update msg_out_fld set description = '",D6,"' where tab_name = 'VERSANDPRIORITAET' and fld_name = 'VERSANDPRIORITAET_CD';")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'6BD129DC3D2F27ABB6C97785D0E22848';")</f>
        <v>0</v>
      </c>
      <c r="M7">
        <f t="array" ref="M7">CONCATENATE("update msg_out_fld set description = '",D7,"' where tab_name = 'VERSANDPRIORITAET'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'6829413E1DB20841713F3D75D49234AF';")</f>
        <v>0</v>
      </c>
      <c r="M8">
        <f t="array" ref="M8">CONCATENATE("update msg_out_fld set description = '",D8,"' where tab_name = 'VERSANDPRIORITAET'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'3120EA28E7B271FEECCB3091C8B2EA70';")</f>
        <v>0</v>
      </c>
      <c r="M9">
        <f t="array" ref="M9">CONCATENATE("update msg_out_fld set description = '",D9,"' where tab_name = 'VERSANDPRIORITAET'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'9755683B5A8571E0ED8ED131EE441E74';")</f>
        <v>0</v>
      </c>
      <c r="M10">
        <f t="array" ref="M10">CONCATENATE("update msg_out_fld set description = '",D10,"' where tab_name = 'VERSANDPRIORITAET'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'1BF1AF3E8296F9D9782902EAA9415BBB';")</f>
        <v>0</v>
      </c>
      <c r="M11">
        <f t="array" ref="M11">CONCATENATE("update msg_out_fld set description = '",D11,"' where tab_name = 'VERSANDPRIORITAET' and fld_name = 'CRTUSER';")</f>
        <v>0</v>
      </c>
    </row>
    <row r="12" spans="1:13">
      <c r="A12" t="s">
        <v>55</v>
      </c>
      <c r="C12" t="s">
        <v>42</v>
      </c>
      <c r="D12" t="s">
        <v>157</v>
      </c>
      <c r="H12" t="s">
        <v>2211</v>
      </c>
      <c r="K12">
        <f t="array" ref="K12">CONCATENATE("update msg_out_fld_config set msg_fld_name = '",A12,"' where cd = '69011F555AC989B8F2946A26E38F8E9A';")</f>
        <v>0</v>
      </c>
      <c r="M12">
        <f t="array" ref="M12">CONCATENATE("update msg_out_fld set description = '",D12,"' where tab_name = 'VERSANDPRIORITAET' and fld_name = 'VERSANDPRIORITAET';")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'536418288531922ED4F31225C0E9BD2F';")</f>
        <v>0</v>
      </c>
      <c r="M13">
        <f t="array" ref="M13">CONCATENATE("update msg_out_fld set description = '",D13,"' where tab_name = 'VERSANDPRIORITAET'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'05C2A08814140A582AB35ACE04E77F11';")</f>
        <v>0</v>
      </c>
      <c r="M14">
        <f t="array" ref="M14">CONCATENATE("update msg_out_fld set description = '",D14,"' where tab_name = 'VERSANDPRIORITAET' and fld_name = 'MUTUSER';")</f>
        <v>0</v>
      </c>
    </row>
    <row r="15" spans="1:13">
      <c r="A15" t="s">
        <v>2201</v>
      </c>
      <c r="C15" t="s">
        <v>68</v>
      </c>
      <c r="D15" t="s">
        <v>2202</v>
      </c>
      <c r="H15" t="s">
        <v>2212</v>
      </c>
      <c r="K15">
        <f t="array" ref="K15">CONCATENATE("update msg_out_fld_config set msg_fld_name = '",A15,"' where cd = '6D18E01120A761D0873BD2C846660426';")</f>
        <v>0</v>
      </c>
      <c r="M15">
        <f t="array" ref="M15">CONCATENATE("update msg_out_fld set description = '",D15,"' where tab_name = 'VERSANDPRIORITAET' and fld_name = 'PRIORITAET';")</f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9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2213</v>
      </c>
    </row>
    <row r="2" spans="1:13">
      <c r="A2" s="1" t="s">
        <v>2214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1319</v>
      </c>
      <c r="K6">
        <f t="array" ref="K6">CONCATENATE("update msg_out_fld_config set msg_fld_name = '",A6,"' where cd = '3CCF2233C0ACF3A6DB33EDD742A22FE3';")</f>
        <v>0</v>
      </c>
      <c r="M6">
        <f t="array" ref="M6">CONCATENATE("update msg_out_fld set description = '",D6,"' where tab_name = 'MAILING_TARIF_TYPE' and fld_name = 'TYPE_CD';")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'465685EB1605228E4B8B696EBA6D4FE2';")</f>
        <v>0</v>
      </c>
      <c r="M7">
        <f t="array" ref="M7">CONCATENATE("update msg_out_fld set description = '",D7,"' where tab_name = 'MAILING_TARIF_TYPE'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'C4122CD8214781A7ED3DD0F9EEE19E57';")</f>
        <v>0</v>
      </c>
      <c r="M8">
        <f t="array" ref="M8">CONCATENATE("update msg_out_fld set description = '",D8,"' where tab_name = 'MAILING_TARIF_TYPE'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'A8261D859F2126C61C4F15DBC5C79E13';")</f>
        <v>0</v>
      </c>
      <c r="M9">
        <f t="array" ref="M9">CONCATENATE("update msg_out_fld set description = '",D9,"' where tab_name = 'MAILING_TARIF_TYPE'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'9B95CCE9D036C3778EAB8217AACE06B9';")</f>
        <v>0</v>
      </c>
      <c r="M10">
        <f t="array" ref="M10">CONCATENATE("update msg_out_fld set description = '",D10,"' where tab_name = 'MAILING_TARIF_TYPE'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'B175878F4276E98D94A718FDD91A39DE';")</f>
        <v>0</v>
      </c>
      <c r="M11">
        <f t="array" ref="M11">CONCATENATE("update msg_out_fld set description = '",D11,"' where tab_name = 'MAILING_TARIF_TYPE' and fld_name = 'CRTUSER';")</f>
        <v>0</v>
      </c>
    </row>
    <row r="12" spans="1:13">
      <c r="A12" t="s">
        <v>55</v>
      </c>
      <c r="C12" t="s">
        <v>42</v>
      </c>
      <c r="D12" t="s">
        <v>7</v>
      </c>
      <c r="H12" t="s">
        <v>229</v>
      </c>
      <c r="K12">
        <f t="array" ref="K12">CONCATENATE("update msg_out_fld_config set msg_fld_name = '",A12,"' where cd = '7CD3BD35F239CEE6866D96D60E8B65EC';")</f>
        <v>0</v>
      </c>
      <c r="M12">
        <f t="array" ref="M12">CONCATENATE("update msg_out_fld set description = '",D12,"' where tab_name = 'MAILING_TARIF_TYPE' and fld_name = 'DESCRIPTION';")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'9B3F37A084A816AB5D58F600DFB95318';")</f>
        <v>0</v>
      </c>
      <c r="M13">
        <f t="array" ref="M13">CONCATENATE("update msg_out_fld set description = '",D13,"' where tab_name = 'MAILING_TARIF_TYPE'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'983BA9CBE8CFFDD7B8CD700E11674451';")</f>
        <v>0</v>
      </c>
      <c r="M14">
        <f t="array" ref="M14">CONCATENATE("update msg_out_fld set description = '",D14,"' where tab_name = 'MAILING_TARIF_TYPE' and fld_name = 'MUTUSER';")</f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0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2215</v>
      </c>
    </row>
    <row r="2" spans="1:13">
      <c r="A2" s="1" t="s">
        <v>2216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1906</v>
      </c>
      <c r="K6">
        <f t="array" ref="K6">CONCATENATE("update msg_out_fld_config set msg_fld_name = '",A6,"' where cd = '168C67425217AE0EA6568D7627C8B2A1';")</f>
        <v>0</v>
      </c>
      <c r="M6">
        <f t="array" ref="M6">CONCATENATE("update msg_out_fld set description = '",D6,"' where tab_name = 'ZIVILSTAND' and fld_name = 'ZIVILSTAND_CD';")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'E48A09796C49586610AE35E58BEC3A46';")</f>
        <v>0</v>
      </c>
      <c r="M7">
        <f t="array" ref="M7">CONCATENATE("update msg_out_fld set description = '",D7,"' where tab_name = 'ZIVILSTAND'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'3467CAA5D8B127397B397617B9A97E87';")</f>
        <v>0</v>
      </c>
      <c r="M8">
        <f t="array" ref="M8">CONCATENATE("update msg_out_fld set description = '",D8,"' where tab_name = 'ZIVILSTAND'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'BF23DBDA0EF261F6E38DDDB25D4382C0';")</f>
        <v>0</v>
      </c>
      <c r="M9">
        <f t="array" ref="M9">CONCATENATE("update msg_out_fld set description = '",D9,"' where tab_name = 'ZIVILSTAND'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'0693D6C82132D43758262CF4A370B716';")</f>
        <v>0</v>
      </c>
      <c r="M10">
        <f t="array" ref="M10">CONCATENATE("update msg_out_fld set description = '",D10,"' where tab_name = 'ZIVILSTAND'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'D6D7A2A07862B763228249DE9BEDE279';")</f>
        <v>0</v>
      </c>
      <c r="M11">
        <f t="array" ref="M11">CONCATENATE("update msg_out_fld set description = '",D11,"' where tab_name = 'ZIVILSTAND' and fld_name = 'CRTUSER';")</f>
        <v>0</v>
      </c>
    </row>
    <row r="12" spans="1:13">
      <c r="A12" t="s">
        <v>55</v>
      </c>
      <c r="C12" t="s">
        <v>211</v>
      </c>
      <c r="D12" t="s">
        <v>2218</v>
      </c>
      <c r="H12" t="s">
        <v>2217</v>
      </c>
      <c r="K12">
        <f t="array" ref="K12">CONCATENATE("update msg_out_fld_config set msg_fld_name = '",A12,"' where cd = 'D50C6197B89C48639853CDF2D3AF0214';")</f>
        <v>0</v>
      </c>
      <c r="M12">
        <f t="array" ref="M12">CONCATENATE("update msg_out_fld set description = '",D12,"' where tab_name = 'ZIVILSTAND' and fld_name = 'ZIVILSTAND';")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'84720B3601D09883C2BEE4E14B76C781';")</f>
        <v>0</v>
      </c>
      <c r="M13">
        <f t="array" ref="M13">CONCATENATE("update msg_out_fld set description = '",D13,"' where tab_name = 'ZIVILSTAND'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'BFF73163EE4FB15618C3B8443F35DD76';")</f>
        <v>0</v>
      </c>
      <c r="M14">
        <f t="array" ref="M14">CONCATENATE("update msg_out_fld set description = '",D14,"' where tab_name = 'ZIVILSTAND' and fld_name = 'MUTUSER';")</f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28515625" customWidth="1"/>
    <col min="2" max="2" width="4.28515625" customWidth="1"/>
    <col min="3" max="3" width="12.7109375" customWidth="1"/>
    <col min="4" max="4" width="61.85546875" customWidth="1"/>
    <col min="5" max="5" width="34.28515625" customWidth="1"/>
    <col min="6" max="6" width="10.28515625" customWidth="1"/>
    <col min="7" max="7" width="15.140625" customWidth="1"/>
    <col min="8" max="8" width="33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2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2219</v>
      </c>
    </row>
    <row r="2" spans="1:13">
      <c r="A2" s="1" t="s">
        <v>2220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2221</v>
      </c>
      <c r="K6">
        <f t="array" ref="K6">CONCATENATE("update msg_out_fld_config set msg_fld_name = '",A6,"' where cd = '70ACE0E6D9FAF4FCEA25E0811799C449';")</f>
        <v>0</v>
      </c>
      <c r="M6">
        <f t="array" ref="M6">CONCATENATE("update msg_out_fld set description = '",D6,"' where tab_name = 'MANAGEMENTTYP' and fld_name = 'MANAGEMENTTYP_CD';")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'A7EA418F25DC9EC779068E859E742197';")</f>
        <v>0</v>
      </c>
      <c r="M7">
        <f t="array" ref="M7">CONCATENATE("update msg_out_fld set description = '",D7,"' where tab_name = 'MANAGEMENTTYP'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'30A57393E11C3C9FE5E5947CC388C60A';")</f>
        <v>0</v>
      </c>
      <c r="M8">
        <f t="array" ref="M8">CONCATENATE("update msg_out_fld set description = '",D8,"' where tab_name = 'MANAGEMENTTYP'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'B2F2C3B1662AB327338A4512BF4E7B22';")</f>
        <v>0</v>
      </c>
      <c r="M9">
        <f t="array" ref="M9">CONCATENATE("update msg_out_fld set description = '",D9,"' where tab_name = 'MANAGEMENTTYP'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'735E2A05C6971280D6531CE518F154AF';")</f>
        <v>0</v>
      </c>
      <c r="M10">
        <f t="array" ref="M10">CONCATENATE("update msg_out_fld set description = '",D10,"' where tab_name = 'MANAGEMENTTYP'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'193C007AFFDE32D3C66611D0212F5F5D';")</f>
        <v>0</v>
      </c>
      <c r="M11">
        <f t="array" ref="M11">CONCATENATE("update msg_out_fld set description = '",D11,"' where tab_name = 'MANAGEMENTTYP' and fld_name = 'CRTUSER';")</f>
        <v>0</v>
      </c>
    </row>
    <row r="12" spans="1:13">
      <c r="A12" t="s">
        <v>55</v>
      </c>
      <c r="C12" t="s">
        <v>37</v>
      </c>
      <c r="D12" t="s">
        <v>2223</v>
      </c>
      <c r="H12" t="s">
        <v>2222</v>
      </c>
      <c r="K12">
        <f t="array" ref="K12">CONCATENATE("update msg_out_fld_config set msg_fld_name = '",A12,"' where cd = '767F6D2A0D70C66C5889084FC288F047';")</f>
        <v>0</v>
      </c>
      <c r="M12">
        <f t="array" ref="M12">CONCATENATE("update msg_out_fld set description = '",D12,"' where tab_name = 'MANAGEMENTTYP' and fld_name = 'MANAGEMENTTYP';")</f>
        <v>0</v>
      </c>
    </row>
    <row r="13" spans="1:13">
      <c r="A13" t="s">
        <v>2225</v>
      </c>
      <c r="C13" t="s">
        <v>20</v>
      </c>
      <c r="D13" t="s">
        <v>2226</v>
      </c>
      <c r="E13" t="s">
        <v>964</v>
      </c>
      <c r="F13" t="s">
        <v>23</v>
      </c>
      <c r="H13" t="s">
        <v>2224</v>
      </c>
      <c r="K13">
        <f t="array" ref="K13">CONCATENATE("update msg_out_fld_config set msg_fld_name = '",A13,"' where cd = '7747C576313E4BE5A0136E385C11580B';")</f>
        <v>0</v>
      </c>
      <c r="M13">
        <f t="array" ref="M13">CONCATENATE("update msg_out_fld set description = '",D13,"' where tab_name = 'MANAGEMENTTYP' and fld_name = 'DEF_APSYS_CDCTGPTFIVSTAUTOS';")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'4DEB775AC52B1A6DEEA88C0ED3B3533E';")</f>
        <v>0</v>
      </c>
      <c r="M14">
        <f t="array" ref="M14">CONCATENATE("update msg_out_fld set description = '",D14,"' where tab_name = 'MANAGEMENTTYP'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'C6852F6C1049ABDEE988AA7DECD9E7BD';")</f>
        <v>0</v>
      </c>
      <c r="M15">
        <f t="array" ref="M15">CONCATENATE("update msg_out_fld set description = '",D15,"' where tab_name = 'MANAGEMENTTYP' and fld_name = 'MUTUSER';")</f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17.570312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3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2227</v>
      </c>
    </row>
    <row r="2" spans="1:13">
      <c r="A2" s="1" t="s">
        <v>2228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758</v>
      </c>
      <c r="D6" t="s">
        <v>2230</v>
      </c>
      <c r="H6" t="s">
        <v>2229</v>
      </c>
      <c r="K6">
        <f t="array" ref="K6">CONCATENATE("update msg_out_fld_config set msg_fld_name = '",A6,"' where cd = 'ED285F5CF3F5F79017BF35DE7AAAC3A5';")</f>
        <v>0</v>
      </c>
      <c r="M6">
        <f t="array" ref="M6">CONCATENATE("update msg_out_fld set description = '",D6,"' where tab_name = 'NOGACODE_NGATBL_APSYS' and fld_name = 'CDNOGAS';")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'A2C14228E41544FF880E81C01A5205E4';")</f>
        <v>0</v>
      </c>
      <c r="M7">
        <f t="array" ref="M7">CONCATENATE("update msg_out_fld set description = '",D7,"' where tab_name = 'NOGACODE_NGATBL_APSYS'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'D43818F5C5374F682F0A823ACF4024AD';")</f>
        <v>0</v>
      </c>
      <c r="M8">
        <f t="array" ref="M8">CONCATENATE("update msg_out_fld set description = '",D8,"' where tab_name = 'NOGACODE_NGATBL_APSYS'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'C2E22071078544C0F5C22C1551941381';")</f>
        <v>0</v>
      </c>
      <c r="M9">
        <f t="array" ref="M9">CONCATENATE("update msg_out_fld set description = '",D9,"' where tab_name = 'NOGACODE_NGATBL_APSYS'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'D72974147C0712E0230CFEAF24F529BB';")</f>
        <v>0</v>
      </c>
      <c r="M10">
        <f t="array" ref="M10">CONCATENATE("update msg_out_fld set description = '",D10,"' where tab_name = 'NOGACODE_NGATBL_APSYS'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'29D598193A192B054F6B89CFDFD14005';")</f>
        <v>0</v>
      </c>
      <c r="M11">
        <f t="array" ref="M11">CONCATENATE("update msg_out_fld set description = '",D11,"' where tab_name = 'NOGACODE_NGATBL_APSYS' and fld_name = 'CRTUSER';")</f>
        <v>0</v>
      </c>
    </row>
    <row r="12" spans="1:13">
      <c r="A12" t="s">
        <v>55</v>
      </c>
      <c r="C12" t="s">
        <v>230</v>
      </c>
      <c r="D12" t="s">
        <v>7</v>
      </c>
      <c r="H12" t="s">
        <v>2231</v>
      </c>
      <c r="K12">
        <f t="array" ref="K12">CONCATENATE("update msg_out_fld_config set msg_fld_name = '",A12,"' where cd = '40ECC3EEC98D9462E89DBCC4CEE1F485';")</f>
        <v>0</v>
      </c>
      <c r="M12">
        <f t="array" ref="M12">CONCATENATE("update msg_out_fld set description = '",D12,"' where tab_name = 'NOGACODE_NGATBL_APSYS' and fld_name = 'BESCHREIBUNG';")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'6956BE5AC1BF3ABE553F06AA77B090A4';")</f>
        <v>0</v>
      </c>
      <c r="M13">
        <f t="array" ref="M13">CONCATENATE("update msg_out_fld set description = '",D13,"' where tab_name = 'NOGACODE_NGATBL_APSYS'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'EBD3169381C0AAC9E3B390CA73A5490B';")</f>
        <v>0</v>
      </c>
      <c r="M14">
        <f t="array" ref="M14">CONCATENATE("update msg_out_fld set description = '",D14,"' where tab_name = 'NOGACODE_NGATBL_APSYS' and fld_name = 'MUTUSER';")</f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31.85546875" customWidth="1"/>
    <col min="2" max="2" width="4.28515625" customWidth="1"/>
    <col min="3" max="3" width="15.140625" customWidth="1"/>
    <col min="4" max="4" width="40.28515625" customWidth="1"/>
    <col min="5" max="5" width="34.28515625" customWidth="1"/>
    <col min="6" max="6" width="10.28515625" customWidth="1"/>
    <col min="7" max="7" width="15.140625" customWidth="1"/>
    <col min="8" max="8" width="36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9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2232</v>
      </c>
    </row>
    <row r="2" spans="1:13">
      <c r="A2" s="1" t="s">
        <v>2233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482</v>
      </c>
      <c r="K6">
        <f t="array" ref="K6">CONCATENATE("update msg_out_fld_config set msg_fld_name = '",A6,"' where cd = '7BA853431AE0B8C58EBBE0FDC8CBCDD2';")</f>
        <v>0</v>
      </c>
      <c r="M6">
        <f t="array" ref="M6">CONCATENATE("update msg_out_fld set description = '",D6,"' where tab_name = 'BELEGART' and fld_name = 'DOKUMENT_CD';")</f>
        <v>0</v>
      </c>
    </row>
    <row r="7" spans="1:13">
      <c r="A7" t="s">
        <v>304</v>
      </c>
      <c r="C7" t="s">
        <v>20</v>
      </c>
      <c r="D7" t="s">
        <v>338</v>
      </c>
      <c r="H7" t="s">
        <v>303</v>
      </c>
      <c r="K7">
        <f t="array" ref="K7">CONCATENATE("update msg_out_fld_config set msg_fld_name = '",A7,"' where cd = '8FA9F8464CBB879FA7A63178226AAABC';")</f>
        <v>0</v>
      </c>
      <c r="M7">
        <f t="array" ref="M7">CONCATENATE("update msg_out_fld set description = '",D7,"' where tab_name = 'BELEGART' and fld_name = 'CDAPPS';")</f>
        <v>0</v>
      </c>
    </row>
    <row r="8" spans="1:13">
      <c r="A8" t="s">
        <v>378</v>
      </c>
      <c r="C8" t="s">
        <v>275</v>
      </c>
      <c r="D8" t="s">
        <v>379</v>
      </c>
      <c r="H8" t="s">
        <v>2234</v>
      </c>
      <c r="K8">
        <f t="array" ref="K8">CONCATENATE("update msg_out_fld_config set msg_fld_name = '",A8,"' where cd = '8B601EC1F55CA7775717B0F33E7EA561';")</f>
        <v>0</v>
      </c>
      <c r="M8">
        <f t="array" ref="M8">CONCATENATE("update msg_out_fld set description = '",D8,"' where tab_name = 'BELEGART' and fld_name = 'IDREPS';")</f>
        <v>0</v>
      </c>
    </row>
    <row r="9" spans="1:13">
      <c r="A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24</v>
      </c>
      <c r="K9">
        <f t="array" ref="K9">CONCATENATE("update msg_out_fld_config set msg_fld_name = '",A9,"' where cd = '1B84E36E28DB30D41EA0947ECA0FC015';")</f>
        <v>0</v>
      </c>
      <c r="M9">
        <f t="array" ref="M9">CONCATENATE("update msg_out_fld set description = '",D9,"' where tab_name = 'BELEGART' and fld_name = 'LOESCH_CD';")</f>
        <v>0</v>
      </c>
    </row>
    <row r="10" spans="1:13">
      <c r="A10" t="s">
        <v>32</v>
      </c>
      <c r="C10" t="s">
        <v>33</v>
      </c>
      <c r="D10" t="s">
        <v>34</v>
      </c>
      <c r="H10" t="s">
        <v>31</v>
      </c>
      <c r="K10">
        <f t="array" ref="K10">CONCATENATE("update msg_out_fld_config set msg_fld_name = '",A10,"' where cd = '7BC40A742343C3F0291B0D0621C6C4AA';")</f>
        <v>0</v>
      </c>
      <c r="M10">
        <f t="array" ref="M10">CONCATENATE("update msg_out_fld set description = '",D10,"' where tab_name = 'BELEGART' and fld_name = 'LOESCHDATUM';")</f>
        <v>0</v>
      </c>
    </row>
    <row r="11" spans="1:13">
      <c r="A11" t="s">
        <v>36</v>
      </c>
      <c r="C11" t="s">
        <v>37</v>
      </c>
      <c r="D11" t="s">
        <v>38</v>
      </c>
      <c r="E11" t="s">
        <v>39</v>
      </c>
      <c r="F11" t="s">
        <v>23</v>
      </c>
      <c r="H11" t="s">
        <v>35</v>
      </c>
      <c r="K11">
        <f t="array" ref="K11">CONCATENATE("update msg_out_fld_config set msg_fld_name = '",A11,"' where cd = '90F5B8E623B5AD99D2DA20B972FB2D8A';")</f>
        <v>0</v>
      </c>
      <c r="M11">
        <f t="array" ref="M11">CONCATENATE("update msg_out_fld set description = '",D11,"' where tab_name = 'BELEGART' and fld_name = 'LOESCHUSER';")</f>
        <v>0</v>
      </c>
    </row>
    <row r="12" spans="1:13">
      <c r="A12" t="s">
        <v>45</v>
      </c>
      <c r="C12" t="s">
        <v>33</v>
      </c>
      <c r="D12" t="s">
        <v>46</v>
      </c>
      <c r="H12" t="s">
        <v>44</v>
      </c>
      <c r="K12">
        <f t="array" ref="K12">CONCATENATE("update msg_out_fld_config set msg_fld_name = '",A12,"' where cd = '2254895C1F05594B6FDB1EB06E16683D';")</f>
        <v>0</v>
      </c>
      <c r="M12">
        <f t="array" ref="M12">CONCATENATE("update msg_out_fld set description = '",D12,"' where tab_name = 'BELEGART' and fld_name = 'CRTDATUM';")</f>
        <v>0</v>
      </c>
    </row>
    <row r="13" spans="1:13">
      <c r="A13" t="s">
        <v>48</v>
      </c>
      <c r="C13" t="s">
        <v>37</v>
      </c>
      <c r="D13" t="s">
        <v>49</v>
      </c>
      <c r="E13" t="s">
        <v>39</v>
      </c>
      <c r="F13" t="s">
        <v>23</v>
      </c>
      <c r="H13" t="s">
        <v>47</v>
      </c>
      <c r="K13">
        <f t="array" ref="K13">CONCATENATE("update msg_out_fld_config set msg_fld_name = '",A13,"' where cd = 'E8612AC482344DDE71BED0AB5B452587';")</f>
        <v>0</v>
      </c>
      <c r="M13">
        <f t="array" ref="M13">CONCATENATE("update msg_out_fld set description = '",D13,"' where tab_name = 'BELEGART' and fld_name = 'CRTUSER';")</f>
        <v>0</v>
      </c>
    </row>
    <row r="14" spans="1:13">
      <c r="A14" t="s">
        <v>55</v>
      </c>
      <c r="C14" t="s">
        <v>1298</v>
      </c>
      <c r="D14" t="s">
        <v>484</v>
      </c>
      <c r="H14" t="s">
        <v>1458</v>
      </c>
      <c r="K14">
        <f t="array" ref="K14">CONCATENATE("update msg_out_fld_config set msg_fld_name = '",A14,"' where cd = '25D5E8A95D23C0165CB4ED2F3C60446C';")</f>
        <v>0</v>
      </c>
      <c r="M14">
        <f t="array" ref="M14">CONCATENATE("update msg_out_fld set description = '",D14,"' where tab_name = 'BELEGART' and fld_name = 'DOKUMENT';")</f>
        <v>0</v>
      </c>
    </row>
    <row r="15" spans="1:13">
      <c r="A15" t="s">
        <v>2236</v>
      </c>
      <c r="C15" t="s">
        <v>26</v>
      </c>
      <c r="D15" t="s">
        <v>2237</v>
      </c>
      <c r="E15" t="s">
        <v>28</v>
      </c>
      <c r="F15" t="s">
        <v>29</v>
      </c>
      <c r="G15" t="s">
        <v>30</v>
      </c>
      <c r="H15" t="s">
        <v>2235</v>
      </c>
      <c r="K15">
        <f t="array" ref="K15">CONCATENATE("update msg_out_fld_config set msg_fld_name = '",A15,"' where cd = '8E50C0629DA30572FD392A2B571C21DE';")</f>
        <v>0</v>
      </c>
      <c r="M15">
        <f t="array" ref="M15">CONCATENATE("update msg_out_fld set description = '",D15,"' where tab_name = 'BELEGART' and fld_name = 'DISCHARGEORDER_CD';")</f>
        <v>0</v>
      </c>
    </row>
    <row r="16" spans="1:13">
      <c r="A16" t="s">
        <v>2239</v>
      </c>
      <c r="C16" t="s">
        <v>26</v>
      </c>
      <c r="D16" t="s">
        <v>2240</v>
      </c>
      <c r="E16" t="s">
        <v>28</v>
      </c>
      <c r="F16" t="s">
        <v>29</v>
      </c>
      <c r="G16" t="s">
        <v>30</v>
      </c>
      <c r="H16" t="s">
        <v>2238</v>
      </c>
      <c r="K16">
        <f t="array" ref="K16">CONCATENATE("update msg_out_fld_config set msg_fld_name = '",A16,"' where cd = 'EBEF34461AB7B226F109B19DB97F6B11';")</f>
        <v>0</v>
      </c>
      <c r="M16">
        <f t="array" ref="M16">CONCATENATE("update msg_out_fld set description = '",D16,"' where tab_name = 'BELEGART' and fld_name = 'ENTLASTUNGBESTAETIGUNG_CD';")</f>
        <v>0</v>
      </c>
    </row>
    <row r="17" spans="1:13">
      <c r="A17" t="s">
        <v>1469</v>
      </c>
      <c r="C17" t="s">
        <v>26</v>
      </c>
      <c r="D17" t="s">
        <v>2241</v>
      </c>
      <c r="E17" t="s">
        <v>28</v>
      </c>
      <c r="F17" t="s">
        <v>29</v>
      </c>
      <c r="G17" t="s">
        <v>30</v>
      </c>
      <c r="H17" t="s">
        <v>1468</v>
      </c>
      <c r="K17">
        <f t="array" ref="K17">CONCATENATE("update msg_out_fld_config set msg_fld_name = '",A17,"' where cd = '63B094681F72608EDD13E4C09548CBBA';")</f>
        <v>0</v>
      </c>
      <c r="M17">
        <f t="array" ref="M17">CONCATENATE("update msg_out_fld set description = '",D17,"' where tab_name = 'BELEGART' and fld_name = 'PARTNER_EBENE_CD';")</f>
        <v>0</v>
      </c>
    </row>
    <row r="18" spans="1:13">
      <c r="A18" t="s">
        <v>2242</v>
      </c>
      <c r="C18" t="s">
        <v>26</v>
      </c>
      <c r="D18" t="s">
        <v>1528</v>
      </c>
      <c r="E18" t="s">
        <v>28</v>
      </c>
      <c r="F18" t="s">
        <v>29</v>
      </c>
      <c r="G18" t="s">
        <v>30</v>
      </c>
      <c r="H18" t="s">
        <v>1526</v>
      </c>
      <c r="K18">
        <f t="array" ref="K18">CONCATENATE("update msg_out_fld_config set msg_fld_name = '",A18,"' where cd = 'B3B0500F91526DA82CF0D61C4155FFA8';")</f>
        <v>0</v>
      </c>
      <c r="M18">
        <f t="array" ref="M18">CONCATENATE("update msg_out_fld set description = '",D18,"' where tab_name = 'BELEGART' and fld_name = 'TODO_MASK_CD';")</f>
        <v>0</v>
      </c>
    </row>
    <row r="19" spans="1:13">
      <c r="A19" t="s">
        <v>58</v>
      </c>
      <c r="C19" t="s">
        <v>33</v>
      </c>
      <c r="D19" t="s">
        <v>59</v>
      </c>
      <c r="H19" t="s">
        <v>57</v>
      </c>
      <c r="K19">
        <f t="array" ref="K19">CONCATENATE("update msg_out_fld_config set msg_fld_name = '",A19,"' where cd = '001BA641324119CFA64E897894D2B83D';")</f>
        <v>0</v>
      </c>
      <c r="M19">
        <f t="array" ref="M19">CONCATENATE("update msg_out_fld set description = '",D19,"' where tab_name = 'BELEGART' and fld_name = 'MUTDATUM';")</f>
        <v>0</v>
      </c>
    </row>
    <row r="20" spans="1:13">
      <c r="A20" t="s">
        <v>61</v>
      </c>
      <c r="C20" t="s">
        <v>37</v>
      </c>
      <c r="D20" t="s">
        <v>62</v>
      </c>
      <c r="E20" t="s">
        <v>39</v>
      </c>
      <c r="F20" t="s">
        <v>23</v>
      </c>
      <c r="H20" t="s">
        <v>60</v>
      </c>
      <c r="K20">
        <f t="array" ref="K20">CONCATENATE("update msg_out_fld_config set msg_fld_name = '",A20,"' where cd = '664B4D5CFA88C15758D7D565E70E36E7';")</f>
        <v>0</v>
      </c>
      <c r="M20">
        <f t="array" ref="M20">CONCATENATE("update msg_out_fld set description = '",D20,"' where tab_name = 'BELEGART' and fld_name = 'MUTUSER';")</f>
        <v>0</v>
      </c>
    </row>
    <row r="21" spans="1:13">
      <c r="A21" t="s">
        <v>2244</v>
      </c>
      <c r="C21" t="s">
        <v>26</v>
      </c>
      <c r="D21" t="s">
        <v>2245</v>
      </c>
      <c r="E21" t="s">
        <v>28</v>
      </c>
      <c r="F21" t="s">
        <v>29</v>
      </c>
      <c r="G21" t="s">
        <v>30</v>
      </c>
      <c r="H21" t="s">
        <v>2243</v>
      </c>
      <c r="K21">
        <f t="array" ref="K21">CONCATENATE("update msg_out_fld_config set msg_fld_name = '",A21,"' where cd = '360CEB9C88A09243B29A0823AEC62C99';")</f>
        <v>0</v>
      </c>
      <c r="M21">
        <f t="array" ref="M21">CONCATENATE("update msg_out_fld set description = '",D21,"' where tab_name = 'BELEGART' and fld_name = 'MANAGED_IN_APSYS_CD';")</f>
        <v>0</v>
      </c>
    </row>
    <row r="22" spans="1:13">
      <c r="A22" t="s">
        <v>487</v>
      </c>
      <c r="C22" t="s">
        <v>68</v>
      </c>
      <c r="D22" t="s">
        <v>488</v>
      </c>
      <c r="E22" t="s">
        <v>489</v>
      </c>
      <c r="F22" t="s">
        <v>23</v>
      </c>
      <c r="H22" t="s">
        <v>486</v>
      </c>
      <c r="K22">
        <f t="array" ref="K22">CONCATENATE("update msg_out_fld_config set msg_fld_name = '",A22,"' where cd = 'C53991FA7A668045A27DC3036A0D95E6';")</f>
        <v>0</v>
      </c>
      <c r="M22">
        <f t="array" ref="M22">CONCATENATE("update msg_out_fld set description = '",D22,"' where tab_name = 'BELEGART' and fld_name = 'GRUPPEN_CD';")</f>
        <v>0</v>
      </c>
    </row>
    <row r="23" spans="1:13">
      <c r="A23" t="s">
        <v>1502</v>
      </c>
      <c r="C23" t="s">
        <v>26</v>
      </c>
      <c r="D23" t="s">
        <v>2247</v>
      </c>
      <c r="E23" t="s">
        <v>28</v>
      </c>
      <c r="F23" t="s">
        <v>29</v>
      </c>
      <c r="G23" t="s">
        <v>30</v>
      </c>
      <c r="H23" t="s">
        <v>2246</v>
      </c>
      <c r="K23">
        <f t="array" ref="K23">CONCATENATE("update msg_out_fld_config set msg_fld_name = '",A23,"' where cd = '6BF0795C00638DD2CBA37EA094172A25';")</f>
        <v>0</v>
      </c>
      <c r="M23">
        <f t="array" ref="M23">CONCATENATE("update msg_out_fld set description = '",D23,"' where tab_name = 'BELEGART' and fld_name = 'PORTFOLIO_EBENE_CD';")</f>
        <v>0</v>
      </c>
    </row>
    <row r="24" spans="1:13">
      <c r="A24" t="s">
        <v>2249</v>
      </c>
      <c r="C24" t="s">
        <v>26</v>
      </c>
      <c r="D24" t="s">
        <v>2250</v>
      </c>
      <c r="E24" t="s">
        <v>28</v>
      </c>
      <c r="F24" t="s">
        <v>29</v>
      </c>
      <c r="G24" t="s">
        <v>30</v>
      </c>
      <c r="H24" t="s">
        <v>2248</v>
      </c>
      <c r="K24">
        <f t="array" ref="K24">CONCATENATE("update msg_out_fld_config set msg_fld_name = '",A24,"' where cd = '9A76537EA4245E175A7C4642CF59FC05';")</f>
        <v>0</v>
      </c>
      <c r="M24">
        <f t="array" ref="M24">CONCATENATE("update msg_out_fld set description = '",D24,"' where tab_name = 'BELEGART' and fld_name = 'PRINT_ON_SUMMARY_HOLDMAIL_CD';")</f>
        <v>0</v>
      </c>
    </row>
    <row r="25" spans="1:13">
      <c r="A25" t="s">
        <v>1505</v>
      </c>
      <c r="C25" t="s">
        <v>26</v>
      </c>
      <c r="D25" t="s">
        <v>2252</v>
      </c>
      <c r="E25" t="s">
        <v>28</v>
      </c>
      <c r="F25" t="s">
        <v>29</v>
      </c>
      <c r="G25" t="s">
        <v>30</v>
      </c>
      <c r="H25" t="s">
        <v>2251</v>
      </c>
      <c r="K25">
        <f t="array" ref="K25">CONCATENATE("update msg_out_fld_config set msg_fld_name = '",A25,"' where cd = 'E122A81AF8B0F496874E19E4634E7DB2';")</f>
        <v>0</v>
      </c>
      <c r="M25">
        <f t="array" ref="M25">CONCATENATE("update msg_out_fld set description = '",D25,"' where tab_name = 'BELEGART' and fld_name = 'SCHLIESSFACH_EBENE_CD';")</f>
        <v>0</v>
      </c>
    </row>
    <row r="26" spans="1:13">
      <c r="A26" t="s">
        <v>2253</v>
      </c>
      <c r="C26" t="s">
        <v>68</v>
      </c>
      <c r="D26" t="s">
        <v>2254</v>
      </c>
      <c r="E26" t="s">
        <v>485</v>
      </c>
      <c r="F26" t="s">
        <v>23</v>
      </c>
      <c r="H26" t="s">
        <v>1507</v>
      </c>
      <c r="K26">
        <f t="array" ref="K26">CONCATENATE("update msg_out_fld_config set msg_fld_name = '",A26,"' where cd = '34C5D22FFCA04C9A12FFD16D855F17B5';")</f>
        <v>0</v>
      </c>
      <c r="M26">
        <f t="array" ref="M26">CONCATENATE("update msg_out_fld set description = '",D26,"' where tab_name = 'BELEGART' and fld_name = 'SCANNED_DOKUMENT_CD';")</f>
        <v>0</v>
      </c>
    </row>
    <row r="27" spans="1:13">
      <c r="A27" t="s">
        <v>1521</v>
      </c>
      <c r="C27" t="s">
        <v>26</v>
      </c>
      <c r="D27" t="s">
        <v>1531</v>
      </c>
      <c r="E27" t="s">
        <v>28</v>
      </c>
      <c r="F27" t="s">
        <v>29</v>
      </c>
      <c r="G27" t="s">
        <v>30</v>
      </c>
      <c r="H27" t="s">
        <v>1529</v>
      </c>
      <c r="K27">
        <f t="array" ref="K27">CONCATENATE("update msg_out_fld_config set msg_fld_name = '",A27,"' where cd = 'D18BB3B485FCFAD76113E70A89451E90';")</f>
        <v>0</v>
      </c>
      <c r="M27">
        <f t="array" ref="M27">CONCATENATE("update msg_out_fld set description = '",D27,"' where tab_name = 'BELEGART' and fld_name = 'TODO_SIGN_CD';")</f>
        <v>0</v>
      </c>
    </row>
    <row r="28" spans="1:13">
      <c r="A28" t="s">
        <v>2256</v>
      </c>
      <c r="C28" t="s">
        <v>26</v>
      </c>
      <c r="D28" t="s">
        <v>2257</v>
      </c>
      <c r="E28" t="s">
        <v>28</v>
      </c>
      <c r="F28" t="s">
        <v>29</v>
      </c>
      <c r="G28" t="s">
        <v>30</v>
      </c>
      <c r="H28" t="s">
        <v>2255</v>
      </c>
      <c r="K28">
        <f t="array" ref="K28">CONCATENATE("update msg_out_fld_config set msg_fld_name = '",A28,"' where cd = '93298A2EF7AF42E0CE95C256B31280AE';")</f>
        <v>0</v>
      </c>
      <c r="M28">
        <f t="array" ref="M28">CONCATENATE("update msg_out_fld set description = '",D28,"' where tab_name = 'BELEGART' and fld_name = 'TAX_STATEMENT_COUNTRY_REQUIRED';")</f>
        <v>0</v>
      </c>
    </row>
    <row r="29" spans="1:13">
      <c r="A29" t="s">
        <v>2259</v>
      </c>
      <c r="C29" t="s">
        <v>26</v>
      </c>
      <c r="D29" t="s">
        <v>2260</v>
      </c>
      <c r="E29" t="s">
        <v>28</v>
      </c>
      <c r="F29" t="s">
        <v>29</v>
      </c>
      <c r="G29" t="s">
        <v>30</v>
      </c>
      <c r="H29" t="s">
        <v>2258</v>
      </c>
      <c r="K29">
        <f t="array" ref="K29">CONCATENATE("update msg_out_fld_config set msg_fld_name = '",A29,"' where cd = '1D25341C32B9A90260DCAE111103F498';")</f>
        <v>0</v>
      </c>
      <c r="M29">
        <f t="array" ref="M29">CONCATENATE("update msg_out_fld set description = '",D29,"' where tab_name = 'BELEGART' and fld_name = 'VISIT_REPORT_CD';")</f>
        <v>0</v>
      </c>
    </row>
    <row r="30" spans="1:13">
      <c r="A30" t="s">
        <v>2262</v>
      </c>
      <c r="C30" t="s">
        <v>26</v>
      </c>
      <c r="D30" t="s">
        <v>2263</v>
      </c>
      <c r="E30" t="s">
        <v>28</v>
      </c>
      <c r="F30" t="s">
        <v>29</v>
      </c>
      <c r="G30" t="s">
        <v>30</v>
      </c>
      <c r="H30" t="s">
        <v>2261</v>
      </c>
      <c r="K30">
        <f t="array" ref="K30">CONCATENATE("update msg_out_fld_config set msg_fld_name = '",A30,"' where cd = '1A2D4C58A9E3F520648893197ECCAFE8';")</f>
        <v>0</v>
      </c>
      <c r="M30">
        <f t="array" ref="M30">CONCATENATE("update msg_out_fld set description = '",D30,"' where tab_name = 'BELEGART' and fld_name = 'FROMDATE_CD';")</f>
        <v>0</v>
      </c>
    </row>
    <row r="31" spans="1:13">
      <c r="A31" t="s">
        <v>2265</v>
      </c>
      <c r="C31" t="s">
        <v>26</v>
      </c>
      <c r="D31" t="s">
        <v>2266</v>
      </c>
      <c r="E31" t="s">
        <v>28</v>
      </c>
      <c r="F31" t="s">
        <v>29</v>
      </c>
      <c r="G31" t="s">
        <v>30</v>
      </c>
      <c r="H31" t="s">
        <v>2264</v>
      </c>
      <c r="K31">
        <f t="array" ref="K31">CONCATENATE("update msg_out_fld_config set msg_fld_name = '",A31,"' where cd = '3450D503155E94B8BFF4CBD04CED7F30';")</f>
        <v>0</v>
      </c>
      <c r="M31">
        <f t="array" ref="M31">CONCATENATE("update msg_out_fld set description = '",D31,"' where tab_name = 'BELEGART' and fld_name = 'TODATE_CD';")</f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29.5703125" customWidth="1"/>
    <col min="2" max="2" width="4.28515625" customWidth="1"/>
    <col min="3" max="3" width="15.140625" customWidth="1"/>
    <col min="4" max="4" width="29.5703125" customWidth="1"/>
    <col min="5" max="5" width="34.28515625" customWidth="1"/>
    <col min="6" max="6" width="10.28515625" customWidth="1"/>
    <col min="7" max="7" width="15.140625" customWidth="1"/>
    <col min="8" max="8" width="29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6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2267</v>
      </c>
    </row>
    <row r="2" spans="1:13">
      <c r="A2" s="1" t="s">
        <v>2268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486</v>
      </c>
      <c r="K6">
        <f t="array" ref="K6">CONCATENATE("update msg_out_fld_config set msg_fld_name = '",A6,"' where cd = '218704513EFEC75A4387C098F371FEC5';")</f>
        <v>0</v>
      </c>
      <c r="M6">
        <f t="array" ref="M6">CONCATENATE("update msg_out_fld set description = '",D6,"' where tab_name = 'BELEGGRUPPE' and fld_name = 'GRUPPEN_CD';")</f>
        <v>0</v>
      </c>
    </row>
    <row r="7" spans="1:13">
      <c r="A7" t="s">
        <v>2270</v>
      </c>
      <c r="C7" t="s">
        <v>1155</v>
      </c>
      <c r="D7" t="s">
        <v>2271</v>
      </c>
      <c r="H7" t="s">
        <v>2269</v>
      </c>
      <c r="K7">
        <f t="array" ref="K7">CONCATENATE("update msg_out_fld_config set msg_fld_name = '",A7,"' where cd = '6F7135586A57E9770E620DEDF528EB2F';")</f>
        <v>0</v>
      </c>
      <c r="M7">
        <f t="array" ref="M7">CONCATENATE("update msg_out_fld set description = '",D7,"' where tab_name = 'BELEGGRUPPE' and fld_name = 'IDLSTS';")</f>
        <v>0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'03AB83B03311327416F9266823664516';")</f>
        <v>0</v>
      </c>
      <c r="M8">
        <f t="array" ref="M8">CONCATENATE("update msg_out_fld set description = '",D8,"' where tab_name = 'BELEGGRUPPE' and fld_name = 'LOESCH_CD';")</f>
        <v>0</v>
      </c>
    </row>
    <row r="9" spans="1:13">
      <c r="A9" t="s">
        <v>32</v>
      </c>
      <c r="C9" t="s">
        <v>33</v>
      </c>
      <c r="D9" t="s">
        <v>34</v>
      </c>
      <c r="H9" t="s">
        <v>31</v>
      </c>
      <c r="K9">
        <f t="array" ref="K9">CONCATENATE("update msg_out_fld_config set msg_fld_name = '",A9,"' where cd = 'A29D989FD12D2880756B9D6983FD5818';")</f>
        <v>0</v>
      </c>
      <c r="M9">
        <f t="array" ref="M9">CONCATENATE("update msg_out_fld set description = '",D9,"' where tab_name = 'BELEGGRUPPE' and fld_name = 'LOESCHDATUM';")</f>
        <v>0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'2239EC5A458DEE790722189BACB9538A';")</f>
        <v>0</v>
      </c>
      <c r="M10">
        <f t="array" ref="M10">CONCATENATE("update msg_out_fld set description = '",D10,"' where tab_name = 'BELEGGRUPPE' and fld_name = 'LOESCHUSER';")</f>
        <v>0</v>
      </c>
    </row>
    <row r="11" spans="1:13">
      <c r="A11" t="s">
        <v>45</v>
      </c>
      <c r="C11" t="s">
        <v>33</v>
      </c>
      <c r="D11" t="s">
        <v>46</v>
      </c>
      <c r="H11" t="s">
        <v>44</v>
      </c>
      <c r="K11">
        <f t="array" ref="K11">CONCATENATE("update msg_out_fld_config set msg_fld_name = '",A11,"' where cd = '771F0499A9D3679369413D735F7319EB';")</f>
        <v>0</v>
      </c>
      <c r="M11">
        <f t="array" ref="M11">CONCATENATE("update msg_out_fld set description = '",D11,"' where tab_name = 'BELEGGRUPPE' and fld_name = 'CRTDATUM';")</f>
        <v>0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  <c r="K12">
        <f t="array" ref="K12">CONCATENATE("update msg_out_fld_config set msg_fld_name = '",A12,"' where cd = 'ADCACA9BD2BA7723244AB661A84E8066';")</f>
        <v>0</v>
      </c>
      <c r="M12">
        <f t="array" ref="M12">CONCATENATE("update msg_out_fld set description = '",D12,"' where tab_name = 'BELEGGRUPPE' and fld_name = 'CRTUSER';")</f>
        <v>0</v>
      </c>
    </row>
    <row r="13" spans="1:13">
      <c r="A13" t="s">
        <v>55</v>
      </c>
      <c r="C13" t="s">
        <v>1298</v>
      </c>
      <c r="D13" t="s">
        <v>488</v>
      </c>
      <c r="H13" t="s">
        <v>1419</v>
      </c>
      <c r="K13">
        <f t="array" ref="K13">CONCATENATE("update msg_out_fld_config set msg_fld_name = '",A13,"' where cd = 'CF79E331904882EA28E5877198164D22';")</f>
        <v>0</v>
      </c>
      <c r="M13">
        <f t="array" ref="M13">CONCATENATE("update msg_out_fld set description = '",D13,"' where tab_name = 'BELEGGRUPPE' and fld_name = 'GRUPPE';")</f>
        <v>0</v>
      </c>
    </row>
    <row r="14" spans="1:13">
      <c r="A14" t="s">
        <v>1469</v>
      </c>
      <c r="C14" t="s">
        <v>26</v>
      </c>
      <c r="D14" t="s">
        <v>2241</v>
      </c>
      <c r="E14" t="s">
        <v>28</v>
      </c>
      <c r="F14" t="s">
        <v>29</v>
      </c>
      <c r="G14" t="s">
        <v>30</v>
      </c>
      <c r="H14" t="s">
        <v>1468</v>
      </c>
      <c r="K14">
        <f t="array" ref="K14">CONCATENATE("update msg_out_fld_config set msg_fld_name = '",A14,"' where cd = '0FF408C7BF80BA8A5B149767478FD05D';")</f>
        <v>0</v>
      </c>
      <c r="M14">
        <f t="array" ref="M14">CONCATENATE("update msg_out_fld set description = '",D14,"' where tab_name = 'BELEGGRUPPE' and fld_name = 'PARTNER_EBENE_CD';")</f>
        <v>0</v>
      </c>
    </row>
    <row r="15" spans="1:13">
      <c r="A15" t="s">
        <v>2273</v>
      </c>
      <c r="C15" t="s">
        <v>26</v>
      </c>
      <c r="D15" t="s">
        <v>2274</v>
      </c>
      <c r="E15" t="s">
        <v>28</v>
      </c>
      <c r="F15" t="s">
        <v>29</v>
      </c>
      <c r="G15" t="s">
        <v>30</v>
      </c>
      <c r="H15" t="s">
        <v>2272</v>
      </c>
      <c r="K15">
        <f t="array" ref="K15">CONCATENATE("update msg_out_fld_config set msg_fld_name = '",A15,"' where cd = '9A5287E1D2A21D21E21F7BE05C9556F4';")</f>
        <v>0</v>
      </c>
      <c r="M15">
        <f t="array" ref="M15">CONCATENATE("update msg_out_fld set description = '",D15,"' where tab_name = 'BELEGGRUPPE' and fld_name = 'SCAN_CD';")</f>
        <v>0</v>
      </c>
    </row>
    <row r="16" spans="1:13">
      <c r="A16" t="s">
        <v>58</v>
      </c>
      <c r="C16" t="s">
        <v>33</v>
      </c>
      <c r="D16" t="s">
        <v>59</v>
      </c>
      <c r="H16" t="s">
        <v>57</v>
      </c>
      <c r="K16">
        <f t="array" ref="K16">CONCATENATE("update msg_out_fld_config set msg_fld_name = '",A16,"' where cd = 'EBDF6B85050278932E70472F40CDC530';")</f>
        <v>0</v>
      </c>
      <c r="M16">
        <f t="array" ref="M16">CONCATENATE("update msg_out_fld set description = '",D16,"' where tab_name = 'BELEGGRUPPE' and fld_name = 'MUTDATUM';")</f>
        <v>0</v>
      </c>
    </row>
    <row r="17" spans="1:13">
      <c r="A17" t="s">
        <v>61</v>
      </c>
      <c r="C17" t="s">
        <v>37</v>
      </c>
      <c r="D17" t="s">
        <v>62</v>
      </c>
      <c r="E17" t="s">
        <v>39</v>
      </c>
      <c r="F17" t="s">
        <v>23</v>
      </c>
      <c r="H17" t="s">
        <v>60</v>
      </c>
      <c r="K17">
        <f t="array" ref="K17">CONCATENATE("update msg_out_fld_config set msg_fld_name = '",A17,"' where cd = '6B8005F0A4AB37453BBAA256079A5B30';")</f>
        <v>0</v>
      </c>
      <c r="M17">
        <f t="array" ref="M17">CONCATENATE("update msg_out_fld set description = '",D17,"' where tab_name = 'BELEGGRUPPE' and fld_name = 'MUTUSER';")</f>
        <v>0</v>
      </c>
    </row>
    <row r="18" spans="1:13">
      <c r="A18" t="s">
        <v>2276</v>
      </c>
      <c r="C18" t="s">
        <v>26</v>
      </c>
      <c r="D18" t="s">
        <v>2277</v>
      </c>
      <c r="E18" t="s">
        <v>28</v>
      </c>
      <c r="F18" t="s">
        <v>29</v>
      </c>
      <c r="G18" t="s">
        <v>30</v>
      </c>
      <c r="H18" t="s">
        <v>2275</v>
      </c>
      <c r="K18">
        <f t="array" ref="K18">CONCATENATE("update msg_out_fld_config set msg_fld_name = '",A18,"' where cd = 'A50E7BEA273B353A6ACAD8FCE1F3AD46';")</f>
        <v>0</v>
      </c>
      <c r="M18">
        <f t="array" ref="M18">CONCATENATE("update msg_out_fld set description = '",D18,"' where tab_name = 'BELEGGRUPPE' and fld_name = 'BELEGART_ERFORDERLICH_CD';")</f>
        <v>0</v>
      </c>
    </row>
    <row r="19" spans="1:13">
      <c r="A19" t="s">
        <v>1502</v>
      </c>
      <c r="C19" t="s">
        <v>26</v>
      </c>
      <c r="D19" t="s">
        <v>2247</v>
      </c>
      <c r="E19" t="s">
        <v>28</v>
      </c>
      <c r="F19" t="s">
        <v>29</v>
      </c>
      <c r="G19" t="s">
        <v>30</v>
      </c>
      <c r="H19" t="s">
        <v>2246</v>
      </c>
      <c r="K19">
        <f t="array" ref="K19">CONCATENATE("update msg_out_fld_config set msg_fld_name = '",A19,"' where cd = 'DD9E5EC0380479AA327CAB36D38E0E1D';")</f>
        <v>0</v>
      </c>
      <c r="M19">
        <f t="array" ref="M19">CONCATENATE("update msg_out_fld set description = '",D19,"' where tab_name = 'BELEGGRUPPE' and fld_name = 'PORTFOLIO_EBENE_CD';")</f>
        <v>0</v>
      </c>
    </row>
    <row r="20" spans="1:13">
      <c r="A20" t="s">
        <v>1524</v>
      </c>
      <c r="C20" t="s">
        <v>68</v>
      </c>
      <c r="D20" t="s">
        <v>2279</v>
      </c>
      <c r="H20" t="s">
        <v>2278</v>
      </c>
      <c r="K20">
        <f t="array" ref="K20">CONCATENATE("update msg_out_fld_config set msg_fld_name = '",A20,"' where cd = '8DDD356ACE49DFE7C3C197AC9BF4C232';")</f>
        <v>0</v>
      </c>
      <c r="M20">
        <f t="array" ref="M20">CONCATENATE("update msg_out_fld set description = '",D20,"' where tab_name = 'BELEGGRUPPE' and fld_name = 'SORTIERREIHENFOLGE';")</f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6.28515625" customWidth="1"/>
    <col min="5" max="5" width="34.28515625" customWidth="1"/>
    <col min="6" max="6" width="10.28515625" customWidth="1"/>
    <col min="7" max="7" width="15.140625" customWidth="1"/>
    <col min="8" max="8" width="25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7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2280</v>
      </c>
    </row>
    <row r="2" spans="1:13">
      <c r="A2" s="1" t="s">
        <v>2281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2282</v>
      </c>
      <c r="K6">
        <f t="array" ref="K6">CONCATENATE("update msg_out_fld_config set msg_fld_name = '",A6,"' where cd = '47DA3780DBC0792C40A7A2328488FCF4';")</f>
        <v>0</v>
      </c>
      <c r="M6">
        <f t="array" ref="M6">CONCATENATE("update msg_out_fld set description = '",D6,"' where tab_name = 'OWNERSHIPSTRUCTURE_APSYS' and fld_name = 'OWNERSHIPSTRUCTURE_CD';")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'FE0815A1663E42B2D773065F0E0FDE1F';")</f>
        <v>0</v>
      </c>
      <c r="M7">
        <f t="array" ref="M7">CONCATENATE("update msg_out_fld set description = '",D7,"' where tab_name = 'OWNERSHIPSTRUCTURE_APSYS'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'B668773BFF05239A3E4DF6583A682452';")</f>
        <v>0</v>
      </c>
      <c r="M8">
        <f t="array" ref="M8">CONCATENATE("update msg_out_fld set description = '",D8,"' where tab_name = 'OWNERSHIPSTRUCTURE_APSYS'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'02DD1AEFE1C043BA87117DA70F335C70';")</f>
        <v>0</v>
      </c>
      <c r="M9">
        <f t="array" ref="M9">CONCATENATE("update msg_out_fld set description = '",D9,"' where tab_name = 'OWNERSHIPSTRUCTURE_APSYS'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'22FF85495A7355B9270E403566EE550D';")</f>
        <v>0</v>
      </c>
      <c r="M10">
        <f t="array" ref="M10">CONCATENATE("update msg_out_fld set description = '",D10,"' where tab_name = 'OWNERSHIPSTRUCTURE_APSYS'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'9DC47B3949E9AA33965E73B7C93A2575';")</f>
        <v>0</v>
      </c>
      <c r="M11">
        <f t="array" ref="M11">CONCATENATE("update msg_out_fld set description = '",D11,"' where tab_name = 'OWNERSHIPSTRUCTURE_APSYS' and fld_name = 'CRTUSER';")</f>
        <v>0</v>
      </c>
    </row>
    <row r="12" spans="1:13">
      <c r="A12" t="s">
        <v>55</v>
      </c>
      <c r="C12" t="s">
        <v>75</v>
      </c>
      <c r="D12" t="s">
        <v>7</v>
      </c>
      <c r="H12" t="s">
        <v>2283</v>
      </c>
      <c r="K12">
        <f t="array" ref="K12">CONCATENATE("update msg_out_fld_config set msg_fld_name = '",A12,"' where cd = '832F4CCB054A2B1727A97363CA72B20A';")</f>
        <v>0</v>
      </c>
      <c r="M12">
        <f t="array" ref="M12">CONCATENATE("update msg_out_fld set description = '",D12,"' where tab_name = 'OWNERSHIPSTRUCTURE_APSYS' and fld_name = 'OWNERSHIPSTRUCTURE';")</f>
        <v>0</v>
      </c>
    </row>
    <row r="13" spans="1:13">
      <c r="A13" t="s">
        <v>309</v>
      </c>
      <c r="C13" t="s">
        <v>26</v>
      </c>
      <c r="D13" t="s">
        <v>310</v>
      </c>
      <c r="E13" t="s">
        <v>28</v>
      </c>
      <c r="F13" t="s">
        <v>29</v>
      </c>
      <c r="G13" t="s">
        <v>30</v>
      </c>
      <c r="H13" t="s">
        <v>308</v>
      </c>
      <c r="K13">
        <f t="array" ref="K13">CONCATENATE("update msg_out_fld_config set msg_fld_name = '",A13,"' where cd = '517BE78806D72C2F40DA2BF1286FA7A0';")</f>
        <v>0</v>
      </c>
      <c r="M13">
        <f t="array" ref="M13">CONCATENATE("update msg_out_fld set description = '",D13,"' where tab_name = 'OWNERSHIPSTRUCTURE_APSYS' and fld_name = 'DEFAULTVALUE_CD';")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'C85A3289CBF446161AE02CB433F3339E';")</f>
        <v>0</v>
      </c>
      <c r="M14">
        <f t="array" ref="M14">CONCATENATE("update msg_out_fld set description = '",D14,"' where tab_name = 'OWNERSHIPSTRUCTURE_APSYS'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'7F4D57671EEA8A261E743B756964125D';")</f>
        <v>0</v>
      </c>
      <c r="M15">
        <f t="array" ref="M15">CONCATENATE("update msg_out_fld set description = '",D15,"' where tab_name = 'OWNERSHIPSTRUCTURE_APSYS' and fld_name = 'MUTUSER';")</f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1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2284</v>
      </c>
    </row>
    <row r="2" spans="1:13">
      <c r="A2" s="1" t="s">
        <v>2285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2286</v>
      </c>
      <c r="K6">
        <f t="array" ref="K6">CONCATENATE("update msg_out_fld_config set msg_fld_name = '",A6,"' where cd = '858E489EA14A3946F73FED80B7297E57';")</f>
        <v>0</v>
      </c>
      <c r="M6">
        <f t="array" ref="M6">CONCATENATE("update msg_out_fld set description = '",D6,"' where tab_name = 'POLITIK_APSYS' and fld_name = 'POLITIK_CD';")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'88D5638510006FD4469D8B7A4A028480';")</f>
        <v>0</v>
      </c>
      <c r="M7">
        <f t="array" ref="M7">CONCATENATE("update msg_out_fld set description = '",D7,"' where tab_name = 'POLITIK_APSYS'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'4DBA683582988ED8353847ADF2DE5E0B';")</f>
        <v>0</v>
      </c>
      <c r="M8">
        <f t="array" ref="M8">CONCATENATE("update msg_out_fld set description = '",D8,"' where tab_name = 'POLITIK_APSYS'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'DABAB64D6A1EB1235156BE7A867D25E3';")</f>
        <v>0</v>
      </c>
      <c r="M9">
        <f t="array" ref="M9">CONCATENATE("update msg_out_fld set description = '",D9,"' where tab_name = 'POLITIK_APSYS'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'98C7479A07A8600181864D5F6EEFA3C5';")</f>
        <v>0</v>
      </c>
      <c r="M10">
        <f t="array" ref="M10">CONCATENATE("update msg_out_fld set description = '",D10,"' where tab_name = 'POLITIK_APSYS'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'81DC1B359A6199E0374758906AC650DD';")</f>
        <v>0</v>
      </c>
      <c r="M11">
        <f t="array" ref="M11">CONCATENATE("update msg_out_fld set description = '",D11,"' where tab_name = 'POLITIK_APSYS' and fld_name = 'CRTUSER';")</f>
        <v>0</v>
      </c>
    </row>
    <row r="12" spans="1:13">
      <c r="A12" t="s">
        <v>55</v>
      </c>
      <c r="C12" t="s">
        <v>75</v>
      </c>
      <c r="D12" t="s">
        <v>7</v>
      </c>
      <c r="H12" t="s">
        <v>2287</v>
      </c>
      <c r="K12">
        <f t="array" ref="K12">CONCATENATE("update msg_out_fld_config set msg_fld_name = '",A12,"' where cd = 'F00D444006493B9D89A0E3D0C3460919';")</f>
        <v>0</v>
      </c>
      <c r="M12">
        <f t="array" ref="M12">CONCATENATE("update msg_out_fld set description = '",D12,"' where tab_name = 'POLITIK_APSYS' and fld_name = 'POLITIK';")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'4188AE8EC1E3087E968477357F218415';")</f>
        <v>0</v>
      </c>
      <c r="M13">
        <f t="array" ref="M13">CONCATENATE("update msg_out_fld set description = '",D13,"' where tab_name = 'POLITIK_APSYS'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'4530E1FDCDAA54838D30A4EC7B97C4BE';")</f>
        <v>0</v>
      </c>
      <c r="M14">
        <f t="array" ref="M14">CONCATENATE("update msg_out_fld set description = '",D14,"' where tab_name = 'POLITIK_APSYS' and fld_name = 'MUTUSER';")</f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147"/>
  <sheetViews>
    <sheetView workbookViewId="0"/>
  </sheetViews>
  <sheetFormatPr defaultRowHeight="15"/>
  <cols>
    <col min="1" max="1" width="42.7109375" customWidth="1"/>
    <col min="2" max="2" width="4.28515625" customWidth="1"/>
    <col min="3" max="3" width="16.28515625" customWidth="1"/>
    <col min="4" max="4" width="52.28515625" customWidth="1"/>
    <col min="5" max="5" width="60.7109375" customWidth="1"/>
    <col min="6" max="6" width="10.28515625" customWidth="1"/>
    <col min="7" max="7" width="33.140625" customWidth="1"/>
    <col min="8" max="8" width="35.5703125" customWidth="1"/>
    <col min="9" max="9" width="1.85546875" customWidth="1"/>
    <col min="10" max="10" width="1.85546875" customWidth="1"/>
    <col min="11" max="11" width="144.7109375" customWidth="1"/>
    <col min="12" max="12" width="1.85546875" customWidth="1"/>
    <col min="13" max="13" width="171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2288</v>
      </c>
    </row>
    <row r="2" spans="1:13">
      <c r="A2" s="1" t="s">
        <v>2289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492</v>
      </c>
      <c r="E6" t="s">
        <v>493</v>
      </c>
      <c r="G6" t="s">
        <v>494</v>
      </c>
      <c r="H6" t="s">
        <v>490</v>
      </c>
      <c r="K6">
        <f t="array" ref="K6">CONCATENATE("update msg_out_fld_config set msg_fld_name = '",A6,"' where cd = '41B862BE03E3D97F39BA7CAC3AAB7439';")</f>
        <v>0</v>
      </c>
      <c r="M6">
        <f t="array" ref="M6">CONCATENATE("update msg_out_fld set description = '",D6,"' where tab_name = 'PORTFOLIO' and fld_name = 'PORTFOLIONO';")</f>
        <v>0</v>
      </c>
    </row>
    <row r="7" spans="1:13">
      <c r="A7" t="s">
        <v>2291</v>
      </c>
      <c r="C7" t="s">
        <v>2292</v>
      </c>
      <c r="D7" t="s">
        <v>2293</v>
      </c>
      <c r="H7" t="s">
        <v>2290</v>
      </c>
      <c r="K7">
        <f t="array" ref="K7">CONCATENATE("update msg_out_fld_config set msg_fld_name = '",A7,"' where cd = '26B97432EDE72C98CFE51F4C4DB57948';")</f>
        <v>0</v>
      </c>
      <c r="M7">
        <f t="array" ref="M7">CONCATENATE("update msg_out_fld set description = '",D7,"' where tab_name = 'PORTFOLIO' and fld_name = 'ANTRAGSORT';")</f>
        <v>0</v>
      </c>
    </row>
    <row r="8" spans="1:13">
      <c r="A8" t="s">
        <v>2295</v>
      </c>
      <c r="C8" t="s">
        <v>20</v>
      </c>
      <c r="D8" t="s">
        <v>2296</v>
      </c>
      <c r="E8" t="s">
        <v>964</v>
      </c>
      <c r="F8" t="s">
        <v>23</v>
      </c>
      <c r="H8" t="s">
        <v>2294</v>
      </c>
      <c r="K8">
        <f t="array" ref="K8">CONCATENATE("update msg_out_fld_config set msg_fld_name = '",A8,"' where cd = '08F4D6E3ACABC4F88B2C7C0D9923C738';")</f>
        <v>0</v>
      </c>
      <c r="M8">
        <f t="array" ref="M8">CONCATENATE("update msg_out_fld set description = '",D8,"' where tab_name = 'PORTFOLIO' and fld_name = 'APSYS_CDCTGPTFALGCPTS';")</f>
        <v>0</v>
      </c>
    </row>
    <row r="9" spans="1:13">
      <c r="A9" t="s">
        <v>2298</v>
      </c>
      <c r="C9" t="s">
        <v>75</v>
      </c>
      <c r="D9" t="s">
        <v>2299</v>
      </c>
      <c r="H9" t="s">
        <v>2297</v>
      </c>
      <c r="K9">
        <f t="array" ref="K9">CONCATENATE("update msg_out_fld_config set msg_fld_name = '",A9,"' where cd = 'BC8F0FBA1B21893081AD0C744AA803BC';")</f>
        <v>0</v>
      </c>
      <c r="M9">
        <f t="array" ref="M9">CONCATENATE("update msg_out_fld set description = '",D9,"' where tab_name = 'PORTFOLIO' and fld_name = 'RUBRIK1';")</f>
        <v>0</v>
      </c>
    </row>
    <row r="10" spans="1:13">
      <c r="A10" t="s">
        <v>2301</v>
      </c>
      <c r="C10" t="s">
        <v>75</v>
      </c>
      <c r="D10" t="s">
        <v>2302</v>
      </c>
      <c r="H10" t="s">
        <v>2300</v>
      </c>
      <c r="K10">
        <f t="array" ref="K10">CONCATENATE("update msg_out_fld_config set msg_fld_name = '",A10,"' where cd = 'DE2B5BED271FEA70F34AF9DB6D653A0D';")</f>
        <v>0</v>
      </c>
      <c r="M10">
        <f t="array" ref="M10">CONCATENATE("update msg_out_fld set description = '",D10,"' where tab_name = 'PORTFOLIO' and fld_name = 'RUBRIK2';")</f>
        <v>0</v>
      </c>
    </row>
    <row r="11" spans="1:13">
      <c r="A11" t="s">
        <v>2304</v>
      </c>
      <c r="C11" t="s">
        <v>75</v>
      </c>
      <c r="D11" t="s">
        <v>2305</v>
      </c>
      <c r="H11" t="s">
        <v>2303</v>
      </c>
      <c r="K11">
        <f t="array" ref="K11">CONCATENATE("update msg_out_fld_config set msg_fld_name = '",A11,"' where cd = '94E3073EC9D4C98034D8243D99E72910';")</f>
        <v>0</v>
      </c>
      <c r="M11">
        <f t="array" ref="M11">CONCATENATE("update msg_out_fld set description = '",D11,"' where tab_name = 'PORTFOLIO' and fld_name = 'RUBRIK3';")</f>
        <v>0</v>
      </c>
    </row>
    <row r="12" spans="1:13">
      <c r="A12" t="s">
        <v>2307</v>
      </c>
      <c r="C12" t="s">
        <v>20</v>
      </c>
      <c r="D12" t="s">
        <v>967</v>
      </c>
      <c r="E12" t="s">
        <v>964</v>
      </c>
      <c r="F12" t="s">
        <v>23</v>
      </c>
      <c r="H12" t="s">
        <v>2306</v>
      </c>
      <c r="K12">
        <f t="array" ref="K12">CONCATENATE("update msg_out_fld_config set msg_fld_name = '",A12,"' where cd = '720AEABCABFB151952655EDCFEB25EEA';")</f>
        <v>0</v>
      </c>
      <c r="M12">
        <f t="array" ref="M12">CONCATENATE("update msg_out_fld set description = '",D12,"' where tab_name = 'PORTFOLIO' and fld_name = 'APSYS_CDCTGPTFCOMAGTCPTS';")</f>
        <v>0</v>
      </c>
    </row>
    <row r="13" spans="1:13">
      <c r="A13" t="s">
        <v>2309</v>
      </c>
      <c r="C13" t="s">
        <v>16</v>
      </c>
      <c r="D13" t="s">
        <v>2310</v>
      </c>
      <c r="E13" t="s">
        <v>336</v>
      </c>
      <c r="F13" t="s">
        <v>23</v>
      </c>
      <c r="H13" t="s">
        <v>2308</v>
      </c>
      <c r="K13">
        <f t="array" ref="K13">CONCATENATE("update msg_out_fld_config set msg_fld_name = '",A13,"' where cd = '3486733173C9555FC0C70E71C3F75788';")</f>
        <v>0</v>
      </c>
      <c r="M13">
        <f t="array" ref="M13">CONCATENATE("update msg_out_fld set description = '",D13,"' where tab_name = 'PORTFOLIO' and fld_name = 'MANAGER1_CD';")</f>
        <v>0</v>
      </c>
    </row>
    <row r="14" spans="1:13">
      <c r="A14" t="s">
        <v>2312</v>
      </c>
      <c r="C14" t="s">
        <v>16</v>
      </c>
      <c r="D14" t="s">
        <v>2313</v>
      </c>
      <c r="E14" t="s">
        <v>336</v>
      </c>
      <c r="F14" t="s">
        <v>23</v>
      </c>
      <c r="H14" t="s">
        <v>2311</v>
      </c>
      <c r="K14">
        <f t="array" ref="K14">CONCATENATE("update msg_out_fld_config set msg_fld_name = '",A14,"' where cd = 'A6ED80A169E68130A6BAE1BEC6C1DF9C';")</f>
        <v>0</v>
      </c>
      <c r="M14">
        <f t="array" ref="M14">CONCATENATE("update msg_out_fld set description = '",D14,"' where tab_name = 'PORTFOLIO' and fld_name = 'MANAGER2_CD';")</f>
        <v>0</v>
      </c>
    </row>
    <row r="15" spans="1:13">
      <c r="A15" t="s">
        <v>2315</v>
      </c>
      <c r="C15" t="s">
        <v>16</v>
      </c>
      <c r="D15" t="s">
        <v>2316</v>
      </c>
      <c r="E15" t="s">
        <v>336</v>
      </c>
      <c r="F15" t="s">
        <v>23</v>
      </c>
      <c r="H15" t="s">
        <v>2314</v>
      </c>
      <c r="K15">
        <f t="array" ref="K15">CONCATENATE("update msg_out_fld_config set msg_fld_name = '",A15,"' where cd = '2CB3BF8F7A163B70D7B15E7B4593C012';")</f>
        <v>0</v>
      </c>
      <c r="M15">
        <f t="array" ref="M15">CONCATENATE("update msg_out_fld set description = '",D15,"' where tab_name = 'PORTFOLIO' and fld_name = 'MANAGER3_CD';")</f>
        <v>0</v>
      </c>
    </row>
    <row r="16" spans="1:13">
      <c r="A16" t="s">
        <v>2318</v>
      </c>
      <c r="C16" t="s">
        <v>16</v>
      </c>
      <c r="D16" t="s">
        <v>2319</v>
      </c>
      <c r="E16" t="s">
        <v>336</v>
      </c>
      <c r="F16" t="s">
        <v>23</v>
      </c>
      <c r="H16" t="s">
        <v>2317</v>
      </c>
      <c r="K16">
        <f t="array" ref="K16">CONCATENATE("update msg_out_fld_config set msg_fld_name = '",A16,"' where cd = 'D1083C24D70F1513A5FE1BDAD8EBD802';")</f>
        <v>0</v>
      </c>
      <c r="M16">
        <f t="array" ref="M16">CONCATENATE("update msg_out_fld set description = '",D16,"' where tab_name = 'PORTFOLIO' and fld_name = 'MANAGER4_CD';")</f>
        <v>0</v>
      </c>
    </row>
    <row r="17" spans="1:13">
      <c r="A17" t="s">
        <v>2321</v>
      </c>
      <c r="C17" t="s">
        <v>16</v>
      </c>
      <c r="D17" t="s">
        <v>2322</v>
      </c>
      <c r="E17" t="s">
        <v>336</v>
      </c>
      <c r="F17" t="s">
        <v>23</v>
      </c>
      <c r="H17" t="s">
        <v>2320</v>
      </c>
      <c r="K17">
        <f t="array" ref="K17">CONCATENATE("update msg_out_fld_config set msg_fld_name = '",A17,"' where cd = '8C7D6E6658078861AC8F4C10B237D5F8';")</f>
        <v>0</v>
      </c>
      <c r="M17">
        <f t="array" ref="M17">CONCATENATE("update msg_out_fld set description = '",D17,"' where tab_name = 'PORTFOLIO' and fld_name = 'MANAGER5_CD';")</f>
        <v>0</v>
      </c>
    </row>
    <row r="18" spans="1:13">
      <c r="A18" t="s">
        <v>2324</v>
      </c>
      <c r="C18" t="s">
        <v>20</v>
      </c>
      <c r="D18" t="s">
        <v>963</v>
      </c>
      <c r="E18" t="s">
        <v>964</v>
      </c>
      <c r="F18" t="s">
        <v>23</v>
      </c>
      <c r="H18" t="s">
        <v>2323</v>
      </c>
      <c r="K18">
        <f t="array" ref="K18">CONCATENATE("update msg_out_fld_config set msg_fld_name = '",A18,"' where cd = 'A07C9FBB3F3BA31C42B5B39B7F6C695B';")</f>
        <v>0</v>
      </c>
      <c r="M18">
        <f t="array" ref="M18">CONCATENATE("update msg_out_fld set description = '",D18,"' where tab_name = 'PORTFOLIO' and fld_name = 'APSYS_CDCTGPTFGRECPTS';")</f>
        <v>0</v>
      </c>
    </row>
    <row r="19" spans="1:13">
      <c r="A19" t="s">
        <v>2326</v>
      </c>
      <c r="C19" t="s">
        <v>37</v>
      </c>
      <c r="D19" t="s">
        <v>2327</v>
      </c>
      <c r="H19" t="s">
        <v>2325</v>
      </c>
      <c r="K19">
        <f t="array" ref="K19">CONCATENATE("update msg_out_fld_config set msg_fld_name = '",A19,"' where cd = 'B9CF7BD228DC3D4663DE539086D91582';")</f>
        <v>0</v>
      </c>
      <c r="M19">
        <f t="array" ref="M19">CONCATENATE("update msg_out_fld set description = '",D19,"' where tab_name = 'PORTFOLIO' and fld_name = 'KONTONUMMER1';")</f>
        <v>0</v>
      </c>
    </row>
    <row r="20" spans="1:13">
      <c r="A20" t="s">
        <v>2329</v>
      </c>
      <c r="C20" t="s">
        <v>37</v>
      </c>
      <c r="D20" t="s">
        <v>2330</v>
      </c>
      <c r="H20" t="s">
        <v>2328</v>
      </c>
      <c r="K20">
        <f t="array" ref="K20">CONCATENATE("update msg_out_fld_config set msg_fld_name = '",A20,"' where cd = '48FFF64FDFA7785E76A94F2DDA126667';")</f>
        <v>0</v>
      </c>
      <c r="M20">
        <f t="array" ref="M20">CONCATENATE("update msg_out_fld set description = '",D20,"' where tab_name = 'PORTFOLIO' and fld_name = 'KONTONUMMER2';")</f>
        <v>0</v>
      </c>
    </row>
    <row r="21" spans="1:13">
      <c r="A21" t="s">
        <v>2332</v>
      </c>
      <c r="C21" t="s">
        <v>37</v>
      </c>
      <c r="D21" t="s">
        <v>2333</v>
      </c>
      <c r="H21" t="s">
        <v>2331</v>
      </c>
      <c r="K21">
        <f t="array" ref="K21">CONCATENATE("update msg_out_fld_config set msg_fld_name = '",A21,"' where cd = 'B1D6954AFE4616449C187B40EBB1AB93';")</f>
        <v>0</v>
      </c>
      <c r="M21">
        <f t="array" ref="M21">CONCATENATE("update msg_out_fld set description = '",D21,"' where tab_name = 'PORTFOLIO' and fld_name = 'KONTONUMMER3';")</f>
        <v>0</v>
      </c>
    </row>
    <row r="22" spans="1:13">
      <c r="A22" t="s">
        <v>93</v>
      </c>
      <c r="C22" t="s">
        <v>90</v>
      </c>
      <c r="D22" t="s">
        <v>94</v>
      </c>
      <c r="H22" t="s">
        <v>92</v>
      </c>
      <c r="K22">
        <f t="array" ref="K22">CONCATENATE("update msg_out_fld_config set msg_fld_name = '",A22,"' where cd = 'E1A7032012764A9D5DE1D7CD584D2898';")</f>
        <v>0</v>
      </c>
      <c r="M22">
        <f t="array" ref="M22">CONCATENATE("update msg_out_fld set description = '",D22,"' where tab_name = 'PORTFOLIO' and fld_name = 'AKTID';")</f>
        <v>0</v>
      </c>
    </row>
    <row r="23" spans="1:13">
      <c r="A23" t="s">
        <v>2335</v>
      </c>
      <c r="C23" t="s">
        <v>37</v>
      </c>
      <c r="D23" t="s">
        <v>2336</v>
      </c>
      <c r="H23" t="s">
        <v>2334</v>
      </c>
      <c r="K23">
        <f t="array" ref="K23">CONCATENATE("update msg_out_fld_config set msg_fld_name = '",A23,"' where cd = 'DF81556DA5EBDE0E0EED0227688B514A';")</f>
        <v>0</v>
      </c>
      <c r="M23">
        <f t="array" ref="M23">CONCATENATE("update msg_out_fld set description = '",D23,"' where tab_name = 'PORTFOLIO' and fld_name = 'INFOVOLLMACHT';")</f>
        <v>0</v>
      </c>
    </row>
    <row r="24" spans="1:13">
      <c r="A24" t="s">
        <v>2338</v>
      </c>
      <c r="C24" t="s">
        <v>68</v>
      </c>
      <c r="D24" t="s">
        <v>2339</v>
      </c>
      <c r="E24" t="s">
        <v>2340</v>
      </c>
      <c r="F24" t="s">
        <v>23</v>
      </c>
      <c r="H24" t="s">
        <v>2337</v>
      </c>
      <c r="K24">
        <f t="array" ref="K24">CONCATENATE("update msg_out_fld_config set msg_fld_name = '",A24,"' where cd = 'E5D6ECB6CF74EEADED0A2653655DBBA9';")</f>
        <v>0</v>
      </c>
      <c r="M24">
        <f t="array" ref="M24">CONCATENATE("update msg_out_fld set description = '",D24,"' where tab_name = 'PORTFOLIO' and fld_name = 'VERWALTUNGSMODUS_CD';")</f>
        <v>0</v>
      </c>
    </row>
    <row r="25" spans="1:13">
      <c r="A25" t="s">
        <v>2342</v>
      </c>
      <c r="C25" t="s">
        <v>20</v>
      </c>
      <c r="D25" t="s">
        <v>2343</v>
      </c>
      <c r="E25" t="s">
        <v>2344</v>
      </c>
      <c r="F25" t="s">
        <v>29</v>
      </c>
      <c r="G25" t="s">
        <v>2345</v>
      </c>
      <c r="H25" t="s">
        <v>2341</v>
      </c>
      <c r="K25">
        <f t="array" ref="K25">CONCATENATE("update msg_out_fld_config set msg_fld_name = '",A25,"' where cd = 'E4DFD55505BDD56D711F5DC8E2C84EF6';")</f>
        <v>0</v>
      </c>
      <c r="M25">
        <f t="array" ref="M25">CONCATENATE("update msg_out_fld set description = '",D25,"' where tab_name = 'PORTFOLIO' and fld_name = 'AEOI_CONSISTENCY_STATUS_CD';")</f>
        <v>0</v>
      </c>
    </row>
    <row r="26" spans="1:13">
      <c r="A26" t="s">
        <v>268</v>
      </c>
      <c r="C26" t="s">
        <v>26</v>
      </c>
      <c r="D26" t="s">
        <v>2347</v>
      </c>
      <c r="E26" t="s">
        <v>269</v>
      </c>
      <c r="F26" t="s">
        <v>23</v>
      </c>
      <c r="H26" t="s">
        <v>2346</v>
      </c>
      <c r="K26">
        <f t="array" ref="K26">CONCATENATE("update msg_out_fld_config set msg_fld_name = '",A26,"' where cd = '050A64C0E9582288223DBAD478ECA7B8';")</f>
        <v>0</v>
      </c>
      <c r="M26">
        <f t="array" ref="M26">CONCATENATE("update msg_out_fld set description = '",D26,"' where tab_name = 'PORTFOLIO' and fld_name = 'AEOI_EXEMPTION_CD';")</f>
        <v>0</v>
      </c>
    </row>
    <row r="27" spans="1:13">
      <c r="A27" t="s">
        <v>2349</v>
      </c>
      <c r="C27" t="s">
        <v>20</v>
      </c>
      <c r="D27" t="s">
        <v>2350</v>
      </c>
      <c r="E27" t="s">
        <v>2351</v>
      </c>
      <c r="F27" t="s">
        <v>29</v>
      </c>
      <c r="G27" t="s">
        <v>951</v>
      </c>
      <c r="H27" t="s">
        <v>2348</v>
      </c>
      <c r="K27">
        <f t="array" ref="K27">CONCATENATE("update msg_out_fld_config set msg_fld_name = '",A27,"' where cd = '4B746ED9BBEE1CA6EE8570D00ECF0217';")</f>
        <v>0</v>
      </c>
      <c r="M27">
        <f t="array" ref="M27">CONCATENATE("update msg_out_fld set description = '",D27,"' where tab_name = 'PORTFOLIO' and fld_name = 'AEOI_FINAL_STATUS_CD';")</f>
        <v>0</v>
      </c>
    </row>
    <row r="28" spans="1:13">
      <c r="A28" t="s">
        <v>2353</v>
      </c>
      <c r="C28" t="s">
        <v>104</v>
      </c>
      <c r="D28" t="s">
        <v>2354</v>
      </c>
      <c r="H28" t="s">
        <v>2352</v>
      </c>
      <c r="K28">
        <f t="array" ref="K28">CONCATENATE("update msg_out_fld_config set msg_fld_name = '",A28,"' where cd = '1026FCFE4F3EE313E83563485E9A306B';")</f>
        <v>0</v>
      </c>
      <c r="M28">
        <f t="array" ref="M28">CONCATENATE("update msg_out_fld set description = '",D28,"' where tab_name = 'PORTFOLIO' and fld_name = 'AEOI_REVIEW_DATE';")</f>
        <v>0</v>
      </c>
    </row>
    <row r="29" spans="1:13">
      <c r="A29" t="s">
        <v>2356</v>
      </c>
      <c r="C29" t="s">
        <v>20</v>
      </c>
      <c r="D29" t="s">
        <v>2357</v>
      </c>
      <c r="E29" t="s">
        <v>2358</v>
      </c>
      <c r="F29" t="s">
        <v>23</v>
      </c>
      <c r="H29" t="s">
        <v>2355</v>
      </c>
      <c r="K29">
        <f t="array" ref="K29">CONCATENATE("update msg_out_fld_config set msg_fld_name = '",A29,"' where cd = '00FA399C2207D039A74EE510D1F25C4C';")</f>
        <v>0</v>
      </c>
      <c r="M29">
        <f t="array" ref="M29">CONCATENATE("update msg_out_fld set description = '",D29,"' where tab_name = 'PORTFOLIO' and fld_name = 'AEOI_SUB_EXEMPTION_CD';")</f>
        <v>0</v>
      </c>
    </row>
    <row r="30" spans="1:13">
      <c r="A30" t="s">
        <v>2360</v>
      </c>
      <c r="C30" t="s">
        <v>16</v>
      </c>
      <c r="D30" t="s">
        <v>1872</v>
      </c>
      <c r="H30" t="s">
        <v>2359</v>
      </c>
      <c r="K30">
        <f t="array" ref="K30">CONCATENATE("update msg_out_fld_config set msg_fld_name = '",A30,"' where cd = 'CA7323CE4C7DCC27996A678964FF39F5';")</f>
        <v>0</v>
      </c>
      <c r="M30">
        <f t="array" ref="M30">CONCATENATE("update msg_out_fld set description = '",D30,"' where tab_name = 'PORTFOLIO' and fld_name = 'VERMITTLER_CD';")</f>
        <v>0</v>
      </c>
    </row>
    <row r="31" spans="1:13">
      <c r="A31" t="s">
        <v>2362</v>
      </c>
      <c r="C31" t="s">
        <v>26</v>
      </c>
      <c r="D31" t="s">
        <v>2363</v>
      </c>
      <c r="E31" t="s">
        <v>28</v>
      </c>
      <c r="F31" t="s">
        <v>29</v>
      </c>
      <c r="G31" t="s">
        <v>30</v>
      </c>
      <c r="H31" t="s">
        <v>2361</v>
      </c>
      <c r="K31">
        <f t="array" ref="K31">CONCATENATE("update msg_out_fld_config set msg_fld_name = '",A31,"' where cd = '5FCEA5FBC0C4710400A8A979DC8965B6';")</f>
        <v>0</v>
      </c>
      <c r="M31">
        <f t="array" ref="M31">CONCATENATE("update msg_out_fld set description = '",D31,"' where tab_name = 'PORTFOLIO' and fld_name = 'GELDVONKONTOINHABER_CD';")</f>
        <v>0</v>
      </c>
    </row>
    <row r="32" spans="1:13">
      <c r="A32" t="s">
        <v>2365</v>
      </c>
      <c r="C32" t="s">
        <v>104</v>
      </c>
      <c r="D32" t="s">
        <v>2366</v>
      </c>
      <c r="H32" t="s">
        <v>2364</v>
      </c>
      <c r="K32">
        <f t="array" ref="K32">CONCATENATE("update msg_out_fld_config set msg_fld_name = '",A32,"' where cd = '595B2A36392F96EFAC54B468DDC8B280';")</f>
        <v>0</v>
      </c>
      <c r="M32">
        <f t="array" ref="M32">CONCATENATE("update msg_out_fld set description = '",D32,"' where tab_name = 'PORTFOLIO' and fld_name = 'ANTRAGSDATUM';")</f>
        <v>0</v>
      </c>
    </row>
    <row r="33" spans="1:13">
      <c r="A33" t="s">
        <v>650</v>
      </c>
      <c r="C33" t="s">
        <v>37</v>
      </c>
      <c r="D33" t="s">
        <v>651</v>
      </c>
      <c r="H33" t="s">
        <v>649</v>
      </c>
      <c r="K33">
        <f t="array" ref="K33">CONCATENATE("update msg_out_fld_config set msg_fld_name = '",A33,"' where cd = '74AB1CC53F29FCF4D06F9AB2D98B97CE';")</f>
        <v>0</v>
      </c>
      <c r="M33">
        <f t="array" ref="M33">CONCATENATE("update msg_out_fld set description = '",D33,"' where tab_name = 'PORTFOLIO' and fld_name = 'APSYS_INTISHS';")</f>
        <v>0</v>
      </c>
    </row>
    <row r="34" spans="1:13">
      <c r="A34" t="s">
        <v>2368</v>
      </c>
      <c r="C34" t="s">
        <v>26</v>
      </c>
      <c r="D34" t="s">
        <v>2369</v>
      </c>
      <c r="E34" t="s">
        <v>28</v>
      </c>
      <c r="F34" t="s">
        <v>29</v>
      </c>
      <c r="G34" t="s">
        <v>30</v>
      </c>
      <c r="H34" t="s">
        <v>2367</v>
      </c>
      <c r="K34">
        <f t="array" ref="K34">CONCATENATE("update msg_out_fld_config set msg_fld_name = '",A34,"' where cd = 'F4A4B2D7FBB6C765C73572C4D8B79AE1';")</f>
        <v>0</v>
      </c>
      <c r="M34">
        <f t="array" ref="M34">CONCATENATE("update msg_out_fld set description = '",D34,"' where tab_name = 'PORTFOLIO' and fld_name = 'APSYS_FLAGIRSNONACTIFI';")</f>
        <v>0</v>
      </c>
    </row>
    <row r="35" spans="1:13">
      <c r="A35" t="s">
        <v>656</v>
      </c>
      <c r="C35" t="s">
        <v>90</v>
      </c>
      <c r="D35" t="s">
        <v>657</v>
      </c>
      <c r="H35" t="s">
        <v>655</v>
      </c>
      <c r="K35">
        <f t="array" ref="K35">CONCATENATE("update msg_out_fld_config set msg_fld_name = '",A35,"' where cd = 'D877F24137CCEDCCBFBC6A37004474BE';")</f>
        <v>0</v>
      </c>
      <c r="M35">
        <f t="array" ref="M35">CONCATENATE("update msg_out_fld set description = '",D35,"' where tab_name = 'PORTFOLIO' and fld_name = 'APSYS_ERRI';")</f>
        <v>0</v>
      </c>
    </row>
    <row r="36" spans="1:13">
      <c r="A36" t="s">
        <v>2371</v>
      </c>
      <c r="C36" t="s">
        <v>90</v>
      </c>
      <c r="D36" t="s">
        <v>2372</v>
      </c>
      <c r="H36" t="s">
        <v>2370</v>
      </c>
      <c r="K36">
        <f t="array" ref="K36">CONCATENATE("update msg_out_fld_config set msg_fld_name = '",A36,"' where cd = '30C5C9DA287A23FDF3DEE9D54BEC317B';")</f>
        <v>0</v>
      </c>
      <c r="M36">
        <f t="array" ref="M36">CONCATENATE("update msg_out_fld set description = '",D36,"' where tab_name = 'PORTFOLIO' and fld_name = 'APSYS_CRITEREUSFATCASTATL';")</f>
        <v>0</v>
      </c>
    </row>
    <row r="37" spans="1:13">
      <c r="A37" t="s">
        <v>659</v>
      </c>
      <c r="C37" t="s">
        <v>75</v>
      </c>
      <c r="D37" t="s">
        <v>660</v>
      </c>
      <c r="H37" t="s">
        <v>658</v>
      </c>
      <c r="K37">
        <f t="array" ref="K37">CONCATENATE("update msg_out_fld_config set msg_fld_name = '",A37,"' where cd = '7B68D4D2AC63990A11913E9525BB183C';")</f>
        <v>0</v>
      </c>
      <c r="M37">
        <f t="array" ref="M37">CONCATENATE("update msg_out_fld set description = '",D37,"' where tab_name = 'PORTFOLIO' and fld_name = 'APSYS_INFO';")</f>
        <v>0</v>
      </c>
    </row>
    <row r="38" spans="1:13">
      <c r="A38" t="s">
        <v>2373</v>
      </c>
      <c r="C38" t="s">
        <v>75</v>
      </c>
      <c r="D38" t="s">
        <v>2374</v>
      </c>
      <c r="H38" t="s">
        <v>652</v>
      </c>
      <c r="K38">
        <f t="array" ref="K38">CONCATENATE("update msg_out_fld_config set msg_fld_name = '",A38,"' where cd = 'F27CD73DBBEE9ACAE377765F9DC468D3';")</f>
        <v>0</v>
      </c>
      <c r="M38">
        <f t="array" ref="M38">CONCATENATE("update msg_out_fld set description = '",D38,"' where tab_name = 'PORTFOLIO' and fld_name = 'APSYS_INTILGS';")</f>
        <v>0</v>
      </c>
    </row>
    <row r="39" spans="1:13">
      <c r="A39" t="s">
        <v>2376</v>
      </c>
      <c r="C39" t="s">
        <v>20</v>
      </c>
      <c r="D39" t="s">
        <v>2377</v>
      </c>
      <c r="E39" t="s">
        <v>2378</v>
      </c>
      <c r="F39" t="s">
        <v>23</v>
      </c>
      <c r="H39" t="s">
        <v>2375</v>
      </c>
      <c r="K39">
        <f t="array" ref="K39">CONCATENATE("update msg_out_fld_config set msg_fld_name = '",A39,"' where cd = '5226F2CC526B3228C7BE4C2AA6BEE1BA';")</f>
        <v>0</v>
      </c>
      <c r="M39">
        <f t="array" ref="M39">CONCATENATE("update msg_out_fld set description = '",D39,"' where tab_name = 'PORTFOLIO' and fld_name = 'APSYS_TYPMDCS';")</f>
        <v>0</v>
      </c>
    </row>
    <row r="40" spans="1:13">
      <c r="A40" t="s">
        <v>2380</v>
      </c>
      <c r="C40" t="s">
        <v>20</v>
      </c>
      <c r="D40" t="s">
        <v>2381</v>
      </c>
      <c r="E40" t="s">
        <v>2382</v>
      </c>
      <c r="F40" t="s">
        <v>23</v>
      </c>
      <c r="H40" t="s">
        <v>2379</v>
      </c>
      <c r="K40">
        <f t="array" ref="K40">CONCATENATE("update msg_out_fld_config set msg_fld_name = '",A40,"' where cd = '12FC8DF03EAC1EA0C96AF6B6C5E48214';")</f>
        <v>0</v>
      </c>
      <c r="M40">
        <f t="array" ref="M40">CONCATENATE("update msg_out_fld set description = '",D40,"' where tab_name = 'PORTFOLIO' and fld_name = 'APSYS_TYPPTFS';")</f>
        <v>0</v>
      </c>
    </row>
    <row r="41" spans="1:13">
      <c r="A41" t="s">
        <v>2384</v>
      </c>
      <c r="C41" t="s">
        <v>26</v>
      </c>
      <c r="D41" t="s">
        <v>2385</v>
      </c>
      <c r="E41" t="s">
        <v>2386</v>
      </c>
      <c r="F41" t="s">
        <v>29</v>
      </c>
      <c r="G41" t="s">
        <v>2387</v>
      </c>
      <c r="H41" t="s">
        <v>2383</v>
      </c>
      <c r="K41">
        <f t="array" ref="K41">CONCATENATE("update msg_out_fld_config set msg_fld_name = '",A41,"' where cd = '559F2395E462CBD52DA9FCABAD8AD81A';")</f>
        <v>0</v>
      </c>
      <c r="M41">
        <f t="array" ref="M41">CONCATENATE("update msg_out_fld set description = '",D41,"' where tab_name = 'PORTFOLIO' and fld_name = 'APSYS_CDPCTPARTICTITUEUTAXC';")</f>
        <v>0</v>
      </c>
    </row>
    <row r="42" spans="1:13">
      <c r="A42" t="s">
        <v>2389</v>
      </c>
      <c r="C42" t="s">
        <v>37</v>
      </c>
      <c r="D42" t="s">
        <v>2390</v>
      </c>
      <c r="H42" t="s">
        <v>2388</v>
      </c>
      <c r="K42">
        <f t="array" ref="K42">CONCATENATE("update msg_out_fld_config set msg_fld_name = '",A42,"' where cd = '5541F5C5D5E93076F3979F646273D10E';")</f>
        <v>0</v>
      </c>
      <c r="M42">
        <f t="array" ref="M42">CONCATENATE("update msg_out_fld set description = '",D42,"' where tab_name = 'PORTFOLIO' and fld_name = 'APSYS_SHLIBPTFS';")</f>
        <v>0</v>
      </c>
    </row>
    <row r="43" spans="1:13">
      <c r="A43" t="s">
        <v>399</v>
      </c>
      <c r="C43" t="s">
        <v>400</v>
      </c>
      <c r="D43" t="s">
        <v>661</v>
      </c>
      <c r="H43" t="s">
        <v>398</v>
      </c>
      <c r="K43">
        <f t="array" ref="K43">CONCATENATE("update msg_out_fld_config set msg_fld_name = '",A43,"' where cd = '8FAF9F3726AE7522250ED45EE61AD493';")</f>
        <v>0</v>
      </c>
      <c r="M43">
        <f t="array" ref="M43">CONCATENATE("update msg_out_fld set description = '",D43,"' where tab_name = 'PORTFOLIO' and fld_name = 'APSYS_SHNAS';")</f>
        <v>0</v>
      </c>
    </row>
    <row r="44" spans="1:13">
      <c r="A44" t="s">
        <v>663</v>
      </c>
      <c r="C44" t="s">
        <v>664</v>
      </c>
      <c r="D44" t="s">
        <v>665</v>
      </c>
      <c r="E44" t="s">
        <v>666</v>
      </c>
      <c r="F44" t="s">
        <v>29</v>
      </c>
      <c r="G44" t="s">
        <v>667</v>
      </c>
      <c r="H44" t="s">
        <v>662</v>
      </c>
      <c r="K44">
        <f t="array" ref="K44">CONCATENATE("update msg_out_fld_config set msg_fld_name = '",A44,"' where cd = '7E01B683A0DE23A2412CC75E64AC8024';")</f>
        <v>0</v>
      </c>
      <c r="M44">
        <f t="array" ref="M44">CONCATENATE("update msg_out_fld set description = '",D44,"' where tab_name = 'PORTFOLIO' and fld_name = 'APSYS_STATUS_OPEC';")</f>
        <v>0</v>
      </c>
    </row>
    <row r="45" spans="1:13">
      <c r="A45" t="s">
        <v>2392</v>
      </c>
      <c r="C45" t="s">
        <v>26</v>
      </c>
      <c r="D45" t="s">
        <v>2393</v>
      </c>
      <c r="E45" t="s">
        <v>2394</v>
      </c>
      <c r="F45" t="s">
        <v>29</v>
      </c>
      <c r="G45" t="s">
        <v>1164</v>
      </c>
      <c r="H45" t="s">
        <v>2391</v>
      </c>
      <c r="K45">
        <f t="array" ref="K45">CONCATENATE("update msg_out_fld_config set msg_fld_name = '",A45,"' where cd = '9A24803A5DB2E9C3F4BC0D1EA9C3DB1A';")</f>
        <v>0</v>
      </c>
      <c r="M45">
        <f t="array" ref="M45">CONCATENATE("update msg_out_fld set description = '",D45,"' where tab_name = 'PORTFOLIO' and fld_name = 'APSYS_POSOSTMANAGC';")</f>
        <v>0</v>
      </c>
    </row>
    <row r="46" spans="1:13">
      <c r="A46" t="s">
        <v>2396</v>
      </c>
      <c r="C46" t="s">
        <v>20</v>
      </c>
      <c r="D46" t="s">
        <v>2397</v>
      </c>
      <c r="E46" t="s">
        <v>964</v>
      </c>
      <c r="F46" t="s">
        <v>23</v>
      </c>
      <c r="H46" t="s">
        <v>2395</v>
      </c>
      <c r="K46">
        <f t="array" ref="K46">CONCATENATE("update msg_out_fld_config set msg_fld_name = '",A46,"' where cd = '65B33DD7D29AF521AB4BCAE3B16A8340';")</f>
        <v>0</v>
      </c>
      <c r="M46">
        <f t="array" ref="M46">CONCATENATE("update msg_out_fld set description = '",D46,"' where tab_name = 'PORTFOLIO' and fld_name = 'APSYS_CDCTGPTFIVSTAUTOS';")</f>
        <v>0</v>
      </c>
    </row>
    <row r="47" spans="1:13">
      <c r="A47" t="s">
        <v>2399</v>
      </c>
      <c r="C47" t="s">
        <v>26</v>
      </c>
      <c r="D47" t="s">
        <v>2400</v>
      </c>
      <c r="E47" t="s">
        <v>562</v>
      </c>
      <c r="F47" t="s">
        <v>29</v>
      </c>
      <c r="G47" t="s">
        <v>30</v>
      </c>
      <c r="H47" t="s">
        <v>2398</v>
      </c>
      <c r="K47">
        <f t="array" ref="K47">CONCATENATE("update msg_out_fld_config set msg_fld_name = '",A47,"' where cd = '5CA187B7F3D8DC391FBB12923D4AA937';")</f>
        <v>0</v>
      </c>
      <c r="M47">
        <f t="array" ref="M47">CONCATENATE("update msg_out_fld set description = '",D47,"' where tab_name = 'PORTFOLIO' and fld_name = 'AUTOMATISCHE_VERTEILUNG_CD';")</f>
        <v>0</v>
      </c>
    </row>
    <row r="48" spans="1:13">
      <c r="A48" t="s">
        <v>694</v>
      </c>
      <c r="C48" t="s">
        <v>20</v>
      </c>
      <c r="D48" t="s">
        <v>695</v>
      </c>
      <c r="E48" t="s">
        <v>696</v>
      </c>
      <c r="F48" t="s">
        <v>23</v>
      </c>
      <c r="H48" t="s">
        <v>693</v>
      </c>
      <c r="K48">
        <f t="array" ref="K48">CONCATENATE("update msg_out_fld_config set msg_fld_name = '",A48,"' where cd = '97981D59E69EA9366B3D78B834D791D8';")</f>
        <v>0</v>
      </c>
      <c r="M48">
        <f t="array" ref="M48">CONCATENATE("update msg_out_fld set description = '",D48,"' where tab_name = 'PORTFOLIO' and fld_name = 'APSYS_CDMOTIFPARTS';")</f>
        <v>0</v>
      </c>
    </row>
    <row r="49" spans="1:13">
      <c r="A49" t="s">
        <v>2402</v>
      </c>
      <c r="C49" t="s">
        <v>26</v>
      </c>
      <c r="D49" t="s">
        <v>2403</v>
      </c>
      <c r="E49" t="s">
        <v>1023</v>
      </c>
      <c r="F49" t="s">
        <v>29</v>
      </c>
      <c r="G49" t="s">
        <v>1024</v>
      </c>
      <c r="H49" t="s">
        <v>2401</v>
      </c>
      <c r="K49">
        <f t="array" ref="K49">CONCATENATE("update msg_out_fld_config set msg_fld_name = '",A49,"' where cd = '41DBF7CFE8E4FC9522072EBE03A43F62';")</f>
        <v>0</v>
      </c>
      <c r="M49">
        <f t="array" ref="M49">CONCATENATE("update msg_out_fld set description = '",D49,"' where tab_name = 'PORTFOLIO' and fld_name = 'APSYS_CDFACBOLC';")</f>
        <v>0</v>
      </c>
    </row>
    <row r="50" spans="1:13">
      <c r="A50" t="s">
        <v>1021</v>
      </c>
      <c r="C50" t="s">
        <v>26</v>
      </c>
      <c r="D50" t="s">
        <v>1022</v>
      </c>
      <c r="E50" t="s">
        <v>1023</v>
      </c>
      <c r="F50" t="s">
        <v>29</v>
      </c>
      <c r="G50" t="s">
        <v>1024</v>
      </c>
      <c r="H50" t="s">
        <v>1020</v>
      </c>
      <c r="K50">
        <f t="array" ref="K50">CONCATENATE("update msg_out_fld_config set msg_fld_name = '",A50,"' where cd = 'F73DF6229F198F5A062C9F441E1F9FAE';")</f>
        <v>0</v>
      </c>
      <c r="M50">
        <f t="array" ref="M50">CONCATENATE("update msg_out_fld set description = '",D50,"' where tab_name = 'PORTFOLIO' and fld_name = 'APSYS_CDSOUMBOLC';")</f>
        <v>0</v>
      </c>
    </row>
    <row r="51" spans="1:13">
      <c r="A51" t="s">
        <v>2405</v>
      </c>
      <c r="C51" t="s">
        <v>26</v>
      </c>
      <c r="D51" t="s">
        <v>2406</v>
      </c>
      <c r="E51" t="s">
        <v>28</v>
      </c>
      <c r="F51" t="s">
        <v>29</v>
      </c>
      <c r="G51" t="s">
        <v>30</v>
      </c>
      <c r="H51" t="s">
        <v>2404</v>
      </c>
      <c r="K51">
        <f t="array" ref="K51">CONCATENATE("update msg_out_fld_config set msg_fld_name = '",A51,"' where cd = '444EF08629C7FE2A6D9BCB823945C33C';")</f>
        <v>0</v>
      </c>
      <c r="M51">
        <f t="array" ref="M51">CONCATENATE("update msg_out_fld set description = '",D51,"' where tab_name = 'PORTFOLIO' and fld_name = 'WB_IST_NICHT_ZWINGEND_CD';")</f>
        <v>0</v>
      </c>
    </row>
    <row r="52" spans="1:13">
      <c r="A52" t="s">
        <v>19</v>
      </c>
      <c r="C52" t="s">
        <v>20</v>
      </c>
      <c r="D52" t="s">
        <v>21</v>
      </c>
      <c r="E52" t="s">
        <v>22</v>
      </c>
      <c r="F52" t="s">
        <v>23</v>
      </c>
      <c r="H52" t="s">
        <v>2407</v>
      </c>
      <c r="K52">
        <f t="array" ref="K52">CONCATENATE("update msg_out_fld_config set msg_fld_name = '",A52,"' where cd = 'FE49A8F6DBA8A00FDD349E7BA2510EF0';")</f>
        <v>0</v>
      </c>
      <c r="M52">
        <f t="array" ref="M52">CONCATENATE("update msg_out_fld set description = '",D52,"' where tab_name = 'PORTFOLIO' and fld_name = 'FILIAL_CD';")</f>
        <v>0</v>
      </c>
    </row>
    <row r="53" spans="1:13">
      <c r="A53" t="s">
        <v>2409</v>
      </c>
      <c r="C53" t="s">
        <v>20</v>
      </c>
      <c r="D53" t="s">
        <v>970</v>
      </c>
      <c r="E53" t="s">
        <v>964</v>
      </c>
      <c r="F53" t="s">
        <v>23</v>
      </c>
      <c r="H53" t="s">
        <v>2408</v>
      </c>
      <c r="K53">
        <f t="array" ref="K53">CONCATENATE("update msg_out_fld_config set msg_fld_name = '",A53,"' where cd = 'DD92DA19428DDB8A84A09D8F3B8A0101';")</f>
        <v>0</v>
      </c>
      <c r="M53">
        <f t="array" ref="M53">CONCATENATE("update msg_out_fld set description = '",D53,"' where tab_name = 'PORTFOLIO' and fld_name = 'APSYS_CDCTGPTFSBXPS';")</f>
        <v>0</v>
      </c>
    </row>
    <row r="54" spans="1:13">
      <c r="A54" t="s">
        <v>2411</v>
      </c>
      <c r="C54" t="s">
        <v>26</v>
      </c>
      <c r="D54" t="s">
        <v>2412</v>
      </c>
      <c r="E54" t="s">
        <v>28</v>
      </c>
      <c r="F54" t="s">
        <v>29</v>
      </c>
      <c r="G54" t="s">
        <v>30</v>
      </c>
      <c r="H54" t="s">
        <v>2410</v>
      </c>
      <c r="K54">
        <f t="array" ref="K54">CONCATENATE("update msg_out_fld_config set msg_fld_name = '",A54,"' where cd = 'E4E178193DF250D313D3A5A504F18C0C';")</f>
        <v>0</v>
      </c>
      <c r="M54">
        <f t="array" ref="M54">CONCATENATE("update msg_out_fld set description = '",D54,"' where tab_name = 'PORTFOLIO' and fld_name = 'APSYS_FLAGFORCEPOSOSTMANAGI';")</f>
        <v>0</v>
      </c>
    </row>
    <row r="55" spans="1:13">
      <c r="A55" t="s">
        <v>2414</v>
      </c>
      <c r="C55" t="s">
        <v>75</v>
      </c>
      <c r="D55" t="s">
        <v>316</v>
      </c>
      <c r="H55" t="s">
        <v>2413</v>
      </c>
      <c r="K55">
        <f t="array" ref="K55">CONCATENATE("update msg_out_fld_config set msg_fld_name = '",A55,"' where cd = '431F198BC371FFCAC8FDE0AACDA88F73';")</f>
        <v>0</v>
      </c>
      <c r="M55">
        <f t="array" ref="M55">CONCATENATE("update msg_out_fld set description = '",D55,"' where tab_name = 'PORTFOLIO' and fld_name = 'RUBRIK';")</f>
        <v>0</v>
      </c>
    </row>
    <row r="56" spans="1:13">
      <c r="A56" t="s">
        <v>2416</v>
      </c>
      <c r="C56" t="s">
        <v>26</v>
      </c>
      <c r="D56" t="s">
        <v>2417</v>
      </c>
      <c r="E56" t="s">
        <v>562</v>
      </c>
      <c r="F56" t="s">
        <v>29</v>
      </c>
      <c r="G56" t="s">
        <v>30</v>
      </c>
      <c r="H56" t="s">
        <v>2415</v>
      </c>
      <c r="K56">
        <f t="array" ref="K56">CONCATENATE("update msg_out_fld_config set msg_fld_name = '",A56,"' where cd = 'BE2786364B209E10D0861A2728488D66';")</f>
        <v>0</v>
      </c>
      <c r="M56">
        <f t="array" ref="M56">CONCATENATE("update msg_out_fld set description = '",D56,"' where tab_name = 'PORTFOLIO' and fld_name = 'APSYS_FLAGSIMSI';")</f>
        <v>0</v>
      </c>
    </row>
    <row r="57" spans="1:13">
      <c r="A57" t="s">
        <v>1291</v>
      </c>
      <c r="C57" t="s">
        <v>68</v>
      </c>
      <c r="D57" t="s">
        <v>978</v>
      </c>
      <c r="E57" t="s">
        <v>2418</v>
      </c>
      <c r="F57" t="s">
        <v>23</v>
      </c>
      <c r="H57" t="s">
        <v>960</v>
      </c>
      <c r="K57">
        <f t="array" ref="K57">CONCATENATE("update msg_out_fld_config set msg_fld_name = '",A57,"' where cd = '5F11349E6B76822407363DF0238C5E44';")</f>
        <v>0</v>
      </c>
      <c r="M57">
        <f t="array" ref="M57">CONCATENATE("update msg_out_fld set description = '",D57,"' where tab_name = 'PORTFOLIO' and fld_name = 'KUNDENKATEGORIE_CD';")</f>
        <v>0</v>
      </c>
    </row>
    <row r="58" spans="1:13">
      <c r="A58" t="s">
        <v>421</v>
      </c>
      <c r="C58" t="s">
        <v>90</v>
      </c>
      <c r="D58" t="s">
        <v>422</v>
      </c>
      <c r="E58" t="s">
        <v>1184</v>
      </c>
      <c r="H58" t="s">
        <v>420</v>
      </c>
      <c r="K58">
        <f t="array" ref="K58">CONCATENATE("update msg_out_fld_config set msg_fld_name = '",A58,"' where cd = '2C64C7C80DB9F99486B70DA2E8E5FBC7';")</f>
        <v>0</v>
      </c>
      <c r="M58">
        <f t="array" ref="M58">CONCATENATE("update msg_out_fld set description = '",D58,"' where tab_name = 'PORTFOLIO' and fld_name = 'KUNDENID';")</f>
        <v>0</v>
      </c>
    </row>
    <row r="59" spans="1:13">
      <c r="A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30</v>
      </c>
      <c r="H59" t="s">
        <v>24</v>
      </c>
      <c r="K59">
        <f t="array" ref="K59">CONCATENATE("update msg_out_fld_config set msg_fld_name = '",A59,"' where cd = '5F75CBCB6B1E4D05BBF028934EC95393';")</f>
        <v>0</v>
      </c>
      <c r="M59">
        <f t="array" ref="M59">CONCATENATE("update msg_out_fld set description = '",D59,"' where tab_name = 'PORTFOLIO' and fld_name = 'LOESCH_CD';")</f>
        <v>0</v>
      </c>
    </row>
    <row r="60" spans="1:13">
      <c r="A60" t="s">
        <v>32</v>
      </c>
      <c r="C60" t="s">
        <v>104</v>
      </c>
      <c r="D60" t="s">
        <v>34</v>
      </c>
      <c r="H60" t="s">
        <v>31</v>
      </c>
      <c r="K60">
        <f t="array" ref="K60">CONCATENATE("update msg_out_fld_config set msg_fld_name = '",A60,"' where cd = 'B0016E4CE48E497A360D531D4B248E70';")</f>
        <v>0</v>
      </c>
      <c r="M60">
        <f t="array" ref="M60">CONCATENATE("update msg_out_fld set description = '",D60,"' where tab_name = 'PORTFOLIO' and fld_name = 'LOESCHDATUM';")</f>
        <v>0</v>
      </c>
    </row>
    <row r="61" spans="1:13">
      <c r="A61" t="s">
        <v>2420</v>
      </c>
      <c r="C61" t="s">
        <v>20</v>
      </c>
      <c r="D61" t="s">
        <v>2421</v>
      </c>
      <c r="E61" t="s">
        <v>2422</v>
      </c>
      <c r="F61" t="s">
        <v>23</v>
      </c>
      <c r="H61" t="s">
        <v>2419</v>
      </c>
      <c r="K61">
        <f t="array" ref="K61">CONCATENATE("update msg_out_fld_config set msg_fld_name = '",A61,"' where cd = 'EC9765FA383507F777F3A24A64DDF6C7';")</f>
        <v>0</v>
      </c>
      <c r="M61">
        <f t="array" ref="M61">CONCATENATE("update msg_out_fld set description = '",D61,"' where tab_name = 'PORTFOLIO' and fld_name = 'APSYS_CDMOTIFCLOS';")</f>
        <v>0</v>
      </c>
    </row>
    <row r="62" spans="1:13">
      <c r="A62" t="s">
        <v>2424</v>
      </c>
      <c r="C62" t="s">
        <v>104</v>
      </c>
      <c r="D62" t="s">
        <v>2425</v>
      </c>
      <c r="H62" t="s">
        <v>2423</v>
      </c>
      <c r="K62">
        <f t="array" ref="K62">CONCATENATE("update msg_out_fld_config set msg_fld_name = '",A62,"' where cd = '235C56DA5A6237E7203B967E271F00AB';")</f>
        <v>0</v>
      </c>
      <c r="M62">
        <f t="array" ref="M62">CONCATENATE("update msg_out_fld set description = '",D62,"' where tab_name = 'PORTFOLIO' and fld_name = 'APSYS_DTEVALCLOL';")</f>
        <v>0</v>
      </c>
    </row>
    <row r="63" spans="1:13">
      <c r="A63" t="s">
        <v>739</v>
      </c>
      <c r="C63" t="s">
        <v>90</v>
      </c>
      <c r="D63" t="s">
        <v>740</v>
      </c>
      <c r="E63" t="s">
        <v>741</v>
      </c>
      <c r="F63" t="s">
        <v>29</v>
      </c>
      <c r="G63" t="s">
        <v>742</v>
      </c>
      <c r="H63" t="s">
        <v>738</v>
      </c>
      <c r="K63">
        <f t="array" ref="K63">CONCATENATE("update msg_out_fld_config set msg_fld_name = '",A63,"' where cd = '523167931D1792A51AB19E77BF289380';")</f>
        <v>0</v>
      </c>
      <c r="M63">
        <f t="array" ref="M63">CONCATENATE("update msg_out_fld set description = '",D63,"' where tab_name = 'PORTFOLIO' and fld_name = 'APSYS_CDPERMI';")</f>
        <v>0</v>
      </c>
    </row>
    <row r="64" spans="1:13">
      <c r="A64" t="s">
        <v>2426</v>
      </c>
      <c r="C64" t="s">
        <v>26</v>
      </c>
      <c r="D64" t="s">
        <v>2427</v>
      </c>
      <c r="E64" t="s">
        <v>562</v>
      </c>
      <c r="F64" t="s">
        <v>29</v>
      </c>
      <c r="G64" t="s">
        <v>30</v>
      </c>
      <c r="H64" t="s">
        <v>1731</v>
      </c>
      <c r="K64">
        <f t="array" ref="K64">CONCATENATE("update msg_out_fld_config set msg_fld_name = '",A64,"' where cd = '889E075556B20C2C65E8DA26E9C7796D';")</f>
        <v>0</v>
      </c>
      <c r="M64">
        <f t="array" ref="M64">CONCATENATE("update msg_out_fld set description = '",D64,"' where tab_name = 'PORTFOLIO' and fld_name = 'COMPANY_MANAGED_BY_BO_CD';")</f>
        <v>0</v>
      </c>
    </row>
    <row r="65" spans="1:13">
      <c r="A65" t="s">
        <v>1744</v>
      </c>
      <c r="C65" t="s">
        <v>42</v>
      </c>
      <c r="D65" t="s">
        <v>1745</v>
      </c>
      <c r="H65" t="s">
        <v>2428</v>
      </c>
      <c r="K65">
        <f t="array" ref="K65">CONCATENATE("update msg_out_fld_config set msg_fld_name = '",A65,"' where cd = 'A0A5EF84A9BC3401AEE100B322BC584A';")</f>
        <v>0</v>
      </c>
      <c r="M65">
        <f t="array" ref="M65">CONCATENATE("update msg_out_fld set description = '",D65,"' where tab_name = 'PORTFOLIO' and fld_name = 'KONTAKT';")</f>
        <v>0</v>
      </c>
    </row>
    <row r="66" spans="1:13">
      <c r="A66" t="s">
        <v>2430</v>
      </c>
      <c r="C66" t="s">
        <v>26</v>
      </c>
      <c r="D66" t="s">
        <v>2431</v>
      </c>
      <c r="E66" t="s">
        <v>2432</v>
      </c>
      <c r="F66" t="s">
        <v>29</v>
      </c>
      <c r="G66" t="s">
        <v>2433</v>
      </c>
      <c r="H66" t="s">
        <v>2429</v>
      </c>
      <c r="K66">
        <f t="array" ref="K66">CONCATENATE("update msg_out_fld_config set msg_fld_name = '",A66,"' where cd = '75618C891B6425AAC09272249DE9A627';")</f>
        <v>0</v>
      </c>
      <c r="M66">
        <f t="array" ref="M66">CONCATENATE("update msg_out_fld set description = '",D66,"' where tab_name = 'PORTFOLIO' and fld_name = 'APSYS_CDFATCASTATCALCLOCC';")</f>
        <v>0</v>
      </c>
    </row>
    <row r="67" spans="1:13">
      <c r="A67" t="s">
        <v>2435</v>
      </c>
      <c r="C67" t="s">
        <v>20</v>
      </c>
      <c r="D67" t="s">
        <v>973</v>
      </c>
      <c r="E67" t="s">
        <v>964</v>
      </c>
      <c r="F67" t="s">
        <v>23</v>
      </c>
      <c r="H67" t="s">
        <v>2434</v>
      </c>
      <c r="K67">
        <f t="array" ref="K67">CONCATENATE("update msg_out_fld_config set msg_fld_name = '",A67,"' where cd = 'E0061E08D05CE6EAC46FEE73C176BD86';")</f>
        <v>0</v>
      </c>
      <c r="M67">
        <f t="array" ref="M67">CONCATENATE("update msg_out_fld set description = '",D67,"' where tab_name = 'PORTFOLIO' and fld_name = 'APSYS_CDCTGPTFCOUS';")</f>
        <v>0</v>
      </c>
    </row>
    <row r="68" spans="1:13">
      <c r="A68" t="s">
        <v>45</v>
      </c>
      <c r="C68" t="s">
        <v>33</v>
      </c>
      <c r="D68" t="s">
        <v>46</v>
      </c>
      <c r="H68" t="s">
        <v>44</v>
      </c>
      <c r="K68">
        <f t="array" ref="K68">CONCATENATE("update msg_out_fld_config set msg_fld_name = '",A68,"' where cd = '44948E12D1A9A055A634B75CC15ABFEC';")</f>
        <v>0</v>
      </c>
      <c r="M68">
        <f t="array" ref="M68">CONCATENATE("update msg_out_fld set description = '",D68,"' where tab_name = 'PORTFOLIO' and fld_name = 'CRTDATUM';")</f>
        <v>0</v>
      </c>
    </row>
    <row r="69" spans="1:13">
      <c r="A69" t="s">
        <v>48</v>
      </c>
      <c r="C69" t="s">
        <v>37</v>
      </c>
      <c r="D69" t="s">
        <v>49</v>
      </c>
      <c r="E69" t="s">
        <v>39</v>
      </c>
      <c r="F69" t="s">
        <v>23</v>
      </c>
      <c r="H69" t="s">
        <v>47</v>
      </c>
      <c r="K69">
        <f t="array" ref="K69">CONCATENATE("update msg_out_fld_config set msg_fld_name = '",A69,"' where cd = '89FE2FC7952E39DDC7E6DAB308AA1A23';")</f>
        <v>0</v>
      </c>
      <c r="M69">
        <f t="array" ref="M69">CONCATENATE("update msg_out_fld set description = '",D69,"' where tab_name = 'PORTFOLIO' and fld_name = 'CRTUSER';")</f>
        <v>0</v>
      </c>
    </row>
    <row r="70" spans="1:13">
      <c r="A70" t="s">
        <v>2437</v>
      </c>
      <c r="C70" t="s">
        <v>26</v>
      </c>
      <c r="D70" t="s">
        <v>2438</v>
      </c>
      <c r="E70" t="s">
        <v>2439</v>
      </c>
      <c r="F70" t="s">
        <v>29</v>
      </c>
      <c r="G70" t="s">
        <v>2433</v>
      </c>
      <c r="H70" t="s">
        <v>2436</v>
      </c>
      <c r="K70">
        <f t="array" ref="K70">CONCATENATE("update msg_out_fld_config set msg_fld_name = '",A70,"' where cd = 'DD5376AC87E3DF213DD4CC9481F0E7A4';")</f>
        <v>0</v>
      </c>
      <c r="M70">
        <f t="array" ref="M70">CONCATENATE("update msg_out_fld set description = '",D70,"' where tab_name = 'PORTFOLIO' and fld_name = 'APSYS_CDFATCASTATCALCCRMC';")</f>
        <v>0</v>
      </c>
    </row>
    <row r="71" spans="1:13">
      <c r="A71" t="s">
        <v>426</v>
      </c>
      <c r="C71" t="s">
        <v>20</v>
      </c>
      <c r="D71" t="s">
        <v>2440</v>
      </c>
      <c r="E71" t="s">
        <v>946</v>
      </c>
      <c r="F71" t="s">
        <v>23</v>
      </c>
      <c r="H71" t="s">
        <v>1344</v>
      </c>
      <c r="K71">
        <f t="array" ref="K71">CONCATENATE("update msg_out_fld_config set msg_fld_name = '",A71,"' where cd = 'DEF8E24F311244FC18369C0453DBE87F';")</f>
        <v>0</v>
      </c>
      <c r="M71">
        <f t="array" ref="M71">CONCATENATE("update msg_out_fld set description = '",D71,"' where tab_name = 'PORTFOLIO' and fld_name = 'WAEHRUNGS_CD';")</f>
        <v>0</v>
      </c>
    </row>
    <row r="72" spans="1:13">
      <c r="A72" t="s">
        <v>2442</v>
      </c>
      <c r="C72" t="s">
        <v>275</v>
      </c>
      <c r="D72" t="s">
        <v>2443</v>
      </c>
      <c r="E72" t="s">
        <v>2444</v>
      </c>
      <c r="F72" t="s">
        <v>23</v>
      </c>
      <c r="H72" t="s">
        <v>2441</v>
      </c>
      <c r="K72">
        <f t="array" ref="K72">CONCATENATE("update msg_out_fld_config set msg_fld_name = '",A72,"' where cd = '6E4A1C2A593A2CEF27D50D31524BD8D1';")</f>
        <v>0</v>
      </c>
      <c r="M72">
        <f t="array" ref="M72">CONCATENATE("update msg_out_fld set description = '",D72,"' where tab_name = 'PORTFOLIO' and fld_name = 'APSYS_CDEANGRMTCLI1S';")</f>
        <v>0</v>
      </c>
    </row>
    <row r="73" spans="1:13">
      <c r="A73" t="s">
        <v>2446</v>
      </c>
      <c r="C73" t="s">
        <v>275</v>
      </c>
      <c r="D73" t="s">
        <v>2447</v>
      </c>
      <c r="E73" t="s">
        <v>317</v>
      </c>
      <c r="F73" t="s">
        <v>23</v>
      </c>
      <c r="H73" t="s">
        <v>2445</v>
      </c>
      <c r="K73">
        <f t="array" ref="K73">CONCATENATE("update msg_out_fld_config set msg_fld_name = '",A73,"' where cd = '5443CA66E03CA4D9A5A2B529087C6AD3';")</f>
        <v>0</v>
      </c>
      <c r="M73">
        <f t="array" ref="M73">CONCATENATE("update msg_out_fld set description = '",D73,"' where tab_name = 'PORTFOLIO' and fld_name = 'APSYS_CDEANGRMTCLI2S';")</f>
        <v>0</v>
      </c>
    </row>
    <row r="74" spans="1:13">
      <c r="A74" t="s">
        <v>2449</v>
      </c>
      <c r="C74" t="s">
        <v>20</v>
      </c>
      <c r="D74" t="s">
        <v>976</v>
      </c>
      <c r="E74" t="s">
        <v>964</v>
      </c>
      <c r="F74" t="s">
        <v>23</v>
      </c>
      <c r="H74" t="s">
        <v>2448</v>
      </c>
      <c r="K74">
        <f t="array" ref="K74">CONCATENATE("update msg_out_fld_config set msg_fld_name = '",A74,"' where cd = '29601D45A6CBBEA6208DD6DE5D02BD1B';")</f>
        <v>0</v>
      </c>
      <c r="M74">
        <f t="array" ref="M74">CONCATENATE("update msg_out_fld set description = '",D74,"' where tab_name = 'PORTFOLIO' and fld_name = 'APSYS_CDCTGPTFTRSFTITS';")</f>
        <v>0</v>
      </c>
    </row>
    <row r="75" spans="1:13">
      <c r="A75" t="s">
        <v>55</v>
      </c>
      <c r="C75" t="s">
        <v>37</v>
      </c>
      <c r="D75" t="s">
        <v>2450</v>
      </c>
      <c r="H75" t="s">
        <v>549</v>
      </c>
      <c r="K75">
        <f t="array" ref="K75">CONCATENATE("update msg_out_fld_config set msg_fld_name = '",A75,"' where cd = 'B499C933764D7FA818D514B70D2307C3';")</f>
        <v>0</v>
      </c>
      <c r="M75">
        <f t="array" ref="M75">CONCATENATE("update msg_out_fld set description = '",D75,"' where tab_name = 'PORTFOLIO' and fld_name = 'BEZEICHNUNG';")</f>
        <v>0</v>
      </c>
    </row>
    <row r="76" spans="1:13">
      <c r="A76" t="s">
        <v>2452</v>
      </c>
      <c r="C76" t="s">
        <v>20</v>
      </c>
      <c r="D76" t="s">
        <v>981</v>
      </c>
      <c r="E76" t="s">
        <v>964</v>
      </c>
      <c r="F76" t="s">
        <v>23</v>
      </c>
      <c r="H76" t="s">
        <v>2451</v>
      </c>
      <c r="K76">
        <f t="array" ref="K76">CONCATENATE("update msg_out_fld_config set msg_fld_name = '",A76,"' where cd = '4E48230771899D1346005B03F41466A7';")</f>
        <v>0</v>
      </c>
      <c r="M76">
        <f t="array" ref="M76">CONCATENATE("update msg_out_fld set description = '",D76,"' where tab_name = 'PORTFOLIO' and fld_name = 'APSYS_CDCTGPTFSDOCS';")</f>
        <v>0</v>
      </c>
    </row>
    <row r="77" spans="1:13">
      <c r="A77" t="s">
        <v>2454</v>
      </c>
      <c r="C77" t="s">
        <v>20</v>
      </c>
      <c r="D77" t="s">
        <v>2455</v>
      </c>
      <c r="E77" t="s">
        <v>112</v>
      </c>
      <c r="F77" t="s">
        <v>23</v>
      </c>
      <c r="H77" t="s">
        <v>2453</v>
      </c>
      <c r="K77">
        <f t="array" ref="K77">CONCATENATE("update msg_out_fld_config set msg_fld_name = '",A77,"' where cd = 'AD5D12094F2E57D855F15DF3044FBFD2';")</f>
        <v>0</v>
      </c>
      <c r="M77">
        <f t="array" ref="M77">CONCATENATE("update msg_out_fld set description = '",D77,"' where tab_name = 'PORTFOLIO' and fld_name = 'MISDOMIZIL_CD';")</f>
        <v>0</v>
      </c>
    </row>
    <row r="78" spans="1:13">
      <c r="A78" t="s">
        <v>2457</v>
      </c>
      <c r="C78" t="s">
        <v>26</v>
      </c>
      <c r="D78" t="s">
        <v>2458</v>
      </c>
      <c r="E78" t="s">
        <v>28</v>
      </c>
      <c r="F78" t="s">
        <v>29</v>
      </c>
      <c r="G78" t="s">
        <v>30</v>
      </c>
      <c r="H78" t="s">
        <v>2456</v>
      </c>
      <c r="K78">
        <f t="array" ref="K78">CONCATENATE("update msg_out_fld_config set msg_fld_name = '",A78,"' where cd = 'D8691EF13C0C621A16BDBBFC0E85FA88';")</f>
        <v>0</v>
      </c>
      <c r="M78">
        <f t="array" ref="M78">CONCATENATE("update msg_out_fld set description = '",D78,"' where tab_name = 'PORTFOLIO' and fld_name = 'DORMANT_ACCOUNT_CD';")</f>
        <v>0</v>
      </c>
    </row>
    <row r="79" spans="1:13">
      <c r="A79" t="s">
        <v>784</v>
      </c>
      <c r="C79" t="s">
        <v>20</v>
      </c>
      <c r="D79" t="s">
        <v>785</v>
      </c>
      <c r="E79" t="s">
        <v>22</v>
      </c>
      <c r="F79" t="s">
        <v>23</v>
      </c>
      <c r="H79" t="s">
        <v>783</v>
      </c>
      <c r="K79">
        <f t="array" ref="K79">CONCATENATE("update msg_out_fld_config set msg_fld_name = '",A79,"' where cd = 'AC2F468D00FAA645F3E160E208D4A6DA';")</f>
        <v>0</v>
      </c>
      <c r="M79">
        <f t="array" ref="M79">CONCATENATE("update msg_out_fld set description = '",D79,"' where tab_name = 'PORTFOLIO' and fld_name = 'APSYS_IDENTS';")</f>
        <v>0</v>
      </c>
    </row>
    <row r="80" spans="1:13">
      <c r="A80" t="s">
        <v>2460</v>
      </c>
      <c r="C80" t="s">
        <v>20</v>
      </c>
      <c r="D80" t="s">
        <v>2461</v>
      </c>
      <c r="E80" t="s">
        <v>2462</v>
      </c>
      <c r="F80" t="s">
        <v>23</v>
      </c>
      <c r="H80" t="s">
        <v>2459</v>
      </c>
      <c r="K80">
        <f t="array" ref="K80">CONCATENATE("update msg_out_fld_config set msg_fld_name = '",A80,"' where cd = '9D7AB4081671ABBBF0C4CEDC57B85BAB';")</f>
        <v>0</v>
      </c>
      <c r="M80">
        <f t="array" ref="M80">CONCATENATE("update msg_out_fld set description = '",D80,"' where tab_name = 'PORTFOLIO' and fld_name = 'FATCA_BASKET_CD';")</f>
        <v>0</v>
      </c>
    </row>
    <row r="81" spans="1:13">
      <c r="A81" t="s">
        <v>2464</v>
      </c>
      <c r="C81" t="s">
        <v>275</v>
      </c>
      <c r="D81" t="s">
        <v>2465</v>
      </c>
      <c r="E81" t="s">
        <v>1825</v>
      </c>
      <c r="F81" t="s">
        <v>23</v>
      </c>
      <c r="H81" t="s">
        <v>2463</v>
      </c>
      <c r="K81">
        <f t="array" ref="K81">CONCATENATE("update msg_out_fld_config set msg_fld_name = '",A81,"' where cd = '8058BC4F319DB89A716958357F9CED0D';")</f>
        <v>0</v>
      </c>
      <c r="M81">
        <f t="array" ref="M81">CONCATENATE("update msg_out_fld set description = '",D81,"' where tab_name = 'PORTFOLIO' and fld_name = 'APSYS_IDFATCACLAS';")</f>
        <v>0</v>
      </c>
    </row>
    <row r="82" spans="1:13">
      <c r="A82" t="s">
        <v>2467</v>
      </c>
      <c r="C82" t="s">
        <v>26</v>
      </c>
      <c r="D82" t="s">
        <v>2468</v>
      </c>
      <c r="E82" t="s">
        <v>2469</v>
      </c>
      <c r="F82" t="s">
        <v>23</v>
      </c>
      <c r="H82" t="s">
        <v>2466</v>
      </c>
      <c r="K82">
        <f t="array" ref="K82">CONCATENATE("update msg_out_fld_config set msg_fld_name = '",A82,"' where cd = '6DCC0DB7E96125564CA95E8AE7751C7B';")</f>
        <v>0</v>
      </c>
      <c r="M82">
        <f t="array" ref="M82">CONCATENATE("update msg_out_fld set description = '",D82,"' where tab_name = 'PORTFOLIO' and fld_name = 'APSYS_CDFATCASTATC';")</f>
        <v>0</v>
      </c>
    </row>
    <row r="83" spans="1:13">
      <c r="A83" t="s">
        <v>2471</v>
      </c>
      <c r="C83" t="s">
        <v>75</v>
      </c>
      <c r="D83" t="s">
        <v>2472</v>
      </c>
      <c r="H83" t="s">
        <v>2470</v>
      </c>
      <c r="K83">
        <f t="array" ref="K83">CONCATENATE("update msg_out_fld_config set msg_fld_name = '",A83,"' where cd = 'D85FC294048418F3962CC9DF33973424';")</f>
        <v>0</v>
      </c>
      <c r="M83">
        <f t="array" ref="M83">CONCATENATE("update msg_out_fld set description = '",D83,"' where tab_name = 'PORTFOLIO' and fld_name = 'APSYS_COMMENTFATCASTATS';")</f>
        <v>0</v>
      </c>
    </row>
    <row r="84" spans="1:13">
      <c r="A84" t="s">
        <v>2474</v>
      </c>
      <c r="C84" t="s">
        <v>20</v>
      </c>
      <c r="D84" t="s">
        <v>2475</v>
      </c>
      <c r="E84" t="s">
        <v>2476</v>
      </c>
      <c r="F84" t="s">
        <v>23</v>
      </c>
      <c r="H84" t="s">
        <v>2473</v>
      </c>
      <c r="K84">
        <f t="array" ref="K84">CONCATENATE("update msg_out_fld_config set msg_fld_name = '",A84,"' where cd = '0DFAEA32122D6F1EB9DDF48EB0FEF4CD';")</f>
        <v>0</v>
      </c>
      <c r="M84">
        <f t="array" ref="M84">CONCATENATE("update msg_out_fld set description = '",D84,"' where tab_name = 'PORTFOLIO' and fld_name = 'APSYS_CDFATCAMOTIFPARTS';")</f>
        <v>0</v>
      </c>
    </row>
    <row r="85" spans="1:13">
      <c r="A85" t="s">
        <v>2478</v>
      </c>
      <c r="C85" t="s">
        <v>26</v>
      </c>
      <c r="D85" t="s">
        <v>2479</v>
      </c>
      <c r="E85" t="s">
        <v>2480</v>
      </c>
      <c r="F85" t="s">
        <v>29</v>
      </c>
      <c r="G85" t="s">
        <v>2481</v>
      </c>
      <c r="H85" t="s">
        <v>2477</v>
      </c>
      <c r="K85">
        <f t="array" ref="K85">CONCATENATE("update msg_out_fld_config set msg_fld_name = '",A85,"' where cd = 'DB083533F4DDA54F1246F9F13BA8AF74';")</f>
        <v>0</v>
      </c>
      <c r="M85">
        <f t="array" ref="M85">CONCATENATE("update msg_out_fld set description = '",D85,"' where tab_name = 'PORTFOLIO' and fld_name = 'APSYS_CDVALIDSTATC';")</f>
        <v>0</v>
      </c>
    </row>
    <row r="86" spans="1:13">
      <c r="A86" t="s">
        <v>2483</v>
      </c>
      <c r="C86" t="s">
        <v>26</v>
      </c>
      <c r="D86" t="s">
        <v>2484</v>
      </c>
      <c r="E86" t="s">
        <v>2485</v>
      </c>
      <c r="F86" t="s">
        <v>29</v>
      </c>
      <c r="G86" t="s">
        <v>2486</v>
      </c>
      <c r="H86" t="s">
        <v>2482</v>
      </c>
      <c r="K86">
        <f t="array" ref="K86">CONCATENATE("update msg_out_fld_config set msg_fld_name = '",A86,"' where cd = 'FD60918BE6A23C012E5E4402F2B94372';")</f>
        <v>0</v>
      </c>
      <c r="M86">
        <f t="array" ref="M86">CONCATENATE("update msg_out_fld set description = '",D86,"' where tab_name = 'PORTFOLIO' and fld_name = 'APSYS_CDFATCATYPC';")</f>
        <v>0</v>
      </c>
    </row>
    <row r="87" spans="1:13">
      <c r="A87" t="s">
        <v>2488</v>
      </c>
      <c r="C87" t="s">
        <v>104</v>
      </c>
      <c r="D87" t="s">
        <v>2489</v>
      </c>
      <c r="H87" t="s">
        <v>2487</v>
      </c>
      <c r="K87">
        <f t="array" ref="K87">CONCATENATE("update msg_out_fld_config set msg_fld_name = '",A87,"' where cd = '123B93568A1EFC4DD5A470AD2A8BE651';")</f>
        <v>0</v>
      </c>
      <c r="M87">
        <f t="array" ref="M87">CONCATENATE("update msg_out_fld set description = '",D87,"' where tab_name = 'PORTFOLIO' and fld_name = 'APSYS_DTVALIDFATCASTATL';")</f>
        <v>0</v>
      </c>
    </row>
    <row r="88" spans="1:13">
      <c r="A88" t="s">
        <v>2491</v>
      </c>
      <c r="C88" t="s">
        <v>2492</v>
      </c>
      <c r="D88" t="s">
        <v>2493</v>
      </c>
      <c r="H88" t="s">
        <v>2490</v>
      </c>
      <c r="K88">
        <f t="array" ref="K88">CONCATENATE("update msg_out_fld_config set msg_fld_name = '",A88,"' where cd = '19CD7150991AC05C5C8E6FE0D886D428';")</f>
        <v>0</v>
      </c>
      <c r="M88">
        <f t="array" ref="M88">CONCATENATE("update msg_out_fld set description = '",D88,"' where tab_name = 'PORTFOLIO' and fld_name = 'APSYS_HRVALIDFATCASTATL';")</f>
        <v>0</v>
      </c>
    </row>
    <row r="89" spans="1:13">
      <c r="A89" t="s">
        <v>2495</v>
      </c>
      <c r="C89" t="s">
        <v>1155</v>
      </c>
      <c r="D89" t="s">
        <v>2496</v>
      </c>
      <c r="E89" t="s">
        <v>336</v>
      </c>
      <c r="F89" t="s">
        <v>23</v>
      </c>
      <c r="H89" t="s">
        <v>2494</v>
      </c>
      <c r="K89">
        <f t="array" ref="K89">CONCATENATE("update msg_out_fld_config set msg_fld_name = '",A89,"' where cd = '8E95B01E27D5A5142BF7B7DFDBF0D991';")</f>
        <v>0</v>
      </c>
      <c r="M89">
        <f t="array" ref="M89">CONCATENATE("update msg_out_fld set description = '",D89,"' where tab_name = 'PORTFOLIO' and fld_name = 'APSYS_USERVALIDFATCASTATS';")</f>
        <v>0</v>
      </c>
    </row>
    <row r="90" spans="1:13">
      <c r="A90" t="s">
        <v>2498</v>
      </c>
      <c r="C90" t="s">
        <v>26</v>
      </c>
      <c r="D90" t="s">
        <v>2499</v>
      </c>
      <c r="E90" t="s">
        <v>2500</v>
      </c>
      <c r="F90" t="s">
        <v>29</v>
      </c>
      <c r="G90" t="s">
        <v>2501</v>
      </c>
      <c r="H90" t="s">
        <v>2497</v>
      </c>
      <c r="K90">
        <f t="array" ref="K90">CONCATENATE("update msg_out_fld_config set msg_fld_name = '",A90,"' where cd = 'D201D42499172EA92D161D22E693F8FD';")</f>
        <v>0</v>
      </c>
      <c r="M90">
        <f t="array" ref="M90">CONCATENATE("update msg_out_fld set description = '",D90,"' where tab_name = 'PORTFOLIO' and fld_name = 'APSYS_CDRNVSTMC';")</f>
        <v>0</v>
      </c>
    </row>
    <row r="91" spans="1:13">
      <c r="A91" t="s">
        <v>2503</v>
      </c>
      <c r="C91" t="s">
        <v>20</v>
      </c>
      <c r="D91" t="s">
        <v>984</v>
      </c>
      <c r="E91" t="s">
        <v>964</v>
      </c>
      <c r="F91" t="s">
        <v>23</v>
      </c>
      <c r="H91" t="s">
        <v>2502</v>
      </c>
      <c r="K91">
        <f t="array" ref="K91">CONCATENATE("update msg_out_fld_config set msg_fld_name = '",A91,"' where cd = 'AD1007972FE9BAE33EB100C5E55524A9';")</f>
        <v>0</v>
      </c>
      <c r="M91">
        <f t="array" ref="M91">CONCATENATE("update msg_out_fld set description = '",D91,"' where tab_name = 'PORTFOLIO' and fld_name = 'APSYS_CDCTGPTFMAFS';")</f>
        <v>0</v>
      </c>
    </row>
    <row r="92" spans="1:13">
      <c r="A92" t="s">
        <v>2505</v>
      </c>
      <c r="C92" t="s">
        <v>26</v>
      </c>
      <c r="D92" t="s">
        <v>2506</v>
      </c>
      <c r="E92" t="s">
        <v>2507</v>
      </c>
      <c r="F92" t="s">
        <v>29</v>
      </c>
      <c r="G92" t="s">
        <v>2433</v>
      </c>
      <c r="H92" t="s">
        <v>2504</v>
      </c>
      <c r="K92">
        <f t="array" ref="K92">CONCATENATE("update msg_out_fld_config set msg_fld_name = '",A92,"' where cd = '0654E4E72738C0A9929CFF30F016B512';")</f>
        <v>0</v>
      </c>
      <c r="M92">
        <f t="array" ref="M92">CONCATENATE("update msg_out_fld set description = '",D92,"' where tab_name = 'PORTFOLIO' and fld_name = 'APSYS_CDFATCASTATCALCGLOBC';")</f>
        <v>0</v>
      </c>
    </row>
    <row r="93" spans="1:13">
      <c r="A93" t="s">
        <v>2509</v>
      </c>
      <c r="C93" t="s">
        <v>26</v>
      </c>
      <c r="D93" t="s">
        <v>2510</v>
      </c>
      <c r="E93" t="s">
        <v>28</v>
      </c>
      <c r="F93" t="s">
        <v>29</v>
      </c>
      <c r="G93" t="s">
        <v>30</v>
      </c>
      <c r="H93" t="s">
        <v>2508</v>
      </c>
      <c r="K93">
        <f t="array" ref="K93">CONCATENATE("update msg_out_fld_config set msg_fld_name = '",A93,"' where cd = '0909899AB87E0522ED646E1C3A2B3B2D';")</f>
        <v>0</v>
      </c>
      <c r="M93">
        <f t="array" ref="M93">CONCATENATE("update msg_out_fld set description = '",D93,"' where tab_name = 'PORTFOLIO' and fld_name = 'BANKLAGERND_CD';")</f>
        <v>0</v>
      </c>
    </row>
    <row r="94" spans="1:13">
      <c r="A94" t="s">
        <v>2512</v>
      </c>
      <c r="C94" t="s">
        <v>20</v>
      </c>
      <c r="D94" t="s">
        <v>987</v>
      </c>
      <c r="E94" t="s">
        <v>964</v>
      </c>
      <c r="F94" t="s">
        <v>23</v>
      </c>
      <c r="H94" t="s">
        <v>2511</v>
      </c>
      <c r="K94">
        <f t="array" ref="K94">CONCATENATE("update msg_out_fld_config set msg_fld_name = '",A94,"' where cd = '84CBB0DF16A88160732128E3CA26975F';")</f>
        <v>0</v>
      </c>
      <c r="M94">
        <f t="array" ref="M94">CONCATENATE("update msg_out_fld set description = '",D94,"' where tab_name = 'PORTFOLIO' and fld_name = 'APSYS_CDCTGPTFINTS';")</f>
        <v>0</v>
      </c>
    </row>
    <row r="95" spans="1:13">
      <c r="A95" t="s">
        <v>2513</v>
      </c>
      <c r="C95" t="s">
        <v>68</v>
      </c>
      <c r="D95" t="s">
        <v>2078</v>
      </c>
      <c r="E95" t="s">
        <v>2514</v>
      </c>
      <c r="F95" t="s">
        <v>23</v>
      </c>
      <c r="H95" t="s">
        <v>2076</v>
      </c>
      <c r="K95">
        <f t="array" ref="K95">CONCATENATE("update msg_out_fld_config set msg_fld_name = '",A95,"' where cd = '86983F2757E5F4606605231A6536E1C1';")</f>
        <v>0</v>
      </c>
      <c r="M95">
        <f t="array" ref="M95">CONCATENATE("update msg_out_fld set description = '",D95,"' where tab_name = 'PORTFOLIO' and fld_name = 'ANLAGESTRATEGIE_CD';")</f>
        <v>0</v>
      </c>
    </row>
    <row r="96" spans="1:13">
      <c r="A96" t="s">
        <v>2516</v>
      </c>
      <c r="C96" t="s">
        <v>20</v>
      </c>
      <c r="D96" t="s">
        <v>990</v>
      </c>
      <c r="E96" t="s">
        <v>964</v>
      </c>
      <c r="F96" t="s">
        <v>23</v>
      </c>
      <c r="H96" t="s">
        <v>2515</v>
      </c>
      <c r="K96">
        <f t="array" ref="K96">CONCATENATE("update msg_out_fld_config set msg_fld_name = '",A96,"' where cd = '928BD7E925086641CE3BF738D0FE37B3';")</f>
        <v>0</v>
      </c>
      <c r="M96">
        <f t="array" ref="M96">CONCATENATE("update msg_out_fld set description = '",D96,"' where tab_name = 'PORTFOLIO' and fld_name = 'APSYS_CDCTGPTFTYPPLACS';")</f>
        <v>0</v>
      </c>
    </row>
    <row r="97" spans="1:13">
      <c r="A97" t="s">
        <v>2518</v>
      </c>
      <c r="C97" t="s">
        <v>26</v>
      </c>
      <c r="D97" t="s">
        <v>2510</v>
      </c>
      <c r="E97" t="s">
        <v>562</v>
      </c>
      <c r="F97" t="s">
        <v>29</v>
      </c>
      <c r="G97" t="s">
        <v>30</v>
      </c>
      <c r="H97" t="s">
        <v>2517</v>
      </c>
      <c r="K97">
        <f t="array" ref="K97">CONCATENATE("update msg_out_fld_config set msg_fld_name = '",A97,"' where cd = '0D8434ADECEA86DCB7B21CD19C362B24';")</f>
        <v>0</v>
      </c>
      <c r="M97">
        <f t="array" ref="M97">CONCATENATE("update msg_out_fld set description = '",D97,"' where tab_name = 'PORTFOLIO' and fld_name = 'APSYS_CDBQERESTC';")</f>
        <v>0</v>
      </c>
    </row>
    <row r="98" spans="1:13">
      <c r="A98" t="s">
        <v>2520</v>
      </c>
      <c r="C98" t="s">
        <v>26</v>
      </c>
      <c r="D98" t="s">
        <v>2521</v>
      </c>
      <c r="E98" t="s">
        <v>28</v>
      </c>
      <c r="F98" t="s">
        <v>29</v>
      </c>
      <c r="G98" t="s">
        <v>30</v>
      </c>
      <c r="H98" t="s">
        <v>2519</v>
      </c>
      <c r="K98">
        <f t="array" ref="K98">CONCATENATE("update msg_out_fld_config set msg_fld_name = '",A98,"' where cd = 'E9D8205F0FF286B175D89551EBBADFBE';")</f>
        <v>0</v>
      </c>
      <c r="M98">
        <f t="array" ref="M98">CONCATENATE("update msg_out_fld set description = '",D98,"' where tab_name = 'PORTFOLIO' and fld_name = 'GEMEINSCHAFTSKONTO_CD';")</f>
        <v>0</v>
      </c>
    </row>
    <row r="99" spans="1:13">
      <c r="A99" t="s">
        <v>2523</v>
      </c>
      <c r="C99" t="s">
        <v>20</v>
      </c>
      <c r="D99" t="s">
        <v>2524</v>
      </c>
      <c r="E99" t="s">
        <v>22</v>
      </c>
      <c r="F99" t="s">
        <v>23</v>
      </c>
      <c r="H99" t="s">
        <v>2522</v>
      </c>
      <c r="K99">
        <f t="array" ref="K99">CONCATENATE("update msg_out_fld_config set msg_fld_name = '",A99,"' where cd = '7190116A63CAC4107CBFD4F91420960A';")</f>
        <v>0</v>
      </c>
      <c r="M99">
        <f t="array" ref="M99">CONCATENATE("update msg_out_fld set description = '",D99,"' where tab_name = 'PORTFOLIO' and fld_name = 'APSYS_IDENTFORJURS';")</f>
        <v>0</v>
      </c>
    </row>
    <row r="100" spans="1:13">
      <c r="A100" t="s">
        <v>2526</v>
      </c>
      <c r="C100" t="s">
        <v>20</v>
      </c>
      <c r="D100" t="s">
        <v>2527</v>
      </c>
      <c r="E100" t="s">
        <v>53</v>
      </c>
      <c r="F100" t="s">
        <v>23</v>
      </c>
      <c r="H100" t="s">
        <v>2525</v>
      </c>
      <c r="K100">
        <f t="array" ref="K100">CONCATENATE("update msg_out_fld_config set msg_fld_name = '",A100,"' where cd = 'BDFE9CE34DA5D952132272CED1124D76';")</f>
        <v>0</v>
      </c>
      <c r="M100">
        <f t="array" ref="M100">CONCATENATE("update msg_out_fld set description = '",D100,"' where tab_name = 'PORTFOLIO' and fld_name = 'APSYS_IDSTRUCFORJURS';")</f>
        <v>0</v>
      </c>
    </row>
    <row r="101" spans="1:13">
      <c r="A101" t="s">
        <v>2529</v>
      </c>
      <c r="C101" t="s">
        <v>26</v>
      </c>
      <c r="D101" t="s">
        <v>2530</v>
      </c>
      <c r="E101" t="s">
        <v>2531</v>
      </c>
      <c r="F101" t="s">
        <v>29</v>
      </c>
      <c r="G101" t="s">
        <v>2532</v>
      </c>
      <c r="H101" t="s">
        <v>2528</v>
      </c>
      <c r="K101">
        <f t="array" ref="K101">CONCATENATE("update msg_out_fld_config set msg_fld_name = '",A101,"' where cd = 'D221CCCC053B1B34899F8CBC2E11AFA1';")</f>
        <v>0</v>
      </c>
      <c r="M101">
        <f t="array" ref="M101">CONCATENATE("update msg_out_fld set description = '",D101,"' where tab_name = 'PORTFOLIO' and fld_name = 'APSYS_CDMETHCLOC';")</f>
        <v>0</v>
      </c>
    </row>
    <row r="102" spans="1:13">
      <c r="A102" t="s">
        <v>2534</v>
      </c>
      <c r="C102" t="s">
        <v>68</v>
      </c>
      <c r="D102" t="s">
        <v>2149</v>
      </c>
      <c r="E102" t="s">
        <v>2170</v>
      </c>
      <c r="F102" t="s">
        <v>23</v>
      </c>
      <c r="H102" t="s">
        <v>2533</v>
      </c>
      <c r="K102">
        <f t="array" ref="K102">CONCATENATE("update msg_out_fld_config set msg_fld_name = '",A102,"' where cd = 'D00F08B1EC1F1AD52C9342A91D9830C4';")</f>
        <v>0</v>
      </c>
      <c r="M102">
        <f t="array" ref="M102">CONCATENATE("update msg_out_fld set description = '",D102,"' where tab_name = 'PORTFOLIO' and fld_name = 'VERSANDHAEUFIG_CD';")</f>
        <v>0</v>
      </c>
    </row>
    <row r="103" spans="1:13">
      <c r="A103" t="s">
        <v>830</v>
      </c>
      <c r="C103" t="s">
        <v>26</v>
      </c>
      <c r="D103" t="s">
        <v>2535</v>
      </c>
      <c r="E103" t="s">
        <v>28</v>
      </c>
      <c r="F103" t="s">
        <v>29</v>
      </c>
      <c r="G103" t="s">
        <v>30</v>
      </c>
      <c r="H103" t="s">
        <v>829</v>
      </c>
      <c r="K103">
        <f t="array" ref="K103">CONCATENATE("update msg_out_fld_config set msg_fld_name = '",A103,"' where cd = '35FEDABC6C64BC6A3649AB8C4EFB0264';")</f>
        <v>0</v>
      </c>
      <c r="M103">
        <f t="array" ref="M103">CONCATENATE("update msg_out_fld set description = '",D103,"' where tab_name = 'PORTFOLIO' and fld_name = 'MANUALOPEN_CD';")</f>
        <v>0</v>
      </c>
    </row>
    <row r="104" spans="1:13">
      <c r="A104" t="s">
        <v>2536</v>
      </c>
      <c r="C104" t="s">
        <v>20</v>
      </c>
      <c r="D104" t="s">
        <v>2223</v>
      </c>
      <c r="E104" t="s">
        <v>2537</v>
      </c>
      <c r="F104" t="s">
        <v>23</v>
      </c>
      <c r="H104" t="s">
        <v>2221</v>
      </c>
      <c r="K104">
        <f t="array" ref="K104">CONCATENATE("update msg_out_fld_config set msg_fld_name = '",A104,"' where cd = '43395929F120E522E45A5D0402A75609';")</f>
        <v>0</v>
      </c>
      <c r="M104">
        <f t="array" ref="M104">CONCATENATE("update msg_out_fld set description = '",D104,"' where tab_name = 'PORTFOLIO' and fld_name = 'MANAGEMENTTYP_CD';")</f>
        <v>0</v>
      </c>
    </row>
    <row r="105" spans="1:13">
      <c r="A105" t="s">
        <v>58</v>
      </c>
      <c r="C105" t="s">
        <v>33</v>
      </c>
      <c r="D105" t="s">
        <v>59</v>
      </c>
      <c r="H105" t="s">
        <v>57</v>
      </c>
      <c r="K105">
        <f t="array" ref="K105">CONCATENATE("update msg_out_fld_config set msg_fld_name = '",A105,"' where cd = '96999B1FFA5B2F4B0924628F3DCE6D93';")</f>
        <v>0</v>
      </c>
      <c r="M105">
        <f t="array" ref="M105">CONCATENATE("update msg_out_fld set description = '",D105,"' where tab_name = 'PORTFOLIO' and fld_name = 'MUTDATUM';")</f>
        <v>0</v>
      </c>
    </row>
    <row r="106" spans="1:13">
      <c r="A106" t="s">
        <v>61</v>
      </c>
      <c r="C106" t="s">
        <v>37</v>
      </c>
      <c r="D106" t="s">
        <v>62</v>
      </c>
      <c r="E106" t="s">
        <v>39</v>
      </c>
      <c r="F106" t="s">
        <v>23</v>
      </c>
      <c r="H106" t="s">
        <v>60</v>
      </c>
      <c r="K106">
        <f t="array" ref="K106">CONCATENATE("update msg_out_fld_config set msg_fld_name = '",A106,"' where cd = '36EA89B9308108DE48F8DE79D16DC7D6';")</f>
        <v>0</v>
      </c>
      <c r="M106">
        <f t="array" ref="M106">CONCATENATE("update msg_out_fld set description = '",D106,"' where tab_name = 'PORTFOLIO' and fld_name = 'MUTUSER';")</f>
        <v>0</v>
      </c>
    </row>
    <row r="107" spans="1:13">
      <c r="A107" t="s">
        <v>2539</v>
      </c>
      <c r="C107" t="s">
        <v>20</v>
      </c>
      <c r="D107" t="s">
        <v>993</v>
      </c>
      <c r="E107" t="s">
        <v>964</v>
      </c>
      <c r="F107" t="s">
        <v>23</v>
      </c>
      <c r="H107" t="s">
        <v>2538</v>
      </c>
      <c r="K107">
        <f t="array" ref="K107">CONCATENATE("update msg_out_fld_config set msg_fld_name = '",A107,"' where cd = 'DEF8898EB6407CE9CD908806E471DCEB';")</f>
        <v>0</v>
      </c>
      <c r="M107">
        <f t="array" ref="M107">CONCATENATE("update msg_out_fld set description = '",D107,"' where tab_name = 'PORTFOLIO' and fld_name = 'APSYS_CDCTGPTFSTMS';")</f>
        <v>0</v>
      </c>
    </row>
    <row r="108" spans="1:13">
      <c r="A108" t="s">
        <v>2541</v>
      </c>
      <c r="C108" t="s">
        <v>26</v>
      </c>
      <c r="D108" t="s">
        <v>2542</v>
      </c>
      <c r="E108" t="s">
        <v>2543</v>
      </c>
      <c r="F108" t="s">
        <v>29</v>
      </c>
      <c r="G108" t="s">
        <v>2544</v>
      </c>
      <c r="H108" t="s">
        <v>2540</v>
      </c>
      <c r="K108">
        <f t="array" ref="K108">CONCATENATE("update msg_out_fld_config set msg_fld_name = '",A108,"' where cd = 'BF185405E95CE03E727DC2F7720AD694';")</f>
        <v>0</v>
      </c>
      <c r="M108">
        <f t="array" ref="M108">CONCATENATE("update msg_out_fld set description = '",D108,"' where tab_name = 'PORTFOLIO' and fld_name = 'APSYS_CDCTRNETTC553C';")</f>
        <v>0</v>
      </c>
    </row>
    <row r="109" spans="1:13">
      <c r="A109" t="s">
        <v>2546</v>
      </c>
      <c r="C109" t="s">
        <v>90</v>
      </c>
      <c r="D109" s="2" t="s">
        <v>2545</v>
      </c>
      <c r="H109" t="s">
        <v>2545</v>
      </c>
      <c r="K109">
        <f t="array" ref="K109">CONCATENATE("update msg_out_fld_config set msg_fld_name = '",A109,"' where cd = 'AD9E7799C80B99C91819A868BBD784E5';")</f>
        <v>0</v>
      </c>
      <c r="M109">
        <f t="array" ref="M109">CONCATENATE("update msg_out_fld set description = '",D109,"' where tab_name = 'PORTFOLIO' and fld_name = 'NR_OF_BO_IN_WHT_STATEMENT';")</f>
        <v>0</v>
      </c>
    </row>
    <row r="110" spans="1:13">
      <c r="A110" t="s">
        <v>2548</v>
      </c>
      <c r="C110" t="s">
        <v>26</v>
      </c>
      <c r="D110" t="s">
        <v>2549</v>
      </c>
      <c r="E110" t="s">
        <v>28</v>
      </c>
      <c r="F110" t="s">
        <v>29</v>
      </c>
      <c r="G110" t="s">
        <v>30</v>
      </c>
      <c r="H110" t="s">
        <v>2547</v>
      </c>
      <c r="K110">
        <f t="array" ref="K110">CONCATENATE("update msg_out_fld_config set msg_fld_name = '",A110,"' where cd = '6A4CDF386495810E471CCA7688F8D570';")</f>
        <v>0</v>
      </c>
      <c r="M110">
        <f t="array" ref="M110">CONCATENATE("update msg_out_fld set description = '",D110,"' where tab_name = 'PORTFOLIO' and fld_name = 'NO_TRADING_US_SECURITIES_CD';")</f>
        <v>0</v>
      </c>
    </row>
    <row r="111" spans="1:13">
      <c r="A111" t="s">
        <v>2551</v>
      </c>
      <c r="C111" t="s">
        <v>26</v>
      </c>
      <c r="D111" t="s">
        <v>2552</v>
      </c>
      <c r="E111" t="s">
        <v>28</v>
      </c>
      <c r="F111" t="s">
        <v>29</v>
      </c>
      <c r="G111" t="s">
        <v>30</v>
      </c>
      <c r="H111" t="s">
        <v>2550</v>
      </c>
      <c r="K111">
        <f t="array" ref="K111">CONCATENATE("update msg_out_fld_config set msg_fld_name = '",A111,"' where cd = '26EE2B42B639070BE751D962B405601D';")</f>
        <v>0</v>
      </c>
      <c r="M111">
        <f t="array" ref="M111">CONCATENATE("update msg_out_fld set description = '",D111,"' where tab_name = 'PORTFOLIO' and fld_name = 'KTOE_AML_PROFIL_CD';")</f>
        <v>0</v>
      </c>
    </row>
    <row r="112" spans="1:13">
      <c r="A112" t="s">
        <v>2554</v>
      </c>
      <c r="C112" t="s">
        <v>26</v>
      </c>
      <c r="D112" t="s">
        <v>2555</v>
      </c>
      <c r="E112" t="s">
        <v>28</v>
      </c>
      <c r="F112" t="s">
        <v>29</v>
      </c>
      <c r="G112" t="s">
        <v>30</v>
      </c>
      <c r="H112" t="s">
        <v>2553</v>
      </c>
      <c r="K112">
        <f t="array" ref="K112">CONCATENATE("update msg_out_fld_config set msg_fld_name = '",A112,"' where cd = '630EF2E03B3CD107951DBBE86ED41699';")</f>
        <v>0</v>
      </c>
      <c r="M112">
        <f t="array" ref="M112">CONCATENATE("update msg_out_fld set description = '",D112,"' where tab_name = 'PORTFOLIO' and fld_name = 'OPENING_DOCUMENTS_PROPOSED_CD';")</f>
        <v>0</v>
      </c>
    </row>
    <row r="113" spans="1:13">
      <c r="A113" t="s">
        <v>2557</v>
      </c>
      <c r="C113" t="s">
        <v>20</v>
      </c>
      <c r="D113" t="s">
        <v>996</v>
      </c>
      <c r="E113" t="s">
        <v>964</v>
      </c>
      <c r="F113" t="s">
        <v>23</v>
      </c>
      <c r="H113" t="s">
        <v>2556</v>
      </c>
      <c r="K113">
        <f t="array" ref="K113">CONCATENATE("update msg_out_fld_config set msg_fld_name = '",A113,"' where cd = '9F35C5C81FC26A8D577D86E9895C4A80';")</f>
        <v>0</v>
      </c>
      <c r="M113">
        <f t="array" ref="M113">CONCATENATE("update msg_out_fld set description = '",D113,"' where tab_name = 'PORTFOLIO' and fld_name = 'APSYS_CDCTGPTFROUTORDS';")</f>
        <v>0</v>
      </c>
    </row>
    <row r="114" spans="1:13">
      <c r="A114" t="s">
        <v>2559</v>
      </c>
      <c r="C114" t="s">
        <v>26</v>
      </c>
      <c r="D114" t="s">
        <v>2560</v>
      </c>
      <c r="E114" t="s">
        <v>28</v>
      </c>
      <c r="F114" t="s">
        <v>29</v>
      </c>
      <c r="G114" t="s">
        <v>30</v>
      </c>
      <c r="H114" t="s">
        <v>2558</v>
      </c>
      <c r="K114">
        <f t="array" ref="K114">CONCATENATE("update msg_out_fld_config set msg_fld_name = '",A114,"' where cd = 'FC9394D0CBD26B4E9BF4F3725D185A87';")</f>
        <v>0</v>
      </c>
      <c r="M114">
        <f t="array" ref="M114">CONCATENATE("update msg_out_fld set description = '",D114,"' where tab_name = 'PORTFOLIO' and fld_name = 'ANDEREPOSTADRESSE_CD';")</f>
        <v>0</v>
      </c>
    </row>
    <row r="115" spans="1:13">
      <c r="A115" t="s">
        <v>2561</v>
      </c>
      <c r="C115" t="s">
        <v>20</v>
      </c>
      <c r="D115" t="s">
        <v>866</v>
      </c>
      <c r="E115" t="s">
        <v>867</v>
      </c>
      <c r="F115" t="s">
        <v>23</v>
      </c>
      <c r="H115" t="s">
        <v>864</v>
      </c>
      <c r="K115">
        <f t="array" ref="K115">CONCATENATE("update msg_out_fld_config set msg_fld_name = '",A115,"' where cd = '49281DC396120AA7EC9EDBA74A703945';")</f>
        <v>0</v>
      </c>
      <c r="M115">
        <f t="array" ref="M115">CONCATENATE("update msg_out_fld set description = '",D115,"' where tab_name = 'PORTFOLIO' and fld_name = 'APSYS_IDPOCS';")</f>
        <v>0</v>
      </c>
    </row>
    <row r="116" spans="1:13">
      <c r="A116" t="s">
        <v>2563</v>
      </c>
      <c r="C116" t="s">
        <v>26</v>
      </c>
      <c r="D116" s="2" t="s">
        <v>2562</v>
      </c>
      <c r="E116" t="s">
        <v>28</v>
      </c>
      <c r="F116" t="s">
        <v>29</v>
      </c>
      <c r="G116" t="s">
        <v>30</v>
      </c>
      <c r="H116" t="s">
        <v>2562</v>
      </c>
      <c r="K116">
        <f t="array" ref="K116">CONCATENATE("update msg_out_fld_config set msg_fld_name = '",A116,"' where cd = '867D847AD35F88A6E2DEF566B8ABA147';")</f>
        <v>0</v>
      </c>
      <c r="M116">
        <f t="array" ref="M116">CONCATENATE("update msg_out_fld set description = '",D116,"' where tab_name = 'PORTFOLIO' and fld_name = 'PORTFOLIO_SEGR_ACCOUNT_CD';")</f>
        <v>0</v>
      </c>
    </row>
    <row r="117" spans="1:13">
      <c r="A117" t="s">
        <v>2565</v>
      </c>
      <c r="C117" t="s">
        <v>84</v>
      </c>
      <c r="D117" t="s">
        <v>2566</v>
      </c>
      <c r="H117" t="s">
        <v>2564</v>
      </c>
      <c r="K117">
        <f t="array" ref="K117">CONCATENATE("update msg_out_fld_config set msg_fld_name = '",A117,"' where cd = '485FDC2FEFB335B3282036008E6065A5';")</f>
        <v>0</v>
      </c>
      <c r="M117">
        <f t="array" ref="M117">CONCATENATE("update msg_out_fld set description = '",D117,"' where tab_name = 'PORTFOLIO' and fld_name = 'PO_EU_TAX_PROZENT';")</f>
        <v>0</v>
      </c>
    </row>
    <row r="118" spans="1:13">
      <c r="A118" t="s">
        <v>2568</v>
      </c>
      <c r="C118" t="s">
        <v>26</v>
      </c>
      <c r="D118" t="s">
        <v>2569</v>
      </c>
      <c r="E118" t="s">
        <v>28</v>
      </c>
      <c r="F118" t="s">
        <v>29</v>
      </c>
      <c r="G118" t="s">
        <v>30</v>
      </c>
      <c r="H118" t="s">
        <v>2567</v>
      </c>
      <c r="K118">
        <f t="array" ref="K118">CONCATENATE("update msg_out_fld_config set msg_fld_name = '",A118,"' where cd = '33FC31EE668EC4B980E51C8F18B3DBDB';")</f>
        <v>0</v>
      </c>
      <c r="M118">
        <f t="array" ref="M118">CONCATENATE("update msg_out_fld set description = '",D118,"' where tab_name = 'PORTFOLIO' and fld_name = 'ERTRAEGNISAUF_CD';")</f>
        <v>0</v>
      </c>
    </row>
    <row r="119" spans="1:13">
      <c r="A119" t="s">
        <v>2571</v>
      </c>
      <c r="C119" t="s">
        <v>26</v>
      </c>
      <c r="D119" t="s">
        <v>2572</v>
      </c>
      <c r="E119" t="s">
        <v>2573</v>
      </c>
      <c r="F119" t="s">
        <v>29</v>
      </c>
      <c r="G119" t="s">
        <v>2574</v>
      </c>
      <c r="H119" t="s">
        <v>2570</v>
      </c>
      <c r="K119">
        <f t="array" ref="K119">CONCATENATE("update msg_out_fld_config set msg_fld_name = '",A119,"' where cd = 'A751763ECE8E00248830C37C03E56D3D';")</f>
        <v>0</v>
      </c>
      <c r="M119">
        <f t="array" ref="M119">CONCATENATE("update msg_out_fld set description = '",D119,"' where tab_name = 'PORTFOLIO' and fld_name = 'APSYS_CDRGLPRLGC';")</f>
        <v>0</v>
      </c>
    </row>
    <row r="120" spans="1:13">
      <c r="A120" t="s">
        <v>2576</v>
      </c>
      <c r="C120" t="s">
        <v>26</v>
      </c>
      <c r="D120" t="s">
        <v>2577</v>
      </c>
      <c r="E120" t="s">
        <v>2578</v>
      </c>
      <c r="F120" t="s">
        <v>29</v>
      </c>
      <c r="G120" t="s">
        <v>2579</v>
      </c>
      <c r="H120" t="s">
        <v>2575</v>
      </c>
      <c r="K120">
        <f t="array" ref="K120">CONCATENATE("update msg_out_fld_config set msg_fld_name = '",A120,"' where cd = '0F0A993D732985ABC672F2CD04C4E8DC';")</f>
        <v>0</v>
      </c>
      <c r="M120">
        <f t="array" ref="M120">CONCATENATE("update msg_out_fld set description = '",D120,"' where tab_name = 'PORTFOLIO' and fld_name = 'APSYS_CDTYPREPORTQIC';")</f>
        <v>0</v>
      </c>
    </row>
    <row r="121" spans="1:13">
      <c r="A121" t="s">
        <v>2581</v>
      </c>
      <c r="C121" t="s">
        <v>26</v>
      </c>
      <c r="D121" t="s">
        <v>2582</v>
      </c>
      <c r="E121" t="s">
        <v>2583</v>
      </c>
      <c r="F121" t="s">
        <v>29</v>
      </c>
      <c r="G121" t="s">
        <v>2584</v>
      </c>
      <c r="H121" t="s">
        <v>2580</v>
      </c>
      <c r="K121">
        <f t="array" ref="K121">CONCATENATE("update msg_out_fld_config set msg_fld_name = '",A121,"' where cd = 'AB422D5E0B07CE97DBAC90AF1841A24C';")</f>
        <v>0</v>
      </c>
      <c r="M121">
        <f t="array" ref="M121">CONCATENATE("update msg_out_fld set description = '",D121,"' where tab_name = 'PORTFOLIO' and fld_name = 'APSYS_CDSTATDUSC';")</f>
        <v>0</v>
      </c>
    </row>
    <row r="122" spans="1:13">
      <c r="A122" t="s">
        <v>2586</v>
      </c>
      <c r="C122" t="s">
        <v>20</v>
      </c>
      <c r="D122" t="s">
        <v>2587</v>
      </c>
      <c r="E122" t="s">
        <v>964</v>
      </c>
      <c r="F122" t="s">
        <v>23</v>
      </c>
      <c r="H122" t="s">
        <v>2585</v>
      </c>
      <c r="K122">
        <f t="array" ref="K122">CONCATENATE("update msg_out_fld_config set msg_fld_name = '",A122,"' where cd = '643D736367D79A43CC230000FE405BAA';")</f>
        <v>0</v>
      </c>
      <c r="M122">
        <f t="array" ref="M122">CONCATENATE("update msg_out_fld set description = '",D122,"' where tab_name = 'PORTFOLIO' and fld_name = 'APSYS_CDCTGPTFRISKS';")</f>
        <v>0</v>
      </c>
    </row>
    <row r="123" spans="1:13">
      <c r="A123" t="s">
        <v>183</v>
      </c>
      <c r="C123" t="s">
        <v>2589</v>
      </c>
      <c r="D123" t="s">
        <v>2590</v>
      </c>
      <c r="H123" t="s">
        <v>2588</v>
      </c>
      <c r="K123">
        <f t="array" ref="K123">CONCATENATE("update msg_out_fld_config set msg_fld_name = '",A123,"' where cd = '9F0E1606E04F68B3422740433D93D238';")</f>
        <v>0</v>
      </c>
      <c r="M123">
        <f t="array" ref="M123">CONCATENATE("update msg_out_fld set description = '",D123,"' where tab_name = 'PORTFOLIO' and fld_name = 'SPEZIALINSTRUKTION';")</f>
        <v>0</v>
      </c>
    </row>
    <row r="124" spans="1:13">
      <c r="A124" t="s">
        <v>2592</v>
      </c>
      <c r="C124" t="s">
        <v>26</v>
      </c>
      <c r="D124" t="s">
        <v>2593</v>
      </c>
      <c r="E124" t="s">
        <v>562</v>
      </c>
      <c r="F124" t="s">
        <v>29</v>
      </c>
      <c r="G124" t="s">
        <v>30</v>
      </c>
      <c r="H124" t="s">
        <v>2591</v>
      </c>
      <c r="K124">
        <f t="array" ref="K124">CONCATENATE("update msg_out_fld_config set msg_fld_name = '",A124,"' where cd = '8429EC05AB9F87B686E9659269C22F6F';")</f>
        <v>0</v>
      </c>
      <c r="M124">
        <f t="array" ref="M124">CONCATENATE("update msg_out_fld set description = '",D124,"' where tab_name = 'PORTFOLIO' and fld_name = 'APSYS_FLAGIRSREPPARTC';")</f>
        <v>0</v>
      </c>
    </row>
    <row r="125" spans="1:13">
      <c r="A125" t="s">
        <v>2594</v>
      </c>
      <c r="C125" t="s">
        <v>26</v>
      </c>
      <c r="D125" t="s">
        <v>928</v>
      </c>
      <c r="E125" t="s">
        <v>929</v>
      </c>
      <c r="F125" t="s">
        <v>29</v>
      </c>
      <c r="G125" t="s">
        <v>930</v>
      </c>
      <c r="H125" t="s">
        <v>927</v>
      </c>
      <c r="K125">
        <f t="array" ref="K125">CONCATENATE("update msg_out_fld_config set msg_fld_name = '",A125,"' where cd = 'A28212F55CD430B94FC76227D30237B8';")</f>
        <v>0</v>
      </c>
      <c r="M125">
        <f t="array" ref="M125">CONCATENATE("update msg_out_fld set description = '",D125,"' where tab_name = 'PORTFOLIO' and fld_name = 'CDPARTC';")</f>
        <v>0</v>
      </c>
    </row>
    <row r="126" spans="1:13">
      <c r="A126" t="s">
        <v>2596</v>
      </c>
      <c r="C126" t="s">
        <v>104</v>
      </c>
      <c r="D126" t="s">
        <v>2597</v>
      </c>
      <c r="H126" t="s">
        <v>2595</v>
      </c>
      <c r="K126">
        <f t="array" ref="K126">CONCATENATE("update msg_out_fld_config set msg_fld_name = '",A126,"' where cd = '4DC06FCB947C87860D419A0BAF2C934E';")</f>
        <v>0</v>
      </c>
      <c r="M126">
        <f t="array" ref="M126">CONCATENATE("update msg_out_fld set description = '",D126,"' where tab_name = 'PORTFOLIO' and fld_name = 'APSYS_DTFINPARTL';")</f>
        <v>0</v>
      </c>
    </row>
    <row r="127" spans="1:13">
      <c r="A127" t="s">
        <v>2599</v>
      </c>
      <c r="C127" t="s">
        <v>104</v>
      </c>
      <c r="D127" t="s">
        <v>2600</v>
      </c>
      <c r="H127" t="s">
        <v>2598</v>
      </c>
      <c r="K127">
        <f t="array" ref="K127">CONCATENATE("update msg_out_fld_config set msg_fld_name = '",A127,"' where cd = 'F9448878F29B9738FFE4C8B2D1A9C918';")</f>
        <v>0</v>
      </c>
      <c r="M127">
        <f t="array" ref="M127">CONCATENATE("update msg_out_fld set description = '",D127,"' where tab_name = 'PORTFOLIO' and fld_name = 'APSYS_DTDEBPARTL';")</f>
        <v>0</v>
      </c>
    </row>
    <row r="128" spans="1:13">
      <c r="A128" t="s">
        <v>2602</v>
      </c>
      <c r="C128" t="s">
        <v>20</v>
      </c>
      <c r="D128" t="s">
        <v>1004</v>
      </c>
      <c r="E128" t="s">
        <v>964</v>
      </c>
      <c r="F128" t="s">
        <v>23</v>
      </c>
      <c r="H128" t="s">
        <v>2601</v>
      </c>
      <c r="K128">
        <f t="array" ref="K128">CONCATENATE("update msg_out_fld_config set msg_fld_name = '",A128,"' where cd = 'C0160F0FAACF12477441E96B64F7F87C';")</f>
        <v>0</v>
      </c>
      <c r="M128">
        <f t="array" ref="M128">CONCATENATE("update msg_out_fld set description = '",D128,"' where tab_name = 'PORTFOLIO' and fld_name = 'APSYS_CDCTGPTFSTES';")</f>
        <v>0</v>
      </c>
    </row>
    <row r="129" spans="1:13">
      <c r="A129" t="s">
        <v>2604</v>
      </c>
      <c r="C129" t="s">
        <v>20</v>
      </c>
      <c r="D129" t="s">
        <v>1001</v>
      </c>
      <c r="E129" t="s">
        <v>964</v>
      </c>
      <c r="F129" t="s">
        <v>23</v>
      </c>
      <c r="H129" t="s">
        <v>2603</v>
      </c>
      <c r="K129">
        <f t="array" ref="K129">CONCATENATE("update msg_out_fld_config set msg_fld_name = '",A129,"' where cd = '3AC3C410392EAF95DB34A48C1DFA676B';")</f>
        <v>0</v>
      </c>
      <c r="M129">
        <f t="array" ref="M129">CONCATENATE("update msg_out_fld set description = '",D129,"' where tab_name = 'PORTFOLIO' and fld_name = 'APSYS_CDCTGPTFSTEBRUTNETS';")</f>
        <v>0</v>
      </c>
    </row>
    <row r="130" spans="1:13">
      <c r="A130" t="s">
        <v>2605</v>
      </c>
      <c r="C130" t="s">
        <v>20</v>
      </c>
      <c r="D130" t="s">
        <v>2606</v>
      </c>
      <c r="E130" t="s">
        <v>53</v>
      </c>
      <c r="F130" t="s">
        <v>23</v>
      </c>
      <c r="H130" t="s">
        <v>835</v>
      </c>
      <c r="K130">
        <f t="array" ref="K130">CONCATENATE("update msg_out_fld_config set msg_fld_name = '",A130,"' where cd = '55C70E297DD1178C8CBA520BC11BA720';")</f>
        <v>0</v>
      </c>
      <c r="M130">
        <f t="array" ref="M130">CONCATENATE("update msg_out_fld set description = '",D130,"' where tab_name = 'PORTFOLIO' and fld_name = 'APSYS_IDSTRUCS';")</f>
        <v>0</v>
      </c>
    </row>
    <row r="131" spans="1:13">
      <c r="A131" t="s">
        <v>2608</v>
      </c>
      <c r="C131" t="s">
        <v>26</v>
      </c>
      <c r="D131" t="s">
        <v>2609</v>
      </c>
      <c r="E131" t="s">
        <v>2610</v>
      </c>
      <c r="F131" t="s">
        <v>23</v>
      </c>
      <c r="H131" t="s">
        <v>2607</v>
      </c>
      <c r="K131">
        <f t="array" ref="K131">CONCATENATE("update msg_out_fld_config set msg_fld_name = '",A131,"' where cd = '25A1A201DA94EAFAD771FB0F0E5B2DE2';")</f>
        <v>0</v>
      </c>
      <c r="M131">
        <f t="array" ref="M131">CONCATENATE("update msg_out_fld set description = '",D131,"' where tab_name = 'PORTFOLIO' and fld_name = 'APSYS_FLAGTYPTRFPOLC';")</f>
        <v>0</v>
      </c>
    </row>
    <row r="132" spans="1:13">
      <c r="A132" t="s">
        <v>2612</v>
      </c>
      <c r="C132" t="s">
        <v>275</v>
      </c>
      <c r="D132" t="s">
        <v>2613</v>
      </c>
      <c r="E132" t="s">
        <v>2614</v>
      </c>
      <c r="F132" t="s">
        <v>23</v>
      </c>
      <c r="H132" t="s">
        <v>2611</v>
      </c>
      <c r="K132">
        <f t="array" ref="K132">CONCATENATE("update msg_out_fld_config set msg_fld_name = '",A132,"' where cd = '01D012B2501BA1DCBF71881AD816C433';")</f>
        <v>0</v>
      </c>
      <c r="M132">
        <f t="array" ref="M132">CONCATENATE("update msg_out_fld set description = '",D132,"' where tab_name = 'PORTFOLIO' and fld_name = 'APSYS_IDTRFPOLS';")</f>
        <v>0</v>
      </c>
    </row>
    <row r="133" spans="1:13">
      <c r="A133" t="s">
        <v>2616</v>
      </c>
      <c r="C133" t="s">
        <v>20</v>
      </c>
      <c r="D133" t="s">
        <v>1007</v>
      </c>
      <c r="E133" t="s">
        <v>964</v>
      </c>
      <c r="F133" t="s">
        <v>23</v>
      </c>
      <c r="H133" t="s">
        <v>2615</v>
      </c>
      <c r="K133">
        <f t="array" ref="K133">CONCATENATE("update msg_out_fld_config set msg_fld_name = '",A133,"' where cd = '05764AA15FDF6198CD46C8374826DFFE';")</f>
        <v>0</v>
      </c>
      <c r="M133">
        <f t="array" ref="M133">CONCATENATE("update msg_out_fld set description = '",D133,"' where tab_name = 'PORTFOLIO' and fld_name = 'APSYS_CDCTGPTFTAXINTS';")</f>
        <v>0</v>
      </c>
    </row>
    <row r="134" spans="1:13">
      <c r="A134" t="s">
        <v>2618</v>
      </c>
      <c r="C134" t="s">
        <v>20</v>
      </c>
      <c r="D134" t="s">
        <v>1010</v>
      </c>
      <c r="E134" t="s">
        <v>964</v>
      </c>
      <c r="F134" t="s">
        <v>23</v>
      </c>
      <c r="H134" t="s">
        <v>2617</v>
      </c>
      <c r="K134">
        <f t="array" ref="K134">CONCATENATE("update msg_out_fld_config set msg_fld_name = '",A134,"' where cd = '1206A9EABB91C8ABE7130A4AD01B8064';")</f>
        <v>0</v>
      </c>
      <c r="M134">
        <f t="array" ref="M134">CONCATENATE("update msg_out_fld set description = '",D134,"' where tab_name = 'PORTFOLIO' and fld_name = 'APSYS_CDCTGPTFTRCS';")</f>
        <v>0</v>
      </c>
    </row>
    <row r="135" spans="1:13">
      <c r="A135" t="s">
        <v>2033</v>
      </c>
      <c r="C135" t="s">
        <v>26</v>
      </c>
      <c r="D135" t="s">
        <v>2619</v>
      </c>
      <c r="E135" t="s">
        <v>28</v>
      </c>
      <c r="F135" t="s">
        <v>29</v>
      </c>
      <c r="G135" t="s">
        <v>30</v>
      </c>
      <c r="H135" t="s">
        <v>2032</v>
      </c>
      <c r="K135">
        <f t="array" ref="K135">CONCATENATE("update msg_out_fld_config set msg_fld_name = '",A135,"' where cd = '6249A8149C9FFC04C47976D954ACCCE8';")</f>
        <v>0</v>
      </c>
      <c r="M135">
        <f t="array" ref="M135">CONCATENATE("update msg_out_fld set description = '",D135,"' where tab_name = 'PORTFOLIO' and fld_name = 'IS_TRUSTEE_PHYSICAL_CD';")</f>
        <v>0</v>
      </c>
    </row>
    <row r="136" spans="1:13">
      <c r="A136" t="s">
        <v>1156</v>
      </c>
      <c r="C136" t="s">
        <v>26</v>
      </c>
      <c r="D136" t="s">
        <v>2621</v>
      </c>
      <c r="E136" t="s">
        <v>2622</v>
      </c>
      <c r="F136" t="s">
        <v>29</v>
      </c>
      <c r="G136" t="s">
        <v>2623</v>
      </c>
      <c r="H136" t="s">
        <v>2620</v>
      </c>
      <c r="K136">
        <f t="array" ref="K136">CONCATENATE("update msg_out_fld_config set msg_fld_name = '",A136,"' where cd = '4D95EAD365BCD5E717BDD4DF9C11DBBF';")</f>
        <v>0</v>
      </c>
      <c r="M136">
        <f t="array" ref="M136">CONCATENATE("update msg_out_fld set description = '",D136,"' where tab_name = 'PORTFOLIO' and fld_name = 'PORTFOLIOTYP_CD';")</f>
        <v>0</v>
      </c>
    </row>
    <row r="137" spans="1:13">
      <c r="A137" t="s">
        <v>2625</v>
      </c>
      <c r="C137" t="s">
        <v>26</v>
      </c>
      <c r="D137" t="s">
        <v>2626</v>
      </c>
      <c r="E137" t="s">
        <v>28</v>
      </c>
      <c r="F137" t="s">
        <v>29</v>
      </c>
      <c r="G137" t="s">
        <v>30</v>
      </c>
      <c r="H137" t="s">
        <v>2624</v>
      </c>
      <c r="K137">
        <f t="array" ref="K137">CONCATENATE("update msg_out_fld_config set msg_fld_name = '",A137,"' where cd = 'E407102A3036869E5269E4D1858EFDCC';")</f>
        <v>0</v>
      </c>
      <c r="M137">
        <f t="array" ref="M137">CONCATENATE("update msg_out_fld set description = '",D137,"' where tab_name = 'PORTFOLIO' and fld_name = 'UNDOCUMENTED_ACCOUNT_CD';")</f>
        <v>0</v>
      </c>
    </row>
    <row r="138" spans="1:13">
      <c r="A138" t="s">
        <v>2628</v>
      </c>
      <c r="C138" t="s">
        <v>26</v>
      </c>
      <c r="D138" t="s">
        <v>2629</v>
      </c>
      <c r="E138" t="s">
        <v>28</v>
      </c>
      <c r="F138" t="s">
        <v>29</v>
      </c>
      <c r="G138" t="s">
        <v>30</v>
      </c>
      <c r="H138" t="s">
        <v>2627</v>
      </c>
      <c r="K138">
        <f t="array" ref="K138">CONCATENATE("update msg_out_fld_config set msg_fld_name = '",A138,"' where cd = 'E18891FE5CB78EBD54A665F15B6B8219';")</f>
        <v>0</v>
      </c>
      <c r="M138">
        <f t="array" ref="M138">CONCATENATE("update msg_out_fld set description = '",D138,"' where tab_name = 'PORTFOLIO' and fld_name = 'IN_APSYS_TEMP_ENTSPERREN_CD';")</f>
        <v>0</v>
      </c>
    </row>
    <row r="139" spans="1:13">
      <c r="A139" t="s">
        <v>2631</v>
      </c>
      <c r="C139" t="s">
        <v>104</v>
      </c>
      <c r="D139" t="s">
        <v>2632</v>
      </c>
      <c r="H139" t="s">
        <v>2630</v>
      </c>
      <c r="K139">
        <f t="array" ref="K139">CONCATENATE("update msg_out_fld_config set msg_fld_name = '",A139,"' where cd = '00621272E49685D1248B1A0E98C3C556';")</f>
        <v>0</v>
      </c>
      <c r="M139">
        <f t="array" ref="M139">CONCATENATE("update msg_out_fld set description = '",D139,"' where tab_name = 'PORTFOLIO' and fld_name = 'IN_APSYS_TEMP_ENTSP_DATUM';")</f>
        <v>0</v>
      </c>
    </row>
    <row r="140" spans="1:13">
      <c r="A140" t="s">
        <v>2634</v>
      </c>
      <c r="C140" t="s">
        <v>37</v>
      </c>
      <c r="D140" t="s">
        <v>2635</v>
      </c>
      <c r="E140" t="s">
        <v>39</v>
      </c>
      <c r="F140" t="s">
        <v>23</v>
      </c>
      <c r="H140" t="s">
        <v>2633</v>
      </c>
      <c r="K140">
        <f t="array" ref="K140">CONCATENATE("update msg_out_fld_config set msg_fld_name = '",A140,"' where cd = '489F80772384CECB1F13D8ADD3C1E650';")</f>
        <v>0</v>
      </c>
      <c r="M140">
        <f t="array" ref="M140">CONCATENATE("update msg_out_fld set description = '",D140,"' where tab_name = 'PORTFOLIO' and fld_name = 'IN_APSYS_TEMP_ENTSP_USERID';")</f>
        <v>0</v>
      </c>
    </row>
    <row r="141" spans="1:13">
      <c r="A141" t="s">
        <v>2636</v>
      </c>
      <c r="C141" t="s">
        <v>20</v>
      </c>
      <c r="D141" t="s">
        <v>2042</v>
      </c>
      <c r="E141" t="s">
        <v>2043</v>
      </c>
      <c r="F141" t="s">
        <v>23</v>
      </c>
      <c r="H141" t="s">
        <v>2040</v>
      </c>
      <c r="K141">
        <f t="array" ref="K141">CONCATENATE("update msg_out_fld_config set msg_fld_name = '",A141,"' where cd = '0915935C5506117FBF2BC30BC8C1BABA';")</f>
        <v>0</v>
      </c>
      <c r="M141">
        <f t="array" ref="M141">CONCATENATE("update msg_out_fld set description = '",D141,"' where tab_name = 'PORTFOLIO' and fld_name = 'USWBASKET_CD';")</f>
        <v>0</v>
      </c>
    </row>
    <row r="142" spans="1:13">
      <c r="A142" t="s">
        <v>2638</v>
      </c>
      <c r="C142" t="s">
        <v>104</v>
      </c>
      <c r="D142" t="s">
        <v>2639</v>
      </c>
      <c r="H142" t="s">
        <v>2637</v>
      </c>
      <c r="K142">
        <f t="array" ref="K142">CONCATENATE("update msg_out_fld_config set msg_fld_name = '",A142,"' where cd = '4D3A2956568C8BB1BE565C637B49EE62';")</f>
        <v>0</v>
      </c>
      <c r="M142">
        <f t="array" ref="M142">CONCATENATE("update msg_out_fld set description = '",D142,"' where tab_name = 'PORTFOLIO' and fld_name = 'US_WHT_START_DATE';")</f>
        <v>0</v>
      </c>
    </row>
    <row r="143" spans="1:13">
      <c r="A143" t="s">
        <v>193</v>
      </c>
      <c r="C143" t="s">
        <v>26</v>
      </c>
      <c r="D143" t="s">
        <v>194</v>
      </c>
      <c r="E143" t="s">
        <v>195</v>
      </c>
      <c r="F143" t="s">
        <v>29</v>
      </c>
      <c r="G143" t="s">
        <v>196</v>
      </c>
      <c r="H143" t="s">
        <v>192</v>
      </c>
      <c r="K143">
        <f t="array" ref="K143">CONCATENATE("update msg_out_fld_config set msg_fld_name = '",A143,"' where cd = '0047A04C0E3EC15D7185DDEC85685A26';")</f>
        <v>0</v>
      </c>
      <c r="M143">
        <f t="array" ref="M143">CONCATENATE("update msg_out_fld set description = '",D143,"' where tab_name = 'PORTFOLIO' and fld_name = 'VALID_CD';")</f>
        <v>0</v>
      </c>
    </row>
    <row r="144" spans="1:13">
      <c r="A144" t="s">
        <v>201</v>
      </c>
      <c r="C144" t="s">
        <v>90</v>
      </c>
      <c r="D144" t="s">
        <v>944</v>
      </c>
      <c r="H144" t="s">
        <v>200</v>
      </c>
      <c r="K144">
        <f t="array" ref="K144">CONCATENATE("update msg_out_fld_config set msg_fld_name = '",A144,"' where cd = '390CA03690DB46731A214D0CC52808E8';")</f>
        <v>0</v>
      </c>
      <c r="M144">
        <f t="array" ref="M144">CONCATENATE("update msg_out_fld set description = '",D144,"' where tab_name = 'PORTFOLIO' and fld_name = 'VALIDID';")</f>
        <v>0</v>
      </c>
    </row>
    <row r="145" spans="1:13">
      <c r="A145" t="s">
        <v>207</v>
      </c>
      <c r="C145" t="s">
        <v>37</v>
      </c>
      <c r="D145" t="s">
        <v>208</v>
      </c>
      <c r="E145" t="s">
        <v>39</v>
      </c>
      <c r="F145" t="s">
        <v>23</v>
      </c>
      <c r="H145" t="s">
        <v>206</v>
      </c>
      <c r="K145">
        <f t="array" ref="K145">CONCATENATE("update msg_out_fld_config set msg_fld_name = '",A145,"' where cd = '2EC3DAB8A4E12A24DEA4DF7FB7E465A9';")</f>
        <v>0</v>
      </c>
      <c r="M145">
        <f t="array" ref="M145">CONCATENATE("update msg_out_fld set description = '",D145,"' where tab_name = 'PORTFOLIO' and fld_name = 'VALIDUSER';")</f>
        <v>0</v>
      </c>
    </row>
    <row r="146" spans="1:13">
      <c r="A146" t="s">
        <v>508</v>
      </c>
      <c r="C146" t="s">
        <v>20</v>
      </c>
      <c r="D146" t="s">
        <v>945</v>
      </c>
      <c r="E146" t="s">
        <v>946</v>
      </c>
      <c r="F146" t="s">
        <v>23</v>
      </c>
      <c r="H146" t="s">
        <v>507</v>
      </c>
      <c r="K146">
        <f t="array" ref="K146">CONCATENATE("update msg_out_fld_config set msg_fld_name = '",A146,"' where cd = '6D21DE90FEF7666323366ACFE4A7407D';")</f>
        <v>0</v>
      </c>
      <c r="M146">
        <f t="array" ref="M146">CONCATENATE("update msg_out_fld set description = '",D146,"' where tab_name = 'PORTFOLIO' and fld_name = 'APSYS_DEVEVALS';")</f>
        <v>0</v>
      </c>
    </row>
    <row r="147" spans="1:13">
      <c r="A147" t="s">
        <v>2641</v>
      </c>
      <c r="C147" t="s">
        <v>26</v>
      </c>
      <c r="D147" t="s">
        <v>2642</v>
      </c>
      <c r="E147" t="s">
        <v>28</v>
      </c>
      <c r="F147" t="s">
        <v>29</v>
      </c>
      <c r="G147" t="s">
        <v>30</v>
      </c>
      <c r="H147" t="s">
        <v>2640</v>
      </c>
      <c r="K147">
        <f t="array" ref="K147">CONCATENATE("update msg_out_fld_config set msg_fld_name = '",A147,"' where cd = '058FF287836F63A07AD3A7967D4206D6';")</f>
        <v>0</v>
      </c>
      <c r="M147">
        <f t="array" ref="M147">CONCATENATE("update msg_out_fld set description = '",D147,"' where tab_name = 'PORTFOLIO' and fld_name = 'PARTNER_WITH_UNL_LIABILITY_CD';")</f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23.5703125" customWidth="1"/>
    <col min="5" max="5" width="34.28515625" customWidth="1"/>
    <col min="6" max="6" width="10.28515625" customWidth="1"/>
    <col min="7" max="7" width="15.140625" customWidth="1"/>
    <col min="8" max="8" width="23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5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2643</v>
      </c>
    </row>
    <row r="2" spans="1:13">
      <c r="A2" s="1" t="s">
        <v>2644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2337</v>
      </c>
      <c r="K6">
        <f t="array" ref="K6">CONCATENATE("update msg_out_fld_config set msg_fld_name = '",A6,"' where cd = '3F5112202CC0846B9AB8E2CB80ADA739';")</f>
        <v>0</v>
      </c>
      <c r="M6">
        <f t="array" ref="M6">CONCATENATE("update msg_out_fld set description = '",D6,"' where tab_name = 'VERWALTUNGSMODUS' and fld_name = 'VERWALTUNGSMODUS_CD';")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'6A6E1DA165FB8E55375BA077207426F4';")</f>
        <v>0</v>
      </c>
      <c r="M7">
        <f t="array" ref="M7">CONCATENATE("update msg_out_fld set description = '",D7,"' where tab_name = 'VERWALTUNGSMODUS'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'8F3A26BBCF1933CBE30235FBC20D8630';")</f>
        <v>0</v>
      </c>
      <c r="M8">
        <f t="array" ref="M8">CONCATENATE("update msg_out_fld set description = '",D8,"' where tab_name = 'VERWALTUNGSMODUS'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'18416984ECC39D9DF7FFFC3D86866038';")</f>
        <v>0</v>
      </c>
      <c r="M9">
        <f t="array" ref="M9">CONCATENATE("update msg_out_fld set description = '",D9,"' where tab_name = 'VERWALTUNGSMODUS'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'F328EE7D400938C5F209E894032AE09B';")</f>
        <v>0</v>
      </c>
      <c r="M10">
        <f t="array" ref="M10">CONCATENATE("update msg_out_fld set description = '",D10,"' where tab_name = 'VERWALTUNGSMODUS'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'E1B61BA6AA084DAA5091EF8A30D9B220';")</f>
        <v>0</v>
      </c>
      <c r="M11">
        <f t="array" ref="M11">CONCATENATE("update msg_out_fld set description = '",D11,"' where tab_name = 'VERWALTUNGSMODUS' and fld_name = 'CRTUSER';")</f>
        <v>0</v>
      </c>
    </row>
    <row r="12" spans="1:13">
      <c r="A12" t="s">
        <v>55</v>
      </c>
      <c r="C12" t="s">
        <v>37</v>
      </c>
      <c r="D12" t="s">
        <v>2339</v>
      </c>
      <c r="H12" t="s">
        <v>2645</v>
      </c>
      <c r="K12">
        <f t="array" ref="K12">CONCATENATE("update msg_out_fld_config set msg_fld_name = '",A12,"' where cd = 'B534D05A9F5801EFEBC98CA4C200B08D';")</f>
        <v>0</v>
      </c>
      <c r="M12">
        <f t="array" ref="M12">CONCATENATE("update msg_out_fld set description = '",D12,"' where tab_name = 'VERWALTUNGSMODUS' and fld_name = 'VERWALTUNGSMODUS';")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'FE8D44A414294CBA6DFB5DE9E2FDC8CF';")</f>
        <v>0</v>
      </c>
      <c r="M13">
        <f t="array" ref="M13">CONCATENATE("update msg_out_fld set description = '",D13,"' where tab_name = 'VERWALTUNGSMODUS'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'E5B672B2CD37CC9D57FD41EA3830A988';")</f>
        <v>0</v>
      </c>
      <c r="M14">
        <f t="array" ref="M14">CONCATENATE("update msg_out_fld set description = '",D14,"' where tab_name = 'VERWALTUNGSMODUS' and fld_name = 'MUTUSER';")</f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22.28515625" customWidth="1"/>
    <col min="5" max="5" width="34.28515625" customWidth="1"/>
    <col min="6" max="6" width="10.28515625" customWidth="1"/>
    <col min="7" max="7" width="15.140625" customWidth="1"/>
    <col min="8" max="8" width="19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8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2646</v>
      </c>
    </row>
    <row r="2" spans="1:13">
      <c r="A2" s="1" t="s">
        <v>2647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2648</v>
      </c>
      <c r="K6">
        <f t="array" ref="K6">CONCATENATE("update msg_out_fld_config set msg_fld_name = '",A6,"' where cd = '07FF2BCE7EEE7F790DDF1E4A017B8C91';")</f>
        <v>0</v>
      </c>
      <c r="M6">
        <f t="array" ref="M6">CONCATENATE("update msg_out_fld set description = '",D6,"' where tab_name = 'SALDIERUNGSGRUND_TBLCLO_APSYS' and fld_name = 'CDMOTIFCLOS';")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'F42CE7EBAA0464B8F2C687CD5DEC0F5D';")</f>
        <v>0</v>
      </c>
      <c r="M7">
        <f t="array" ref="M7">CONCATENATE("update msg_out_fld set description = '",D7,"' where tab_name = 'SALDIERUNGSGRUND_TBLCLO_APSYS'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'E3FD4ABCE8B01A5E3B21F5983B7FE6BF';")</f>
        <v>0</v>
      </c>
      <c r="M8">
        <f t="array" ref="M8">CONCATENATE("update msg_out_fld set description = '",D8,"' where tab_name = 'SALDIERUNGSGRUND_TBLCLO_APSYS'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'DC4695C0680D984C4973BEA0414413F7';")</f>
        <v>0</v>
      </c>
      <c r="M9">
        <f t="array" ref="M9">CONCATENATE("update msg_out_fld set description = '",D9,"' where tab_name = 'SALDIERUNGSGRUND_TBLCLO_APSYS'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'BF1111DBEC03D9D67074B451098928FF';")</f>
        <v>0</v>
      </c>
      <c r="M10">
        <f t="array" ref="M10">CONCATENATE("update msg_out_fld set description = '",D10,"' where tab_name = 'SALDIERUNGSGRUND_TBLCLO_APSYS'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'CE908EC036277B5755E787A484DEA2A7';")</f>
        <v>0</v>
      </c>
      <c r="M11">
        <f t="array" ref="M11">CONCATENATE("update msg_out_fld set description = '",D11,"' where tab_name = 'SALDIERUNGSGRUND_TBLCLO_APSYS' and fld_name = 'CRTUSER';")</f>
        <v>0</v>
      </c>
    </row>
    <row r="12" spans="1:13">
      <c r="A12" t="s">
        <v>55</v>
      </c>
      <c r="C12" t="s">
        <v>230</v>
      </c>
      <c r="D12" t="s">
        <v>2650</v>
      </c>
      <c r="H12" t="s">
        <v>2649</v>
      </c>
      <c r="K12">
        <f t="array" ref="K12">CONCATENATE("update msg_out_fld_config set msg_fld_name = '",A12,"' where cd = 'CDF9D70C7551F33A0B3B12AC8F6144B7';")</f>
        <v>0</v>
      </c>
      <c r="M12">
        <f t="array" ref="M12">CONCATENATE("update msg_out_fld set description = '",D12,"' where tab_name = 'SALDIERUNGSGRUND_TBLCLO_APSYS' and fld_name = 'SALDIERUNGSGRUND';")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'5E58C434D3AC1797F25857F8246CE339';")</f>
        <v>0</v>
      </c>
      <c r="M13">
        <f t="array" ref="M13">CONCATENATE("update msg_out_fld set description = '",D13,"' where tab_name = 'SALDIERUNGSGRUND_TBLCLO_APSYS'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'685C2E1AD91523510279317299E55647';")</f>
        <v>0</v>
      </c>
      <c r="M14">
        <f t="array" ref="M14">CONCATENATE("update msg_out_fld set description = '",D14,"' where tab_name = 'SALDIERUNGSGRUND_TBLCLO_APSYS' and fld_name = 'MUTUSER';")</f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7.570312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8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2651</v>
      </c>
    </row>
    <row r="2" spans="1:13">
      <c r="A2" s="1" t="s">
        <v>2652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2654</v>
      </c>
      <c r="H6" t="s">
        <v>2653</v>
      </c>
      <c r="K6">
        <f t="array" ref="K6">CONCATENATE("update msg_out_fld_config set msg_fld_name = '",A6,"' where cd = '3DAF4DBA0F195F6C8490B8A776D24BE4';")</f>
        <v>0</v>
      </c>
      <c r="M6">
        <f t="array" ref="M6">CONCATENATE("update msg_out_fld set description = '",D6,"' where tab_name = 'PORTFOLIOTYP_TBLTPF_APSYS' and fld_name = 'TYPPTFS';")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'FF77439185D12A50E028F2715646EA14';")</f>
        <v>0</v>
      </c>
      <c r="M7">
        <f t="array" ref="M7">CONCATENATE("update msg_out_fld set description = '",D7,"' where tab_name = 'PORTFOLIOTYP_TBLTPF_APSYS'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'A0760059F86F7169E502A91F5FE4748A';")</f>
        <v>0</v>
      </c>
      <c r="M8">
        <f t="array" ref="M8">CONCATENATE("update msg_out_fld set description = '",D8,"' where tab_name = 'PORTFOLIOTYP_TBLTPF_APSYS'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'E46188A78377125A1D2D4597B8EEE36C';")</f>
        <v>0</v>
      </c>
      <c r="M9">
        <f t="array" ref="M9">CONCATENATE("update msg_out_fld set description = '",D9,"' where tab_name = 'PORTFOLIOTYP_TBLTPF_APSYS'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'21D19EA68BD1838E699155A154496A03';")</f>
        <v>0</v>
      </c>
      <c r="M10">
        <f t="array" ref="M10">CONCATENATE("update msg_out_fld set description = '",D10,"' where tab_name = 'PORTFOLIOTYP_TBLTPF_APSYS'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'1C5D7F1A5741AF02F5D10F65E1C61EFE';")</f>
        <v>0</v>
      </c>
      <c r="M11">
        <f t="array" ref="M11">CONCATENATE("update msg_out_fld set description = '",D11,"' where tab_name = 'PORTFOLIOTYP_TBLTPF_APSYS' and fld_name = 'CRTUSER';")</f>
        <v>0</v>
      </c>
    </row>
    <row r="12" spans="1:13">
      <c r="A12" t="s">
        <v>55</v>
      </c>
      <c r="C12" t="s">
        <v>1298</v>
      </c>
      <c r="D12" t="s">
        <v>2621</v>
      </c>
      <c r="H12" t="s">
        <v>2655</v>
      </c>
      <c r="K12">
        <f t="array" ref="K12">CONCATENATE("update msg_out_fld_config set msg_fld_name = '",A12,"' where cd = 'DBB1548F0D2E35F809FCDA96A8E48939';")</f>
        <v>0</v>
      </c>
      <c r="M12">
        <f t="array" ref="M12">CONCATENATE("update msg_out_fld set description = '",D12,"' where tab_name = 'PORTFOLIOTYP_TBLTPF_APSYS' and fld_name = 'PORTFOLIOTYP';")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'F3C6BC8F85BFB5CB172C00D66236C18C';")</f>
        <v>0</v>
      </c>
      <c r="M13">
        <f t="array" ref="M13">CONCATENATE("update msg_out_fld set description = '",D13,"' where tab_name = 'PORTFOLIOTYP_TBLTPF_APSYS'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'8B8FF1E80A53462BED2136BAEA38CC4D';")</f>
        <v>0</v>
      </c>
      <c r="M14">
        <f t="array" ref="M14">CONCATENATE("update msg_out_fld set description = '",D14,"' where tab_name = 'PORTFOLIOTYP_TBLTPF_APSYS' and fld_name = 'MUTUSER';")</f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48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2656</v>
      </c>
    </row>
    <row r="2" spans="1:13">
      <c r="A2" s="1" t="s">
        <v>2657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1932</v>
      </c>
      <c r="K6">
        <f t="array" ref="K6">CONCATENATE("update msg_out_fld_config set msg_fld_name = '",A6,"' where cd = '584722584C19F9125D3235FC6E869D2E';")</f>
        <v>0</v>
      </c>
      <c r="M6">
        <f t="array" ref="M6">CONCATENATE("update msg_out_fld set description = '",D6,"' where tab_name = 'POTENTIAL' and fld_name = 'POTENTIAL_CD';")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'7D69A2D2974439B18451341C9212D0F6';")</f>
        <v>0</v>
      </c>
      <c r="M7">
        <f t="array" ref="M7">CONCATENATE("update msg_out_fld set description = '",D7,"' where tab_name = 'POTENTIAL'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'5E1C73B8166D0E20C8EECDAE4A181F25';")</f>
        <v>0</v>
      </c>
      <c r="M8">
        <f t="array" ref="M8">CONCATENATE("update msg_out_fld set description = '",D8,"' where tab_name = 'POTENTIAL'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'3753ADEBAD576A16A98323F9EE1B51B0';")</f>
        <v>0</v>
      </c>
      <c r="M9">
        <f t="array" ref="M9">CONCATENATE("update msg_out_fld set description = '",D9,"' where tab_name = 'POTENTIAL'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'0A7BBC3FC513FE4942825896983EFB86';")</f>
        <v>0</v>
      </c>
      <c r="M10">
        <f t="array" ref="M10">CONCATENATE("update msg_out_fld set description = '",D10,"' where tab_name = 'POTENTIAL'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'D6E776844AB5B6BDCBFC1E4EBAA60CDB';")</f>
        <v>0</v>
      </c>
      <c r="M11">
        <f t="array" ref="M11">CONCATENATE("update msg_out_fld set description = '",D11,"' where tab_name = 'POTENTIAL' and fld_name = 'CRTUSER';")</f>
        <v>0</v>
      </c>
    </row>
    <row r="12" spans="1:13">
      <c r="A12" t="s">
        <v>55</v>
      </c>
      <c r="C12" t="s">
        <v>37</v>
      </c>
      <c r="D12" t="s">
        <v>1934</v>
      </c>
      <c r="H12" t="s">
        <v>2658</v>
      </c>
      <c r="K12">
        <f t="array" ref="K12">CONCATENATE("update msg_out_fld_config set msg_fld_name = '",A12,"' where cd = '091DECD706BA47AD56572512B3017F5F';")</f>
        <v>0</v>
      </c>
      <c r="M12">
        <f t="array" ref="M12">CONCATENATE("update msg_out_fld set description = '",D12,"' where tab_name = 'POTENTIAL' and fld_name = 'POTENTIAL';")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'3C94A5AF14B5C303AACCF9A8B08BB0C8';")</f>
        <v>0</v>
      </c>
      <c r="M13">
        <f t="array" ref="M13">CONCATENATE("update msg_out_fld set description = '",D13,"' where tab_name = 'POTENTIAL'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'2C33BC9E78040CC6A84796BD71EE7D6A';")</f>
        <v>0</v>
      </c>
      <c r="M14">
        <f t="array" ref="M14">CONCATENATE("update msg_out_fld set description = '",D14,"' where tab_name = 'POTENTIAL' and fld_name = 'MUTUSER';")</f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18.7109375" customWidth="1"/>
    <col min="2" max="2" width="4.28515625" customWidth="1"/>
    <col min="3" max="3" width="15.140625" customWidth="1"/>
    <col min="4" max="4" width="24.7109375" customWidth="1"/>
    <col min="5" max="5" width="34.28515625" customWidth="1"/>
    <col min="6" max="6" width="10.28515625" customWidth="1"/>
    <col min="7" max="7" width="15.140625" customWidth="1"/>
    <col min="8" max="8" width="22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3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2659</v>
      </c>
    </row>
    <row r="2" spans="1:13">
      <c r="A2" s="1" t="s">
        <v>2660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37</v>
      </c>
      <c r="D6" t="s">
        <v>17</v>
      </c>
      <c r="H6" t="s">
        <v>2661</v>
      </c>
      <c r="K6">
        <f t="array" ref="K6">CONCATENATE("update msg_out_fld_config set msg_fld_name = '",A6,"' where cd = '1FAD39B25470A23F4768EA556AEB9FAE';")</f>
        <v>0</v>
      </c>
      <c r="M6">
        <f t="array" ref="M6">CONCATENATE("update msg_out_fld set description = '",D6,"' where tab_name = 'PRINTER_MAPPING' and fld_name = 'PRINTER_MAPPING_CD';")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'DD30413F33306667BD96C4CA39DE09BB';")</f>
        <v>0</v>
      </c>
      <c r="M7">
        <f t="array" ref="M7">CONCATENATE("update msg_out_fld set description = '",D7,"' where tab_name = 'PRINTER_MAPPING'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'C0DCA584ADDD8162AC52A45D45592556';")</f>
        <v>0</v>
      </c>
      <c r="M8">
        <f t="array" ref="M8">CONCATENATE("update msg_out_fld set description = '",D8,"' where tab_name = 'PRINTER_MAPPING'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'2FD0A0249DAA1489DF3ADB8A1D1D17CD';")</f>
        <v>0</v>
      </c>
      <c r="M9">
        <f t="array" ref="M9">CONCATENATE("update msg_out_fld set description = '",D9,"' where tab_name = 'PRINTER_MAPPING'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'54E0ABEE8ED4AC122B7EE697160CCCF4';")</f>
        <v>0</v>
      </c>
      <c r="M10">
        <f t="array" ref="M10">CONCATENATE("update msg_out_fld set description = '",D10,"' where tab_name = 'PRINTER_MAPPING'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'C42388F1214AD2AEB93E47BBAF812F9F';")</f>
        <v>0</v>
      </c>
      <c r="M11">
        <f t="array" ref="M11">CONCATENATE("update msg_out_fld set description = '",D11,"' where tab_name = 'PRINTER_MAPPING' and fld_name = 'CRTUSER';")</f>
        <v>0</v>
      </c>
    </row>
    <row r="12" spans="1:13">
      <c r="A12" t="s">
        <v>55</v>
      </c>
      <c r="C12" t="s">
        <v>75</v>
      </c>
      <c r="D12" t="s">
        <v>2663</v>
      </c>
      <c r="H12" t="s">
        <v>2662</v>
      </c>
      <c r="K12">
        <f t="array" ref="K12">CONCATENATE("update msg_out_fld_config set msg_fld_name = '",A12,"' where cd = '336D15E28D5036B05485190C5B242BE0';")</f>
        <v>0</v>
      </c>
      <c r="M12">
        <f t="array" ref="M12">CONCATENATE("update msg_out_fld set description = '",D12,"' where tab_name = 'PRINTER_MAPPING' and fld_name = 'PRINTER_MAPPING';")</f>
        <v>0</v>
      </c>
    </row>
    <row r="13" spans="1:13">
      <c r="A13" t="s">
        <v>1475</v>
      </c>
      <c r="C13" t="s">
        <v>26</v>
      </c>
      <c r="D13" t="s">
        <v>2198</v>
      </c>
      <c r="E13" t="s">
        <v>28</v>
      </c>
      <c r="F13" t="s">
        <v>29</v>
      </c>
      <c r="G13" t="s">
        <v>30</v>
      </c>
      <c r="H13" t="s">
        <v>2664</v>
      </c>
      <c r="K13">
        <f t="array" ref="K13">CONCATENATE("update msg_out_fld_config set msg_fld_name = '",A13,"' where cd = 'CB41040E4AF531AEA885D66D7E33A5E7';")</f>
        <v>0</v>
      </c>
      <c r="M13">
        <f t="array" ref="M13">CONCATENATE("update msg_out_fld set description = '",D13,"' where tab_name = 'PRINTER_MAPPING' and fld_name = 'DEFAULT_PRINTER_CD';")</f>
        <v>0</v>
      </c>
    </row>
    <row r="14" spans="1:13">
      <c r="A14" t="s">
        <v>2666</v>
      </c>
      <c r="C14" t="s">
        <v>68</v>
      </c>
      <c r="D14" t="s">
        <v>2667</v>
      </c>
      <c r="H14" t="s">
        <v>2665</v>
      </c>
      <c r="K14">
        <f t="array" ref="K14">CONCATENATE("update msg_out_fld_config set msg_fld_name = '",A14,"' where cd = '4CD6E9BDF2447F2AC8446A2B3182EE7C';")</f>
        <v>0</v>
      </c>
      <c r="M14">
        <f t="array" ref="M14">CONCATENATE("update msg_out_fld set description = '",D14,"' where tab_name = 'PRINTER_MAPPING' and fld_name = 'LANDSCAPETRAY';")</f>
        <v>0</v>
      </c>
    </row>
    <row r="15" spans="1:13">
      <c r="A15" t="s">
        <v>58</v>
      </c>
      <c r="C15" t="s">
        <v>33</v>
      </c>
      <c r="D15" t="s">
        <v>59</v>
      </c>
      <c r="H15" t="s">
        <v>57</v>
      </c>
      <c r="K15">
        <f t="array" ref="K15">CONCATENATE("update msg_out_fld_config set msg_fld_name = '",A15,"' where cd = 'D4474E997140D537B20367A5A4FA97B6';")</f>
        <v>0</v>
      </c>
      <c r="M15">
        <f t="array" ref="M15">CONCATENATE("update msg_out_fld set description = '",D15,"' where tab_name = 'PRINTER_MAPPING' and fld_name = 'MUTDATUM';")</f>
        <v>0</v>
      </c>
    </row>
    <row r="16" spans="1:13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  <c r="K16">
        <f t="array" ref="K16">CONCATENATE("update msg_out_fld_config set msg_fld_name = '",A16,"' where cd = 'CC8F5105165EE527F2802C92A282B9BF';")</f>
        <v>0</v>
      </c>
      <c r="M16">
        <f t="array" ref="M16">CONCATENATE("update msg_out_fld set description = '",D16,"' where tab_name = 'PRINTER_MAPPING' and fld_name = 'MUTUSER';")</f>
        <v>0</v>
      </c>
    </row>
    <row r="17" spans="1:13">
      <c r="A17" t="s">
        <v>2669</v>
      </c>
      <c r="C17" t="s">
        <v>68</v>
      </c>
      <c r="D17" t="s">
        <v>2670</v>
      </c>
      <c r="H17" t="s">
        <v>2668</v>
      </c>
      <c r="K17">
        <f t="array" ref="K17">CONCATENATE("update msg_out_fld_config set msg_fld_name = '",A17,"' where cd = 'EEF9B37C0E1F1E6ABD2B4E40C9D2F1AE';")</f>
        <v>0</v>
      </c>
      <c r="M17">
        <f t="array" ref="M17">CONCATENATE("update msg_out_fld set description = '",D17,"' where tab_name = 'PRINTER_MAPPING' and fld_name = 'OUTPUTBIN';")</f>
        <v>0</v>
      </c>
    </row>
    <row r="18" spans="1:13">
      <c r="A18" t="s">
        <v>2672</v>
      </c>
      <c r="C18" t="s">
        <v>68</v>
      </c>
      <c r="D18" t="s">
        <v>2673</v>
      </c>
      <c r="H18" t="s">
        <v>2671</v>
      </c>
      <c r="K18">
        <f t="array" ref="K18">CONCATENATE("update msg_out_fld_config set msg_fld_name = '",A18,"' where cd = '6D417485595C86EE993D08EA1D53F062';")</f>
        <v>0</v>
      </c>
      <c r="M18">
        <f t="array" ref="M18">CONCATENATE("update msg_out_fld set description = '",D18,"' where tab_name = 'PRINTER_MAPPING' and fld_name = 'PORTRAITTRAY';")</f>
        <v>0</v>
      </c>
    </row>
    <row r="19" spans="1:13">
      <c r="A19" t="s">
        <v>2675</v>
      </c>
      <c r="C19" t="s">
        <v>26</v>
      </c>
      <c r="D19" t="s">
        <v>2676</v>
      </c>
      <c r="E19" t="s">
        <v>28</v>
      </c>
      <c r="F19" t="s">
        <v>29</v>
      </c>
      <c r="G19" t="s">
        <v>30</v>
      </c>
      <c r="H19" t="s">
        <v>2674</v>
      </c>
      <c r="K19">
        <f t="array" ref="K19">CONCATENATE("update msg_out_fld_config set msg_fld_name = '",A19,"' where cd = 'E05490F4D5FFDDDB7F747F8920490E98';")</f>
        <v>0</v>
      </c>
      <c r="M19">
        <f t="array" ref="M19">CONCATENATE("update msg_out_fld set description = '",D19,"' where tab_name = 'PRINTER_MAPPING' and fld_name = 'PRINT_TO_SERVER_CD';")</f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25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45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2677</v>
      </c>
    </row>
    <row r="2" spans="1:13">
      <c r="A2" s="1" t="s">
        <v>2678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1939</v>
      </c>
      <c r="K6">
        <f t="array" ref="K6">CONCATENATE("update msg_out_fld_config set msg_fld_name = '",A6,"' where cd = '0EA769D48C747901ADB02267544A4DA7';")</f>
        <v>0</v>
      </c>
      <c r="M6">
        <f t="array" ref="M6">CONCATENATE("update msg_out_fld set description = '",D6,"' where tab_name = 'POSITION' and fld_name = 'POSITION_CD';")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'F2613AF8BB7CAFED256F9484A03EAD92';")</f>
        <v>0</v>
      </c>
      <c r="M7">
        <f t="array" ref="M7">CONCATENATE("update msg_out_fld set description = '",D7,"' where tab_name = 'POSITION'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'11C38DA07FB74B5B7B658D73841BE4BB';")</f>
        <v>0</v>
      </c>
      <c r="M8">
        <f t="array" ref="M8">CONCATENATE("update msg_out_fld set description = '",D8,"' where tab_name = 'POSITION'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'12C6642346CC3ABE8C7EC8F85479E62A';")</f>
        <v>0</v>
      </c>
      <c r="M9">
        <f t="array" ref="M9">CONCATENATE("update msg_out_fld set description = '",D9,"' where tab_name = 'POSITION'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'F0437D8C149597FF5DBCDE2431C61C97';")</f>
        <v>0</v>
      </c>
      <c r="M10">
        <f t="array" ref="M10">CONCATENATE("update msg_out_fld set description = '",D10,"' where tab_name = 'POSITION'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'E75CEF4FDD1C2B71C031590F5E44F527';")</f>
        <v>0</v>
      </c>
      <c r="M11">
        <f t="array" ref="M11">CONCATENATE("update msg_out_fld set description = '",D11,"' where tab_name = 'POSITION' and fld_name = 'CRTUSER';")</f>
        <v>0</v>
      </c>
    </row>
    <row r="12" spans="1:13">
      <c r="A12" t="s">
        <v>55</v>
      </c>
      <c r="C12" t="s">
        <v>37</v>
      </c>
      <c r="D12" t="s">
        <v>1941</v>
      </c>
      <c r="H12" t="s">
        <v>2679</v>
      </c>
      <c r="K12">
        <f t="array" ref="K12">CONCATENATE("update msg_out_fld_config set msg_fld_name = '",A12,"' where cd = 'A38D9237860271886FBD4B4798C4C366';")</f>
        <v>0</v>
      </c>
      <c r="M12">
        <f t="array" ref="M12">CONCATENATE("update msg_out_fld set description = '",D12,"' where tab_name = 'POSITION' and fld_name = 'POSITION';")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'74CD069CFF1EB0BEA66DAFFF534C0038';")</f>
        <v>0</v>
      </c>
      <c r="M13">
        <f t="array" ref="M13">CONCATENATE("update msg_out_fld set description = '",D13,"' where tab_name = 'POSITION'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'DB80EAB823B43DE20B78D0D5F044B000';")</f>
        <v>0</v>
      </c>
      <c r="M14">
        <f t="array" ref="M14">CONCATENATE("update msg_out_fld set description = '",D14,"' where tab_name = 'POSITION' and fld_name = 'MUTUSER';")</f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23.5703125" customWidth="1"/>
    <col min="5" max="5" width="34.28515625" customWidth="1"/>
    <col min="6" max="6" width="10.28515625" customWidth="1"/>
    <col min="7" max="7" width="15.140625" customWidth="1"/>
    <col min="8" max="8" width="19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7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2680</v>
      </c>
    </row>
    <row r="2" spans="1:13">
      <c r="A2" s="1" t="s">
        <v>2681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1943</v>
      </c>
      <c r="K6">
        <f t="array" ref="K6">CONCATENATE("update msg_out_fld_config set msg_fld_name = '",A6,"' where cd = 'A419621E90F0B709B75FC949DD403BDE';")</f>
        <v>0</v>
      </c>
      <c r="M6">
        <f t="array" ref="M6">CONCATENATE("update msg_out_fld set description = '",D6,"' where tab_name = 'ERWERBSSTATUS' and fld_name = 'ERWERBSSTATUS_CD';")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'F37C0D3F651F3E25CE9BE9149DAE238D';")</f>
        <v>0</v>
      </c>
      <c r="M7">
        <f t="array" ref="M7">CONCATENATE("update msg_out_fld set description = '",D7,"' where tab_name = 'ERWERBSSTATUS'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'3BF2B6CF3E757877FA55C230D1D7A182';")</f>
        <v>0</v>
      </c>
      <c r="M8">
        <f t="array" ref="M8">CONCATENATE("update msg_out_fld set description = '",D8,"' where tab_name = 'ERWERBSSTATUS'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'A65FE7B7F89693B0BEB4A84A4CAF19BD';")</f>
        <v>0</v>
      </c>
      <c r="M9">
        <f t="array" ref="M9">CONCATENATE("update msg_out_fld set description = '",D9,"' where tab_name = 'ERWERBSSTATUS'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'9AECD14F20C9BAD98D6429F953696D26';")</f>
        <v>0</v>
      </c>
      <c r="M10">
        <f t="array" ref="M10">CONCATENATE("update msg_out_fld set description = '",D10,"' where tab_name = 'ERWERBSSTATUS'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'E3E888EF4614479A4F1D5768EF299E05';")</f>
        <v>0</v>
      </c>
      <c r="M11">
        <f t="array" ref="M11">CONCATENATE("update msg_out_fld set description = '",D11,"' where tab_name = 'ERWERBSSTATUS' and fld_name = 'CRTUSER';")</f>
        <v>0</v>
      </c>
    </row>
    <row r="12" spans="1:13">
      <c r="A12" t="s">
        <v>55</v>
      </c>
      <c r="C12" t="s">
        <v>37</v>
      </c>
      <c r="D12" t="s">
        <v>1945</v>
      </c>
      <c r="H12" t="s">
        <v>2682</v>
      </c>
      <c r="K12">
        <f t="array" ref="K12">CONCATENATE("update msg_out_fld_config set msg_fld_name = '",A12,"' where cd = 'B17B08988807BE37DDEF3DB8E94D23A5';")</f>
        <v>0</v>
      </c>
      <c r="M12">
        <f t="array" ref="M12">CONCATENATE("update msg_out_fld set description = '",D12,"' where tab_name = 'ERWERBSSTATUS' and fld_name = 'ERWERBSSTATUS';")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'C6D19C49A0FBFEFEED8164222A3BEDB5';")</f>
        <v>0</v>
      </c>
      <c r="M13">
        <f t="array" ref="M13">CONCATENATE("update msg_out_fld set description = '",D13,"' where tab_name = 'ERWERBSSTATUS'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'81C7AD0093D69657541278DB093BEE1C';")</f>
        <v>0</v>
      </c>
      <c r="M14">
        <f t="array" ref="M14">CONCATENATE("update msg_out_fld set description = '",D14,"' where tab_name = 'ERWERBSSTATUS' and fld_name = 'MUTUSER';")</f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35.5703125" customWidth="1"/>
    <col min="2" max="2" width="4.28515625" customWidth="1"/>
    <col min="3" max="3" width="16.28515625" customWidth="1"/>
    <col min="4" max="4" width="28.28515625" customWidth="1"/>
    <col min="5" max="5" width="46.28515625" customWidth="1"/>
    <col min="6" max="6" width="10.28515625" customWidth="1"/>
    <col min="7" max="7" width="15.140625" customWidth="1"/>
    <col min="8" max="8" width="30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84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2683</v>
      </c>
    </row>
    <row r="2" spans="1:13">
      <c r="A2" s="1" t="s">
        <v>2684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s="2" t="s">
        <v>1947</v>
      </c>
      <c r="H6" t="s">
        <v>1947</v>
      </c>
      <c r="K6">
        <f t="array" ref="K6">CONCATENATE("update msg_out_fld_config set msg_fld_name = '",A6,"' where cd = '4F8B4C53C805CE028E25021584A7E400';")</f>
        <v>0</v>
      </c>
      <c r="M6">
        <f t="array" ref="M6">CONCATENATE("update msg_out_fld set description = '",D6,"' where tab_name = 'PARTNER_QI_CLASSIFICATION' and fld_name = 'QI_CLASSIFICATION_CD';")</f>
        <v>0</v>
      </c>
    </row>
    <row r="7" spans="1:13">
      <c r="A7" t="s">
        <v>25</v>
      </c>
      <c r="C7" t="s">
        <v>26</v>
      </c>
      <c r="D7" s="2" t="s">
        <v>24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'7D12032132D1883B168A8DE86A7D33C6';")</f>
        <v>0</v>
      </c>
      <c r="M7">
        <f t="array" ref="M7">CONCATENATE("update msg_out_fld set description = '",D7,"' where tab_name = 'PARTNER_QI_CLASSIFICATION' and fld_name = 'LOESCH_CD';")</f>
        <v>0</v>
      </c>
    </row>
    <row r="8" spans="1:13">
      <c r="A8" t="s">
        <v>32</v>
      </c>
      <c r="C8" t="s">
        <v>104</v>
      </c>
      <c r="D8" t="s">
        <v>31</v>
      </c>
      <c r="H8" t="s">
        <v>31</v>
      </c>
      <c r="K8">
        <f t="array" ref="K8">CONCATENATE("update msg_out_fld_config set msg_fld_name = '",A8,"' where cd = 'F1DC569E9067E660BC0D51A115EE3382';")</f>
        <v>0</v>
      </c>
      <c r="M8">
        <f t="array" ref="M8">CONCATENATE("update msg_out_fld set description = '",D8,"' where tab_name = 'PARTNER_QI_CLASSIFICATION' and fld_name = 'LOESCHDATUM';")</f>
        <v>0</v>
      </c>
    </row>
    <row r="9" spans="1:13">
      <c r="A9" t="s">
        <v>36</v>
      </c>
      <c r="C9" t="s">
        <v>37</v>
      </c>
      <c r="D9" t="s">
        <v>35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'27F88C79B7AD4B9CDA7A964621C50862';")</f>
        <v>0</v>
      </c>
      <c r="M9">
        <f t="array" ref="M9">CONCATENATE("update msg_out_fld set description = '",D9,"' where tab_name = 'PARTNER_QI_CLASSIFICATION' and fld_name = 'LOESCHUSER';")</f>
        <v>0</v>
      </c>
    </row>
    <row r="10" spans="1:13">
      <c r="A10" t="s">
        <v>45</v>
      </c>
      <c r="C10" t="s">
        <v>104</v>
      </c>
      <c r="D10" t="s">
        <v>44</v>
      </c>
      <c r="H10" t="s">
        <v>44</v>
      </c>
      <c r="K10">
        <f t="array" ref="K10">CONCATENATE("update msg_out_fld_config set msg_fld_name = '",A10,"' where cd = '25B03A2FE26933128CEF226E98FC84BA';")</f>
        <v>0</v>
      </c>
      <c r="M10">
        <f t="array" ref="M10">CONCATENATE("update msg_out_fld set description = '",D10,"' where tab_name = 'PARTNER_QI_CLASSIFICATION' and fld_name = 'CRTDATUM';")</f>
        <v>0</v>
      </c>
    </row>
    <row r="11" spans="1:13">
      <c r="A11" t="s">
        <v>48</v>
      </c>
      <c r="C11" t="s">
        <v>37</v>
      </c>
      <c r="D11" t="s">
        <v>47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'8B2471641B9B315C9F741BBAACFA89AC';")</f>
        <v>0</v>
      </c>
      <c r="M11">
        <f t="array" ref="M11">CONCATENATE("update msg_out_fld set description = '",D11,"' where tab_name = 'PARTNER_QI_CLASSIFICATION' and fld_name = 'CRTUSER';")</f>
        <v>0</v>
      </c>
    </row>
    <row r="12" spans="1:13">
      <c r="A12" t="s">
        <v>55</v>
      </c>
      <c r="C12" t="s">
        <v>1579</v>
      </c>
      <c r="D12" s="2" t="s">
        <v>2685</v>
      </c>
      <c r="H12" t="s">
        <v>2685</v>
      </c>
      <c r="K12">
        <f t="array" ref="K12">CONCATENATE("update msg_out_fld_config set msg_fld_name = '",A12,"' where cd = 'D22F7C2DE3B7756956F08BFF4D2D12B6';")</f>
        <v>0</v>
      </c>
      <c r="M12">
        <f t="array" ref="M12">CONCATENATE("update msg_out_fld set description = '",D12,"' where tab_name = 'PARTNER_QI_CLASSIFICATION' and fld_name = 'QI_CLASSIFICATION';")</f>
        <v>0</v>
      </c>
    </row>
    <row r="13" spans="1:13">
      <c r="A13" t="s">
        <v>2687</v>
      </c>
      <c r="C13" t="s">
        <v>758</v>
      </c>
      <c r="D13" t="s">
        <v>2688</v>
      </c>
      <c r="E13" t="s">
        <v>804</v>
      </c>
      <c r="F13" t="s">
        <v>23</v>
      </c>
      <c r="H13" t="s">
        <v>2686</v>
      </c>
      <c r="K13">
        <f t="array" ref="K13">CONCATENATE("update msg_out_fld_config set msg_fld_name = '",A13,"' where cd = 'DBA6E521D00FB830ABCAC294FE48DF3D';")</f>
        <v>0</v>
      </c>
      <c r="M13">
        <f t="array" ref="M13">CONCATENATE("update msg_out_fld set description = '",D13,"' where tab_name = 'PARTNER_QI_CLASSIFICATION' and fld_name = 'DEFAULT_RECIPIENT_TYPE_CD';")</f>
        <v>0</v>
      </c>
    </row>
    <row r="14" spans="1:13">
      <c r="A14" t="s">
        <v>2689</v>
      </c>
      <c r="C14" t="s">
        <v>90</v>
      </c>
      <c r="D14" t="s">
        <v>2690</v>
      </c>
      <c r="E14" t="s">
        <v>2691</v>
      </c>
      <c r="F14" t="s">
        <v>23</v>
      </c>
      <c r="H14" t="s">
        <v>2053</v>
      </c>
      <c r="K14">
        <f t="array" ref="K14">CONCATENATE("update msg_out_fld_config set msg_fld_name = '",A14,"' where cd = '6FE44CD2FAA79FF9A2D1DA141DB3244E';")</f>
        <v>0</v>
      </c>
      <c r="M14">
        <f t="array" ref="M14">CONCATENATE("update msg_out_fld set description = '",D14,"' where tab_name = 'PARTNER_QI_CLASSIFICATION' and fld_name = 'GENERAL_CLASSIFICATION_CD';")</f>
        <v>0</v>
      </c>
    </row>
    <row r="15" spans="1:13">
      <c r="A15" t="s">
        <v>2693</v>
      </c>
      <c r="C15" t="s">
        <v>26</v>
      </c>
      <c r="D15" t="s">
        <v>2694</v>
      </c>
      <c r="E15" t="s">
        <v>28</v>
      </c>
      <c r="F15" t="s">
        <v>29</v>
      </c>
      <c r="G15" t="s">
        <v>30</v>
      </c>
      <c r="H15" t="s">
        <v>2692</v>
      </c>
      <c r="K15">
        <f t="array" ref="K15">CONCATENATE("update msg_out_fld_config set msg_fld_name = '",A15,"' where cd = '38D0C8DF391FD00E6CFA44AE8DFCA6CE';")</f>
        <v>0</v>
      </c>
      <c r="M15">
        <f t="array" ref="M15">CONCATENATE("update msg_out_fld set description = '",D15,"' where tab_name = 'PARTNER_QI_CLASSIFICATION' and fld_name = 'EIN_REQUIRED_CD';")</f>
        <v>0</v>
      </c>
    </row>
    <row r="16" spans="1:13">
      <c r="A16" t="s">
        <v>58</v>
      </c>
      <c r="C16" t="s">
        <v>104</v>
      </c>
      <c r="D16" t="s">
        <v>57</v>
      </c>
      <c r="H16" t="s">
        <v>57</v>
      </c>
      <c r="K16">
        <f t="array" ref="K16">CONCATENATE("update msg_out_fld_config set msg_fld_name = '",A16,"' where cd = 'CB8AEFDC96F244B5219D6181FF6032C5';")</f>
        <v>0</v>
      </c>
      <c r="M16">
        <f t="array" ref="M16">CONCATENATE("update msg_out_fld set description = '",D16,"' where tab_name = 'PARTNER_QI_CLASSIFICATION' and fld_name = 'MUTDATUM';")</f>
        <v>0</v>
      </c>
    </row>
    <row r="17" spans="1:13">
      <c r="A17" t="s">
        <v>61</v>
      </c>
      <c r="C17" t="s">
        <v>37</v>
      </c>
      <c r="D17" t="s">
        <v>60</v>
      </c>
      <c r="E17" t="s">
        <v>39</v>
      </c>
      <c r="F17" t="s">
        <v>23</v>
      </c>
      <c r="H17" t="s">
        <v>60</v>
      </c>
      <c r="K17">
        <f t="array" ref="K17">CONCATENATE("update msg_out_fld_config set msg_fld_name = '",A17,"' where cd = '510EC5CE77E6CBDCCFEE5CE3384DDFB3';")</f>
        <v>0</v>
      </c>
      <c r="M17">
        <f t="array" ref="M17">CONCATENATE("update msg_out_fld set description = '",D17,"' where tab_name = 'PARTNER_QI_CLASSIFICATION' and fld_name = 'MUTUSER';")</f>
        <v>0</v>
      </c>
    </row>
    <row r="18" spans="1:13">
      <c r="A18" t="s">
        <v>2696</v>
      </c>
      <c r="C18" t="s">
        <v>90</v>
      </c>
      <c r="D18" t="s">
        <v>2697</v>
      </c>
      <c r="E18" t="s">
        <v>2698</v>
      </c>
      <c r="F18" t="s">
        <v>29</v>
      </c>
      <c r="G18" t="s">
        <v>2039</v>
      </c>
      <c r="H18" t="s">
        <v>2695</v>
      </c>
      <c r="K18">
        <f t="array" ref="K18">CONCATENATE("update msg_out_fld_config set msg_fld_name = '",A18,"' where cd = '1267F55B4D99F4FAAD7492C8F4991692';")</f>
        <v>0</v>
      </c>
      <c r="M18">
        <f t="array" ref="M18">CONCATENATE("update msg_out_fld set description = '",D18,"' where tab_name = 'PARTNER_QI_CLASSIFICATION' and fld_name = 'DEFAULT_QI_REPORTING_CD';")</f>
        <v>0</v>
      </c>
    </row>
    <row r="19" spans="1:13">
      <c r="A19" t="s">
        <v>2700</v>
      </c>
      <c r="C19" t="s">
        <v>90</v>
      </c>
      <c r="D19" t="s">
        <v>2701</v>
      </c>
      <c r="E19" t="s">
        <v>2702</v>
      </c>
      <c r="F19" t="s">
        <v>29</v>
      </c>
      <c r="G19" t="s">
        <v>2039</v>
      </c>
      <c r="H19" t="s">
        <v>2699</v>
      </c>
      <c r="K19">
        <f t="array" ref="K19">CONCATENATE("update msg_out_fld_config set msg_fld_name = '",A19,"' where cd = '23958A40761D5AD4D75F89040D4EF25E';")</f>
        <v>0</v>
      </c>
      <c r="M19">
        <f t="array" ref="M19">CONCATENATE("update msg_out_fld set description = '",D19,"' where tab_name = 'PARTNER_QI_CLASSIFICATION' and fld_name = 'TYPE_QI_REPORTING_CD';")</f>
        <v>0</v>
      </c>
    </row>
    <row r="20" spans="1:13">
      <c r="A20" t="s">
        <v>2065</v>
      </c>
      <c r="C20" t="s">
        <v>26</v>
      </c>
      <c r="D20" t="s">
        <v>2066</v>
      </c>
      <c r="E20" t="s">
        <v>28</v>
      </c>
      <c r="F20" t="s">
        <v>29</v>
      </c>
      <c r="G20" t="s">
        <v>30</v>
      </c>
      <c r="H20" t="s">
        <v>2703</v>
      </c>
      <c r="K20">
        <f t="array" ref="K20">CONCATENATE("update msg_out_fld_config set msg_fld_name = '",A20,"' where cd = 'AD43AEDC74A4288C0C9E2A088500A11A';")</f>
        <v>0</v>
      </c>
      <c r="M20">
        <f t="array" ref="M20">CONCATENATE("update msg_out_fld set description = '",D20,"' where tab_name = 'PARTNER_QI_CLASSIFICATION' and fld_name = 'SUITABLE_FOR_US_CD';")</f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5.140625" customWidth="1"/>
    <col min="5" max="5" width="34.28515625" customWidth="1"/>
    <col min="6" max="6" width="10.28515625" customWidth="1"/>
    <col min="7" max="7" width="15.140625" customWidth="1"/>
    <col min="8" max="8" width="16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0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2704</v>
      </c>
    </row>
    <row r="2" spans="1:13">
      <c r="A2" s="1" t="s">
        <v>2705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1951</v>
      </c>
      <c r="K6">
        <f t="array" ref="K6">CONCATENATE("update msg_out_fld_config set msg_fld_name = '",A6,"' where cd = '1CBC25A3D7F0D88A53BCA08888EFE486';")</f>
        <v>0</v>
      </c>
      <c r="M6">
        <f t="array" ref="M6">CONCATENATE("update msg_out_fld set description = '",D6,"' where tab_name = 'IMMOBILIEN' and fld_name = 'IMMOBILIEN_CD';")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'9293483532AADF4BD232B460A0CE33D3';")</f>
        <v>0</v>
      </c>
      <c r="M7">
        <f t="array" ref="M7">CONCATENATE("update msg_out_fld set description = '",D7,"' where tab_name = 'IMMOBILIEN'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'5A7DA1477B790073A72409E32A8F76D5';")</f>
        <v>0</v>
      </c>
      <c r="M8">
        <f t="array" ref="M8">CONCATENATE("update msg_out_fld set description = '",D8,"' where tab_name = 'IMMOBILIEN'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'178EFD4D92E8017EE3512726DD58D3AE';")</f>
        <v>0</v>
      </c>
      <c r="M9">
        <f t="array" ref="M9">CONCATENATE("update msg_out_fld set description = '",D9,"' where tab_name = 'IMMOBILIEN'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'2FA17B2F810E411A61313E61D63AC4B6';")</f>
        <v>0</v>
      </c>
      <c r="M10">
        <f t="array" ref="M10">CONCATENATE("update msg_out_fld set description = '",D10,"' where tab_name = 'IMMOBILIEN'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'F50057502D521D817665108AA6463739';")</f>
        <v>0</v>
      </c>
      <c r="M11">
        <f t="array" ref="M11">CONCATENATE("update msg_out_fld set description = '",D11,"' where tab_name = 'IMMOBILIEN' and fld_name = 'CRTUSER';")</f>
        <v>0</v>
      </c>
    </row>
    <row r="12" spans="1:13">
      <c r="A12" t="s">
        <v>55</v>
      </c>
      <c r="C12" t="s">
        <v>37</v>
      </c>
      <c r="D12" t="s">
        <v>2707</v>
      </c>
      <c r="H12" t="s">
        <v>2706</v>
      </c>
      <c r="K12">
        <f t="array" ref="K12">CONCATENATE("update msg_out_fld_config set msg_fld_name = '",A12,"' where cd = '6FDCDE98A3AC8452ABF325377C45F028';")</f>
        <v>0</v>
      </c>
      <c r="M12">
        <f t="array" ref="M12">CONCATENATE("update msg_out_fld set description = '",D12,"' where tab_name = 'IMMOBILIEN' and fld_name = 'IMMOBILIEN';")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'36401AF6238353B27B9B6B1DA5A9DACC';")</f>
        <v>0</v>
      </c>
      <c r="M13">
        <f t="array" ref="M13">CONCATENATE("update msg_out_fld set description = '",D13,"' where tab_name = 'IMMOBILIEN'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'7EAF2FABAE1F613E726B9A14076C9559';")</f>
        <v>0</v>
      </c>
      <c r="M14">
        <f t="array" ref="M14">CONCATENATE("update msg_out_fld set description = '",D14,"' where tab_name = 'IMMOBILIEN' and fld_name = 'MUTUSER';")</f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cols>
    <col min="1" max="1" width="36.7109375" customWidth="1"/>
    <col min="2" max="2" width="4.28515625" customWidth="1"/>
    <col min="3" max="3" width="16.28515625" customWidth="1"/>
    <col min="4" max="4" width="57.140625" customWidth="1"/>
    <col min="5" max="5" width="63.140625" customWidth="1"/>
    <col min="6" max="6" width="10.28515625" customWidth="1"/>
    <col min="7" max="7" width="29.5703125" customWidth="1"/>
    <col min="8" max="8" width="34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5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2708</v>
      </c>
    </row>
    <row r="2" spans="1:13">
      <c r="A2" s="1" t="s">
        <v>2709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90</v>
      </c>
      <c r="D6" t="s">
        <v>2711</v>
      </c>
      <c r="H6" t="s">
        <v>2710</v>
      </c>
      <c r="K6">
        <f t="array" ref="K6">CONCATENATE("update msg_out_fld_config set msg_fld_name = '",A6,"' where cd = 'F25884C8ACA1D1DA152FD7B0ABAAA215';")</f>
        <v>0</v>
      </c>
      <c r="M6">
        <f t="array" ref="M6">CONCATENATE("update msg_out_fld set description = '",D6,"' where tab_name = 'KUNDENBEZIEHUNG' and fld_name = 'KUNDENBEZIEHUNGID';")</f>
        <v>0</v>
      </c>
    </row>
    <row r="7" spans="1:13">
      <c r="A7" t="s">
        <v>93</v>
      </c>
      <c r="C7" t="s">
        <v>90</v>
      </c>
      <c r="D7" t="s">
        <v>1176</v>
      </c>
      <c r="H7" t="s">
        <v>92</v>
      </c>
      <c r="K7">
        <f t="array" ref="K7">CONCATENATE("update msg_out_fld_config set msg_fld_name = '",A7,"' where cd = '5AFEE7A6AA4A62A85B86FF3E36CE646F';")</f>
        <v>0</v>
      </c>
      <c r="M7">
        <f t="array" ref="M7">CONCATENATE("update msg_out_fld set description = '",D7,"' where tab_name = 'KUNDENBEZIEHUNG' and fld_name = 'AKTID';")</f>
        <v>0</v>
      </c>
    </row>
    <row r="8" spans="1:13">
      <c r="A8" t="s">
        <v>1014</v>
      </c>
      <c r="C8" t="s">
        <v>90</v>
      </c>
      <c r="D8" t="s">
        <v>91</v>
      </c>
      <c r="H8" t="s">
        <v>88</v>
      </c>
      <c r="K8">
        <f t="array" ref="K8">CONCATENATE("update msg_out_fld_config set msg_fld_name = '",A8,"' where cd = 'F7717FC09612A4A0CE43E128996485E0';")</f>
        <v>0</v>
      </c>
      <c r="M8">
        <f t="array" ref="M8">CONCATENATE("update msg_out_fld set description = '",D8,"' where tab_name = 'KUNDENBEZIEHUNG' and fld_name = 'ADRESSID';")</f>
        <v>0</v>
      </c>
    </row>
    <row r="9" spans="1:13">
      <c r="A9" t="s">
        <v>2713</v>
      </c>
      <c r="C9" t="s">
        <v>26</v>
      </c>
      <c r="D9" t="s">
        <v>2714</v>
      </c>
      <c r="E9" t="s">
        <v>28</v>
      </c>
      <c r="F9" t="s">
        <v>29</v>
      </c>
      <c r="G9" t="s">
        <v>30</v>
      </c>
      <c r="H9" t="s">
        <v>2712</v>
      </c>
      <c r="K9">
        <f t="array" ref="K9">CONCATENATE("update msg_out_fld_config set msg_fld_name = '",A9,"' where cd = 'C7C9DA89943F096DF869BA9F822E3CB8';")</f>
        <v>0</v>
      </c>
      <c r="M9">
        <f t="array" ref="M9">CONCATENATE("update msg_out_fld set description = '",D9,"' where tab_name = 'KUNDENBEZIEHUNG' and fld_name = 'APSYS_FLAGTITUAEOII';")</f>
        <v>0</v>
      </c>
    </row>
    <row r="10" spans="1:13">
      <c r="A10" t="s">
        <v>656</v>
      </c>
      <c r="C10" t="s">
        <v>90</v>
      </c>
      <c r="D10" t="s">
        <v>657</v>
      </c>
      <c r="H10" t="s">
        <v>655</v>
      </c>
      <c r="K10">
        <f t="array" ref="K10">CONCATENATE("update msg_out_fld_config set msg_fld_name = '",A10,"' where cd = 'F8DCD6D0CEE27C1A596CBF733CAA26BD';")</f>
        <v>0</v>
      </c>
      <c r="M10">
        <f t="array" ref="M10">CONCATENATE("update msg_out_fld set description = '",D10,"' where tab_name = 'KUNDENBEZIEHUNG' and fld_name = 'APSYS_ERRI';")</f>
        <v>0</v>
      </c>
    </row>
    <row r="11" spans="1:13">
      <c r="A11" t="s">
        <v>659</v>
      </c>
      <c r="C11" t="s">
        <v>75</v>
      </c>
      <c r="D11" t="s">
        <v>660</v>
      </c>
      <c r="H11" t="s">
        <v>658</v>
      </c>
      <c r="K11">
        <f t="array" ref="K11">CONCATENATE("update msg_out_fld_config set msg_fld_name = '",A11,"' where cd = '5AB66A61B5A56656B21EC0A90A4E651A';")</f>
        <v>0</v>
      </c>
      <c r="M11">
        <f t="array" ref="M11">CONCATENATE("update msg_out_fld set description = '",D11,"' where tab_name = 'KUNDENBEZIEHUNG' and fld_name = 'APSYS_INFO';")</f>
        <v>0</v>
      </c>
    </row>
    <row r="12" spans="1:13">
      <c r="A12" t="s">
        <v>2716</v>
      </c>
      <c r="C12" t="s">
        <v>26</v>
      </c>
      <c r="D12" t="s">
        <v>2717</v>
      </c>
      <c r="E12" t="s">
        <v>2718</v>
      </c>
      <c r="F12" t="s">
        <v>29</v>
      </c>
      <c r="G12" t="s">
        <v>2719</v>
      </c>
      <c r="H12" t="s">
        <v>2715</v>
      </c>
      <c r="K12">
        <f t="array" ref="K12">CONCATENATE("update msg_out_fld_config set msg_fld_name = '",A12,"' where cd = '4E2C26CF237C00F022D0A1F2F42DB848';")</f>
        <v>0</v>
      </c>
      <c r="M12">
        <f t="array" ref="M12">CONCATENATE("update msg_out_fld set description = '",D12,"' where tab_name = 'KUNDENBEZIEHUNG' and fld_name = 'APSYS_CDTITUC';")</f>
        <v>0</v>
      </c>
    </row>
    <row r="13" spans="1:13">
      <c r="A13" t="s">
        <v>663</v>
      </c>
      <c r="C13" t="s">
        <v>664</v>
      </c>
      <c r="D13" t="s">
        <v>665</v>
      </c>
      <c r="E13" t="s">
        <v>666</v>
      </c>
      <c r="F13" t="s">
        <v>29</v>
      </c>
      <c r="G13" t="s">
        <v>667</v>
      </c>
      <c r="H13" t="s">
        <v>662</v>
      </c>
      <c r="K13">
        <f t="array" ref="K13">CONCATENATE("update msg_out_fld_config set msg_fld_name = '",A13,"' where cd = '306EF82430A71DCA7E802E02B246FDB7';")</f>
        <v>0</v>
      </c>
      <c r="M13">
        <f t="array" ref="M13">CONCATENATE("update msg_out_fld set description = '",D13,"' where tab_name = 'KUNDENBEZIEHUNG' and fld_name = 'APSYS_STATUS_OPEC';")</f>
        <v>0</v>
      </c>
    </row>
    <row r="14" spans="1:13">
      <c r="A14" t="s">
        <v>2721</v>
      </c>
      <c r="C14" t="s">
        <v>42</v>
      </c>
      <c r="D14" t="s">
        <v>2722</v>
      </c>
      <c r="H14" t="s">
        <v>2720</v>
      </c>
      <c r="K14">
        <f t="array" ref="K14">CONCATENATE("update msg_out_fld_config set msg_fld_name = '",A14,"' where cd = 'C8E983D0EC13B101B1C22CBBCB8C0481';")</f>
        <v>0</v>
      </c>
      <c r="M14">
        <f t="array" ref="M14">CONCATENATE("update msg_out_fld set description = '",D14,"' where tab_name = 'KUNDENBEZIEHUNG' and fld_name = 'VOLLMACHTMIT';")</f>
        <v>0</v>
      </c>
    </row>
    <row r="15" spans="1:13">
      <c r="A15" t="s">
        <v>2724</v>
      </c>
      <c r="C15" t="s">
        <v>26</v>
      </c>
      <c r="D15" t="s">
        <v>2725</v>
      </c>
      <c r="E15" t="s">
        <v>28</v>
      </c>
      <c r="F15" t="s">
        <v>29</v>
      </c>
      <c r="G15" t="s">
        <v>30</v>
      </c>
      <c r="H15" t="s">
        <v>2723</v>
      </c>
      <c r="K15">
        <f t="array" ref="K15">CONCATENATE("update msg_out_fld_config set msg_fld_name = '",A15,"' where cd = 'EA5779AC5DBF12528FF1B3C65FEE2F01';")</f>
        <v>0</v>
      </c>
      <c r="M15">
        <f t="array" ref="M15">CONCATENATE("update msg_out_fld set description = '",D15,"' where tab_name = 'KUNDENBEZIEHUNG' and fld_name = 'NUTZNIESSERBEZGEBUEHR_CD';")</f>
        <v>0</v>
      </c>
    </row>
    <row r="16" spans="1:13">
      <c r="A16" t="s">
        <v>2727</v>
      </c>
      <c r="C16" t="s">
        <v>671</v>
      </c>
      <c r="D16" t="s">
        <v>2728</v>
      </c>
      <c r="H16" t="s">
        <v>2726</v>
      </c>
      <c r="K16">
        <f t="array" ref="K16">CONCATENATE("update msg_out_fld_config set msg_fld_name = '",A16,"' where cd = '4A5B113A67BB9585F1BC8B774D73160E';")</f>
        <v>0</v>
      </c>
      <c r="M16">
        <f t="array" ref="M16">CONCATENATE("update msg_out_fld set description = '",D16,"' where tab_name = 'KUNDENBEZIEHUNG' and fld_name = 'KREIS_VON_BEG_BEMERKUNG';")</f>
        <v>0</v>
      </c>
    </row>
    <row r="17" spans="1:13">
      <c r="A17" t="s">
        <v>2730</v>
      </c>
      <c r="C17" t="s">
        <v>90</v>
      </c>
      <c r="D17" t="s">
        <v>2731</v>
      </c>
      <c r="E17" t="s">
        <v>493</v>
      </c>
      <c r="G17" t="s">
        <v>494</v>
      </c>
      <c r="H17" t="s">
        <v>2729</v>
      </c>
      <c r="K17">
        <f t="array" ref="K17">CONCATENATE("update msg_out_fld_config set msg_fld_name = '",A17,"' where cd = 'DF4C368BF50EB872FE192F589D904BBE';")</f>
        <v>0</v>
      </c>
      <c r="M17">
        <f t="array" ref="M17">CONCATENATE("update msg_out_fld set description = '",D17,"' where tab_name = 'KUNDENBEZIEHUNG' and fld_name = 'NUTZNIESSERPORTFOLIONO';")</f>
        <v>0</v>
      </c>
    </row>
    <row r="18" spans="1:13">
      <c r="A18" t="s">
        <v>421</v>
      </c>
      <c r="C18" t="s">
        <v>90</v>
      </c>
      <c r="D18" t="s">
        <v>422</v>
      </c>
      <c r="E18" t="s">
        <v>1184</v>
      </c>
      <c r="H18" t="s">
        <v>420</v>
      </c>
      <c r="K18">
        <f t="array" ref="K18">CONCATENATE("update msg_out_fld_config set msg_fld_name = '",A18,"' where cd = '35D3F052BA93D88C0F25DD7AA14E4475';")</f>
        <v>0</v>
      </c>
      <c r="M18">
        <f t="array" ref="M18">CONCATENATE("update msg_out_fld set description = '",D18,"' where tab_name = 'KUNDENBEZIEHUNG' and fld_name = 'KUNDENID';")</f>
        <v>0</v>
      </c>
    </row>
    <row r="19" spans="1:13">
      <c r="A19" t="s">
        <v>2733</v>
      </c>
      <c r="C19" t="s">
        <v>68</v>
      </c>
      <c r="D19" t="s">
        <v>2734</v>
      </c>
      <c r="E19" t="s">
        <v>2735</v>
      </c>
      <c r="F19" t="s">
        <v>23</v>
      </c>
      <c r="H19" t="s">
        <v>2732</v>
      </c>
      <c r="K19">
        <f t="array" ref="K19">CONCATENATE("update msg_out_fld_config set msg_fld_name = '",A19,"' where cd = '1F087434B83602D288E84EC0BCEA6572';")</f>
        <v>0</v>
      </c>
      <c r="M19">
        <f t="array" ref="M19">CONCATENATE("update msg_out_fld set description = '",D19,"' where tab_name = 'KUNDENBEZIEHUNG' and fld_name = 'CONTROLLING_PERSON_OF_A_CD';")</f>
        <v>0</v>
      </c>
    </row>
    <row r="20" spans="1:13">
      <c r="A20" t="s">
        <v>45</v>
      </c>
      <c r="C20" t="s">
        <v>33</v>
      </c>
      <c r="D20" t="s">
        <v>2736</v>
      </c>
      <c r="H20" t="s">
        <v>44</v>
      </c>
      <c r="K20">
        <f t="array" ref="K20">CONCATENATE("update msg_out_fld_config set msg_fld_name = '",A20,"' where cd = '0162B5D495204F9B075A477D5B333B32';")</f>
        <v>0</v>
      </c>
      <c r="M20">
        <f t="array" ref="M20">CONCATENATE("update msg_out_fld set description = '",D20,"' where tab_name = 'KUNDENBEZIEHUNG' and fld_name = 'CRTDATUM';")</f>
        <v>0</v>
      </c>
    </row>
    <row r="21" spans="1:13">
      <c r="A21" t="s">
        <v>48</v>
      </c>
      <c r="C21" t="s">
        <v>37</v>
      </c>
      <c r="D21" t="s">
        <v>2737</v>
      </c>
      <c r="E21" t="s">
        <v>39</v>
      </c>
      <c r="F21" t="s">
        <v>23</v>
      </c>
      <c r="H21" t="s">
        <v>47</v>
      </c>
      <c r="K21">
        <f t="array" ref="K21">CONCATENATE("update msg_out_fld_config set msg_fld_name = '",A21,"' where cd = 'ED4C157532F06F679CA5CC2D953F7342';")</f>
        <v>0</v>
      </c>
      <c r="M21">
        <f t="array" ref="M21">CONCATENATE("update msg_out_fld set description = '",D21,"' where tab_name = 'KUNDENBEZIEHUNG' and fld_name = 'CRTUSER';")</f>
        <v>0</v>
      </c>
    </row>
    <row r="22" spans="1:13">
      <c r="A22" t="s">
        <v>2739</v>
      </c>
      <c r="C22" t="s">
        <v>90</v>
      </c>
      <c r="D22" t="s">
        <v>2740</v>
      </c>
      <c r="E22" t="s">
        <v>493</v>
      </c>
      <c r="G22" t="s">
        <v>494</v>
      </c>
      <c r="H22" t="s">
        <v>2738</v>
      </c>
      <c r="K22">
        <f t="array" ref="K22">CONCATENATE("update msg_out_fld_config set msg_fld_name = '",A22,"' where cd = '09EF80CB799F3CC4F7E1470DDF3F73FF';")</f>
        <v>0</v>
      </c>
      <c r="M22">
        <f t="array" ref="M22">CONCATENATE("update msg_out_fld set description = '",D22,"' where tab_name = 'KUNDENBEZIEHUNG' and fld_name = 'SCHULDNERPORTFOLIONO';")</f>
        <v>0</v>
      </c>
    </row>
    <row r="23" spans="1:13">
      <c r="A23" t="s">
        <v>2742</v>
      </c>
      <c r="C23" t="s">
        <v>26</v>
      </c>
      <c r="D23" t="s">
        <v>2743</v>
      </c>
      <c r="E23" t="s">
        <v>2744</v>
      </c>
      <c r="F23" t="s">
        <v>29</v>
      </c>
      <c r="G23" t="s">
        <v>2745</v>
      </c>
      <c r="H23" t="s">
        <v>2741</v>
      </c>
      <c r="K23">
        <f t="array" ref="K23">CONCATENATE("update msg_out_fld_config set msg_fld_name = '",A23,"' where cd = '3EE0540B7320ACFAFB8A5F0D59902572';")</f>
        <v>0</v>
      </c>
      <c r="M23">
        <f t="array" ref="M23">CONCATENATE("update msg_out_fld set description = '",D23,"' where tab_name = 'KUNDENBEZIEHUNG' and fld_name = 'EUSD_LIABILITY_TREATMENT_CD';")</f>
        <v>0</v>
      </c>
    </row>
    <row r="24" spans="1:13">
      <c r="A24" t="s">
        <v>2747</v>
      </c>
      <c r="C24" t="s">
        <v>26</v>
      </c>
      <c r="D24" t="s">
        <v>2748</v>
      </c>
      <c r="E24" t="s">
        <v>562</v>
      </c>
      <c r="F24" t="s">
        <v>29</v>
      </c>
      <c r="G24" t="s">
        <v>30</v>
      </c>
      <c r="H24" t="s">
        <v>2746</v>
      </c>
      <c r="K24">
        <f t="array" ref="K24">CONCATENATE("update msg_out_fld_config set msg_fld_name = '",A24,"' where cd = '627C8AA242728851F67645CE19A421A7';")</f>
        <v>0</v>
      </c>
      <c r="M24">
        <f t="array" ref="M24">CONCATENATE("update msg_out_fld set description = '",D24,"' where tab_name = 'KUNDENBEZIEHUNG' and fld_name = 'DET_TAX_BO_EUTAX_CD';")</f>
        <v>0</v>
      </c>
    </row>
    <row r="25" spans="1:13">
      <c r="A25" t="s">
        <v>2750</v>
      </c>
      <c r="C25" t="s">
        <v>68</v>
      </c>
      <c r="D25" t="s">
        <v>2751</v>
      </c>
      <c r="E25" t="s">
        <v>2752</v>
      </c>
      <c r="F25" t="s">
        <v>23</v>
      </c>
      <c r="H25" t="s">
        <v>2749</v>
      </c>
      <c r="K25">
        <f t="array" ref="K25">CONCATENATE("update msg_out_fld_config set msg_fld_name = '",A25,"' where cd = 'EB47F086958334D63528020E2F051F79';")</f>
        <v>0</v>
      </c>
      <c r="M25">
        <f t="array" ref="M25">CONCATENATE("update msg_out_fld set description = '",D25,"' where tab_name = 'KUNDENBEZIEHUNG' and fld_name = 'REASON_FOR_EX_EUTAX';")</f>
        <v>0</v>
      </c>
    </row>
    <row r="26" spans="1:13">
      <c r="A26" t="s">
        <v>2754</v>
      </c>
      <c r="C26" t="s">
        <v>84</v>
      </c>
      <c r="D26" t="s">
        <v>2755</v>
      </c>
      <c r="H26" t="s">
        <v>2753</v>
      </c>
      <c r="K26">
        <f t="array" ref="K26">CONCATENATE("update msg_out_fld_config set msg_fld_name = '",A26,"' where cd = 'BED08D30691CF76C25C335793F2FC307';")</f>
        <v>0</v>
      </c>
      <c r="M26">
        <f t="array" ref="M26">CONCATENATE("update msg_out_fld set description = '",D26,"' where tab_name = 'KUNDENBEZIEHUNG' and fld_name = 'EU_TAXSHARINGPERCENTAGE';")</f>
        <v>0</v>
      </c>
    </row>
    <row r="27" spans="1:13">
      <c r="A27" t="s">
        <v>2757</v>
      </c>
      <c r="C27" t="s">
        <v>104</v>
      </c>
      <c r="D27" t="s">
        <v>2758</v>
      </c>
      <c r="H27" t="s">
        <v>2756</v>
      </c>
      <c r="K27">
        <f t="array" ref="K27">CONCATENATE("update msg_out_fld_config set msg_fld_name = '",A27,"' where cd = 'E90669BE0D6D5B58D50689323167D7B7';")</f>
        <v>0</v>
      </c>
      <c r="M27">
        <f t="array" ref="M27">CONCATENATE("update msg_out_fld set description = '",D27,"' where tab_name = 'KUNDENBEZIEHUNG' and fld_name = 'START_DATE_EUTAX';")</f>
        <v>0</v>
      </c>
    </row>
    <row r="28" spans="1:13">
      <c r="A28" t="s">
        <v>2759</v>
      </c>
      <c r="C28" t="s">
        <v>26</v>
      </c>
      <c r="D28" t="s">
        <v>2760</v>
      </c>
      <c r="E28" t="s">
        <v>2761</v>
      </c>
      <c r="F28" t="s">
        <v>23</v>
      </c>
      <c r="H28" t="s">
        <v>1558</v>
      </c>
      <c r="K28">
        <f t="array" ref="K28">CONCATENATE("update msg_out_fld_config set msg_fld_name = '",A28,"' where cd = 'F48BB510BB72516D643CB847DB149786';")</f>
        <v>0</v>
      </c>
      <c r="M28">
        <f t="array" ref="M28">CONCATENATE("update msg_out_fld set description = '",D28,"' where tab_name = 'KUNDENBEZIEHUNG' and fld_name = 'EU_TAXSTATUS_CD';")</f>
        <v>0</v>
      </c>
    </row>
    <row r="29" spans="1:13">
      <c r="A29" t="s">
        <v>2460</v>
      </c>
      <c r="C29" t="s">
        <v>20</v>
      </c>
      <c r="D29" t="s">
        <v>2762</v>
      </c>
      <c r="E29" t="s">
        <v>2462</v>
      </c>
      <c r="F29" t="s">
        <v>23</v>
      </c>
      <c r="H29" t="s">
        <v>2459</v>
      </c>
      <c r="K29">
        <f t="array" ref="K29">CONCATENATE("update msg_out_fld_config set msg_fld_name = '",A29,"' where cd = 'C1360F56840DBE5A457AA13BE4848933';")</f>
        <v>0</v>
      </c>
      <c r="M29">
        <f t="array" ref="M29">CONCATENATE("update msg_out_fld set description = '",D29,"' where tab_name = 'KUNDENBEZIEHUNG' and fld_name = 'FATCA_BASKET_CD';")</f>
        <v>0</v>
      </c>
    </row>
    <row r="30" spans="1:13">
      <c r="A30" t="s">
        <v>2764</v>
      </c>
      <c r="C30" t="s">
        <v>26</v>
      </c>
      <c r="D30" t="s">
        <v>2765</v>
      </c>
      <c r="E30" t="s">
        <v>562</v>
      </c>
      <c r="F30" t="s">
        <v>29</v>
      </c>
      <c r="G30" t="s">
        <v>30</v>
      </c>
      <c r="H30" t="s">
        <v>2763</v>
      </c>
      <c r="K30">
        <f t="array" ref="K30">CONCATENATE("update msg_out_fld_config set msg_fld_name = '",A30,"' where cd = '23B3C2081BDD47E3ABD027C33A9E632B';")</f>
        <v>0</v>
      </c>
      <c r="M30">
        <f t="array" ref="M30">CONCATENATE("update msg_out_fld set description = '",D30,"' where tab_name = 'KUNDENBEZIEHUNG' and fld_name = 'DET_TAX_BO_FATCA_CD';")</f>
        <v>0</v>
      </c>
    </row>
    <row r="31" spans="1:13">
      <c r="A31" t="s">
        <v>2766</v>
      </c>
      <c r="C31" t="s">
        <v>275</v>
      </c>
      <c r="D31" t="s">
        <v>2767</v>
      </c>
      <c r="E31" t="s">
        <v>1825</v>
      </c>
      <c r="F31" t="s">
        <v>23</v>
      </c>
      <c r="H31" t="s">
        <v>2463</v>
      </c>
      <c r="K31">
        <f t="array" ref="K31">CONCATENATE("update msg_out_fld_config set msg_fld_name = '",A31,"' where cd = 'FEB13931D82A9BA80FC5B7C88D593D77';")</f>
        <v>0</v>
      </c>
      <c r="M31">
        <f t="array" ref="M31">CONCATENATE("update msg_out_fld set description = '",D31,"' where tab_name = 'KUNDENBEZIEHUNG' and fld_name = 'APSYS_IDFATCACLAS';")</f>
        <v>0</v>
      </c>
    </row>
    <row r="32" spans="1:13">
      <c r="A32" t="s">
        <v>2769</v>
      </c>
      <c r="C32" t="s">
        <v>26</v>
      </c>
      <c r="D32" t="s">
        <v>2770</v>
      </c>
      <c r="E32" t="s">
        <v>2771</v>
      </c>
      <c r="F32" t="s">
        <v>29</v>
      </c>
      <c r="G32" t="s">
        <v>2772</v>
      </c>
      <c r="H32" t="s">
        <v>2768</v>
      </c>
      <c r="K32">
        <f t="array" ref="K32">CONCATENATE("update msg_out_fld_config set msg_fld_name = '",A32,"' where cd = '70F21A424312059274B8BEECCC20F67A';")</f>
        <v>0</v>
      </c>
      <c r="M32">
        <f t="array" ref="M32">CONCATENATE("update msg_out_fld set description = '",D32,"' where tab_name = 'KUNDENBEZIEHUNG' and fld_name = 'APSYS_CDFWTOPTREGULFISCFUTC';")</f>
        <v>0</v>
      </c>
    </row>
    <row r="33" spans="1:13">
      <c r="A33" t="s">
        <v>2774</v>
      </c>
      <c r="C33" t="s">
        <v>26</v>
      </c>
      <c r="D33" t="s">
        <v>2775</v>
      </c>
      <c r="E33" t="s">
        <v>2776</v>
      </c>
      <c r="F33" t="s">
        <v>29</v>
      </c>
      <c r="G33" t="s">
        <v>2777</v>
      </c>
      <c r="H33" t="s">
        <v>2773</v>
      </c>
      <c r="K33">
        <f t="array" ref="K33">CONCATENATE("update msg_out_fld_config set msg_fld_name = '",A33,"' where cd = 'E99DE16160AEEB0F3FA3EABA72A41DC0';")</f>
        <v>0</v>
      </c>
      <c r="M33">
        <f t="array" ref="M33">CONCATENATE("update msg_out_fld set description = '",D33,"' where tab_name = 'KUNDENBEZIEHUNG' and fld_name = 'APSYS_CDFWTOPTREGULFISCANCC';")</f>
        <v>0</v>
      </c>
    </row>
    <row r="34" spans="1:13">
      <c r="A34" t="s">
        <v>2779</v>
      </c>
      <c r="C34" t="s">
        <v>26</v>
      </c>
      <c r="D34" t="s">
        <v>2780</v>
      </c>
      <c r="E34" t="s">
        <v>2781</v>
      </c>
      <c r="F34" t="s">
        <v>29</v>
      </c>
      <c r="G34" t="s">
        <v>2782</v>
      </c>
      <c r="H34" t="s">
        <v>2778</v>
      </c>
      <c r="K34">
        <f t="array" ref="K34">CONCATENATE("update msg_out_fld_config set msg_fld_name = '",A34,"' where cd = 'F26FE72546C8599A67E153B7DE2B6DD8';")</f>
        <v>0</v>
      </c>
      <c r="M34">
        <f t="array" ref="M34">CONCATENATE("update msg_out_fld set description = '",D34,"' where tab_name = 'KUNDENBEZIEHUNG' and fld_name = 'APSYS_CDFWTSTATREGULFISCANCC';")</f>
        <v>0</v>
      </c>
    </row>
    <row r="35" spans="1:13">
      <c r="A35" t="s">
        <v>2784</v>
      </c>
      <c r="C35" t="s">
        <v>26</v>
      </c>
      <c r="D35" t="s">
        <v>2785</v>
      </c>
      <c r="E35" t="s">
        <v>562</v>
      </c>
      <c r="F35" t="s">
        <v>29</v>
      </c>
      <c r="G35" t="s">
        <v>30</v>
      </c>
      <c r="H35" t="s">
        <v>2783</v>
      </c>
      <c r="K35">
        <f t="array" ref="K35">CONCATENATE("update msg_out_fld_config set msg_fld_name = '",A35,"' where cd = 'E5220243C0E7C984A0047CDAA32AE09F';")</f>
        <v>0</v>
      </c>
      <c r="M35">
        <f t="array" ref="M35">CONCATENATE("update msg_out_fld set description = '",D35,"' where tab_name = 'KUNDENBEZIEHUNG' and fld_name = 'DET_TAX_BO_FWHT_CD';")</f>
        <v>0</v>
      </c>
    </row>
    <row r="36" spans="1:13">
      <c r="A36" t="s">
        <v>2787</v>
      </c>
      <c r="C36" t="s">
        <v>68</v>
      </c>
      <c r="D36" t="s">
        <v>2788</v>
      </c>
      <c r="E36" t="s">
        <v>2752</v>
      </c>
      <c r="F36" t="s">
        <v>23</v>
      </c>
      <c r="H36" t="s">
        <v>2786</v>
      </c>
      <c r="K36">
        <f t="array" ref="K36">CONCATENATE("update msg_out_fld_config set msg_fld_name = '",A36,"' where cd = '464975A8035DA82CBF5E14D5C179A6F3';")</f>
        <v>0</v>
      </c>
      <c r="M36">
        <f t="array" ref="M36">CONCATENATE("update msg_out_fld set description = '",D36,"' where tab_name = 'KUNDENBEZIEHUNG' and fld_name = 'REASON_FOR_EX_FWHT';")</f>
        <v>0</v>
      </c>
    </row>
    <row r="37" spans="1:13">
      <c r="A37" t="s">
        <v>2790</v>
      </c>
      <c r="C37" t="s">
        <v>104</v>
      </c>
      <c r="D37" t="s">
        <v>2791</v>
      </c>
      <c r="H37" t="s">
        <v>2789</v>
      </c>
      <c r="K37">
        <f t="array" ref="K37">CONCATENATE("update msg_out_fld_config set msg_fld_name = '",A37,"' where cd = '3B11E416B6FD2D5FF6F31CD7ADDF36EE';")</f>
        <v>0</v>
      </c>
      <c r="M37">
        <f t="array" ref="M37">CONCATENATE("update msg_out_fld set description = '",D37,"' where tab_name = 'KUNDENBEZIEHUNG' and fld_name = 'START_DATE_FWHT';")</f>
        <v>0</v>
      </c>
    </row>
    <row r="38" spans="1:13">
      <c r="A38" t="s">
        <v>2793</v>
      </c>
      <c r="C38" t="s">
        <v>26</v>
      </c>
      <c r="D38" t="s">
        <v>2794</v>
      </c>
      <c r="E38" t="s">
        <v>28</v>
      </c>
      <c r="F38" t="s">
        <v>29</v>
      </c>
      <c r="G38" t="s">
        <v>30</v>
      </c>
      <c r="H38" t="s">
        <v>2792</v>
      </c>
      <c r="K38">
        <f t="array" ref="K38">CONCATENATE("update msg_out_fld_config set msg_fld_name = '",A38,"' where cd = 'F7F3B94F23AD092ED6237A627A9FD8EB';")</f>
        <v>0</v>
      </c>
      <c r="M38">
        <f t="array" ref="M38">CONCATENATE("update msg_out_fld set description = '",D38,"' where tab_name = 'KUNDENBEZIEHUNG' and fld_name = 'GRANTOR_CD';")</f>
        <v>0</v>
      </c>
    </row>
    <row r="39" spans="1:13">
      <c r="A39" t="s">
        <v>1067</v>
      </c>
      <c r="C39" t="s">
        <v>90</v>
      </c>
      <c r="D39" t="s">
        <v>127</v>
      </c>
      <c r="E39" t="s">
        <v>128</v>
      </c>
      <c r="H39" t="s">
        <v>125</v>
      </c>
      <c r="K39">
        <f t="array" ref="K39">CONCATENATE("update msg_out_fld_config set msg_fld_name = '",A39,"' where cd = '4208DFD2EE13C4898F4B34131ECD755C';")</f>
        <v>0</v>
      </c>
      <c r="M39">
        <f t="array" ref="M39">CONCATENATE("update msg_out_fld set description = '",D39,"' where tab_name = 'KUNDENBEZIEHUNG' and fld_name = 'PERSONID';")</f>
        <v>0</v>
      </c>
    </row>
    <row r="40" spans="1:13">
      <c r="A40" t="s">
        <v>2796</v>
      </c>
      <c r="C40" t="s">
        <v>26</v>
      </c>
      <c r="D40" t="s">
        <v>2797</v>
      </c>
      <c r="E40" t="s">
        <v>28</v>
      </c>
      <c r="F40" t="s">
        <v>29</v>
      </c>
      <c r="G40" t="s">
        <v>30</v>
      </c>
      <c r="H40" t="s">
        <v>2795</v>
      </c>
      <c r="K40">
        <f t="array" ref="K40">CONCATENATE("update msg_out_fld_config set msg_fld_name = '",A40,"' where cd = 'C1158B1249C6D6C1913BAB869BB5D644';")</f>
        <v>0</v>
      </c>
      <c r="M40">
        <f t="array" ref="M40">CONCATENATE("update msg_out_fld set description = '",D40,"' where tab_name = 'KUNDENBEZIEHUNG' and fld_name = 'ACCOUNT_HOLDER_CD';")</f>
        <v>0</v>
      </c>
    </row>
    <row r="41" spans="1:13">
      <c r="A41" t="s">
        <v>2799</v>
      </c>
      <c r="C41" t="s">
        <v>26</v>
      </c>
      <c r="D41" t="s">
        <v>2800</v>
      </c>
      <c r="E41" t="s">
        <v>28</v>
      </c>
      <c r="F41" t="s">
        <v>29</v>
      </c>
      <c r="G41" t="s">
        <v>30</v>
      </c>
      <c r="H41" t="s">
        <v>2798</v>
      </c>
      <c r="K41">
        <f t="array" ref="K41">CONCATENATE("update msg_out_fld_config set msg_fld_name = '",A41,"' where cd = 'F8F76165CFA0340ED8E1E948B6D81D1A';")</f>
        <v>0</v>
      </c>
      <c r="M41">
        <f t="array" ref="M41">CONCATENATE("update msg_out_fld set description = '",D41,"' where tab_name = 'KUNDENBEZIEHUNG' and fld_name = 'AML_BO_CD';")</f>
        <v>0</v>
      </c>
    </row>
    <row r="42" spans="1:13">
      <c r="A42" t="s">
        <v>2802</v>
      </c>
      <c r="C42" t="s">
        <v>26</v>
      </c>
      <c r="D42" t="s">
        <v>2803</v>
      </c>
      <c r="E42" t="s">
        <v>28</v>
      </c>
      <c r="F42" t="s">
        <v>29</v>
      </c>
      <c r="G42" t="s">
        <v>30</v>
      </c>
      <c r="H42" t="s">
        <v>2801</v>
      </c>
      <c r="K42">
        <f t="array" ref="K42">CONCATENATE("update msg_out_fld_config set msg_fld_name = '",A42,"' where cd = '2078898CC1B7B6D8C4BCD9D7E4668ED9';")</f>
        <v>0</v>
      </c>
      <c r="M42">
        <f t="array" ref="M42">CONCATENATE("update msg_out_fld set description = '",D42,"' where tab_name = 'KUNDENBEZIEHUNG' and fld_name = 'CONTROLLING_PERSON_CD';")</f>
        <v>0</v>
      </c>
    </row>
    <row r="43" spans="1:13">
      <c r="A43" t="s">
        <v>2805</v>
      </c>
      <c r="C43" t="s">
        <v>26</v>
      </c>
      <c r="D43" t="s">
        <v>2806</v>
      </c>
      <c r="E43" t="s">
        <v>28</v>
      </c>
      <c r="F43" t="s">
        <v>29</v>
      </c>
      <c r="G43" t="s">
        <v>30</v>
      </c>
      <c r="H43" t="s">
        <v>2804</v>
      </c>
      <c r="K43">
        <f t="array" ref="K43">CONCATENATE("update msg_out_fld_config set msg_fld_name = '",A43,"' where cd = '63C949DE0AD97DF325B38B7D1C6FB0B1';")</f>
        <v>0</v>
      </c>
      <c r="M43">
        <f t="array" ref="M43">CONCATENATE("update msg_out_fld set description = '",D43,"' where tab_name = 'KUNDENBEZIEHUNG' and fld_name = 'APSYS_FLAGDONORDRGUDEFI';")</f>
        <v>0</v>
      </c>
    </row>
    <row r="44" spans="1:13">
      <c r="A44" t="s">
        <v>2808</v>
      </c>
      <c r="C44" t="s">
        <v>26</v>
      </c>
      <c r="D44" t="s">
        <v>2809</v>
      </c>
      <c r="E44" t="s">
        <v>28</v>
      </c>
      <c r="F44" t="s">
        <v>29</v>
      </c>
      <c r="G44" t="s">
        <v>30</v>
      </c>
      <c r="H44" t="s">
        <v>2807</v>
      </c>
      <c r="K44">
        <f t="array" ref="K44">CONCATENATE("update msg_out_fld_config set msg_fld_name = '",A44,"' where cd = 'A19A35131BA5F0747AD5C372158A32BB';")</f>
        <v>0</v>
      </c>
      <c r="M44">
        <f t="array" ref="M44">CONCATENATE("update msg_out_fld set description = '",D44,"' where tab_name = 'KUNDENBEZIEHUNG' and fld_name = 'APSYS_FLAGFATCAI';")</f>
        <v>0</v>
      </c>
    </row>
    <row r="45" spans="1:13">
      <c r="A45" t="s">
        <v>2811</v>
      </c>
      <c r="C45" t="s">
        <v>26</v>
      </c>
      <c r="D45" t="s">
        <v>2812</v>
      </c>
      <c r="E45" t="s">
        <v>562</v>
      </c>
      <c r="F45" t="s">
        <v>29</v>
      </c>
      <c r="G45" t="s">
        <v>30</v>
      </c>
      <c r="H45" t="s">
        <v>2810</v>
      </c>
      <c r="K45">
        <f t="array" ref="K45">CONCATENATE("update msg_out_fld_config set msg_fld_name = '",A45,"' where cd = '8652EAC199F588DF2F4E5C7F50BC8EB5';")</f>
        <v>0</v>
      </c>
      <c r="M45">
        <f t="array" ref="M45">CONCATENATE("update msg_out_fld set description = '",D45,"' where tab_name = 'KUNDENBEZIEHUNG' and fld_name = 'GENERAL_TAX_BO_CD';")</f>
        <v>0</v>
      </c>
    </row>
    <row r="46" spans="1:13">
      <c r="A46" t="s">
        <v>2814</v>
      </c>
      <c r="C46" t="s">
        <v>26</v>
      </c>
      <c r="D46" t="s">
        <v>2815</v>
      </c>
      <c r="E46" t="s">
        <v>28</v>
      </c>
      <c r="F46" t="s">
        <v>29</v>
      </c>
      <c r="G46" t="s">
        <v>30</v>
      </c>
      <c r="H46" t="s">
        <v>2813</v>
      </c>
      <c r="K46">
        <f t="array" ref="K46">CONCATENATE("update msg_out_fld_config set msg_fld_name = '",A46,"' where cd = 'F96A93D6DC910C5A5FCCAB7707A3418C';")</f>
        <v>0</v>
      </c>
      <c r="M46">
        <f t="array" ref="M46">CONCATENATE("update msg_out_fld set description = '",D46,"' where tab_name = 'KUNDENBEZIEHUNG' and fld_name = 'PARTNERSHIP_PARTNER_CD';")</f>
        <v>0</v>
      </c>
    </row>
    <row r="47" spans="1:13">
      <c r="A47" t="s">
        <v>2817</v>
      </c>
      <c r="C47" t="s">
        <v>26</v>
      </c>
      <c r="D47" t="s">
        <v>2818</v>
      </c>
      <c r="E47" t="s">
        <v>28</v>
      </c>
      <c r="F47" t="s">
        <v>29</v>
      </c>
      <c r="G47" t="s">
        <v>30</v>
      </c>
      <c r="H47" t="s">
        <v>2816</v>
      </c>
      <c r="K47">
        <f t="array" ref="K47">CONCATENATE("update msg_out_fld_config set msg_fld_name = '",A47,"' where cd = '42ACDFA0DA692D8A71B7C05411E292D0';")</f>
        <v>0</v>
      </c>
      <c r="M47">
        <f t="array" ref="M47">CONCATENATE("update msg_out_fld set description = '",D47,"' where tab_name = 'KUNDENBEZIEHUNG' and fld_name = 'APSYS_FLAGPOAI';")</f>
        <v>0</v>
      </c>
    </row>
    <row r="48" spans="1:13">
      <c r="A48" t="s">
        <v>2056</v>
      </c>
      <c r="C48" t="s">
        <v>26</v>
      </c>
      <c r="D48" t="s">
        <v>2820</v>
      </c>
      <c r="E48" t="s">
        <v>28</v>
      </c>
      <c r="F48" t="s">
        <v>29</v>
      </c>
      <c r="G48" t="s">
        <v>30</v>
      </c>
      <c r="H48" t="s">
        <v>2819</v>
      </c>
      <c r="K48">
        <f t="array" ref="K48">CONCATENATE("update msg_out_fld_config set msg_fld_name = '",A48,"' where cd = 'BAB3C89B5D3DCCAEF4159C913C7E4408';")</f>
        <v>0</v>
      </c>
      <c r="M48">
        <f t="array" ref="M48">CONCATENATE("update msg_out_fld set description = '",D48,"' where tab_name = 'KUNDENBEZIEHUNG' and fld_name = 'TAX_BENEFICIAL_OWNER_CD';")</f>
        <v>0</v>
      </c>
    </row>
    <row r="49" spans="1:13">
      <c r="A49" t="s">
        <v>1220</v>
      </c>
      <c r="C49" t="s">
        <v>26</v>
      </c>
      <c r="D49" t="s">
        <v>1221</v>
      </c>
      <c r="E49" t="s">
        <v>28</v>
      </c>
      <c r="F49" t="s">
        <v>29</v>
      </c>
      <c r="G49" t="s">
        <v>30</v>
      </c>
      <c r="H49" t="s">
        <v>1219</v>
      </c>
      <c r="K49">
        <f t="array" ref="K49">CONCATENATE("update msg_out_fld_config set msg_fld_name = '",A49,"' where cd = 'E3A9785891D56D59543F5BB74185C315';")</f>
        <v>0</v>
      </c>
      <c r="M49">
        <f t="array" ref="M49">CONCATENATE("update msg_out_fld set description = '",D49,"' where tab_name = 'KUNDENBEZIEHUNG' and fld_name = 'TRUST_CD';")</f>
        <v>0</v>
      </c>
    </row>
    <row r="50" spans="1:13">
      <c r="A50" t="s">
        <v>58</v>
      </c>
      <c r="C50" t="s">
        <v>33</v>
      </c>
      <c r="D50" t="s">
        <v>2821</v>
      </c>
      <c r="H50" t="s">
        <v>57</v>
      </c>
      <c r="K50">
        <f t="array" ref="K50">CONCATENATE("update msg_out_fld_config set msg_fld_name = '",A50,"' where cd = 'C07223F2AD0C4BA6F90171B9E24AF0EF';")</f>
        <v>0</v>
      </c>
      <c r="M50">
        <f t="array" ref="M50">CONCATENATE("update msg_out_fld set description = '",D50,"' where tab_name = 'KUNDENBEZIEHUNG' and fld_name = 'MUTDATUM';")</f>
        <v>0</v>
      </c>
    </row>
    <row r="51" spans="1:13">
      <c r="A51" t="s">
        <v>61</v>
      </c>
      <c r="C51" t="s">
        <v>37</v>
      </c>
      <c r="D51" t="s">
        <v>2822</v>
      </c>
      <c r="E51" t="s">
        <v>39</v>
      </c>
      <c r="F51" t="s">
        <v>23</v>
      </c>
      <c r="H51" t="s">
        <v>60</v>
      </c>
      <c r="K51">
        <f t="array" ref="K51">CONCATENATE("update msg_out_fld_config set msg_fld_name = '",A51,"' where cd = '6E89ED82478C1E7FD9322A3DDF6F14F9';")</f>
        <v>0</v>
      </c>
      <c r="M51">
        <f t="array" ref="M51">CONCATENATE("update msg_out_fld set description = '",D51,"' where tab_name = 'KUNDENBEZIEHUNG' and fld_name = 'MUTUSER';")</f>
        <v>0</v>
      </c>
    </row>
    <row r="52" spans="1:13">
      <c r="A52" t="s">
        <v>170</v>
      </c>
      <c r="C52" t="s">
        <v>75</v>
      </c>
      <c r="D52" t="s">
        <v>1543</v>
      </c>
      <c r="H52" t="s">
        <v>169</v>
      </c>
      <c r="K52">
        <f t="array" ref="K52">CONCATENATE("update msg_out_fld_config set msg_fld_name = '",A52,"' where cd = '7F816967C0694FB0BEC54706738D2996';")</f>
        <v>0</v>
      </c>
      <c r="M52">
        <f t="array" ref="M52">CONCATENATE("update msg_out_fld set description = '",D52,"' where tab_name = 'KUNDENBEZIEHUNG' and fld_name = 'BEMERKUNG';")</f>
        <v>0</v>
      </c>
    </row>
    <row r="53" spans="1:13">
      <c r="A53" t="s">
        <v>2824</v>
      </c>
      <c r="C53" t="s">
        <v>26</v>
      </c>
      <c r="D53" t="s">
        <v>2825</v>
      </c>
      <c r="E53" t="s">
        <v>562</v>
      </c>
      <c r="F53" t="s">
        <v>29</v>
      </c>
      <c r="G53" t="s">
        <v>30</v>
      </c>
      <c r="H53" t="s">
        <v>2823</v>
      </c>
      <c r="K53">
        <f t="array" ref="K53">CONCATENATE("update msg_out_fld_config set msg_fld_name = '",A53,"' where cd = '650AA0C8C10520526BB916DAD6268C34';")</f>
        <v>0</v>
      </c>
      <c r="M53">
        <f t="array" ref="M53">CONCATENATE("update msg_out_fld set description = '",D53,"' where tab_name = 'KUNDENBEZIEHUNG' and fld_name = 'OUT_OF_SCOPE_FATCA_CD';")</f>
        <v>0</v>
      </c>
    </row>
    <row r="54" spans="1:13">
      <c r="A54" t="s">
        <v>2827</v>
      </c>
      <c r="C54" t="s">
        <v>26</v>
      </c>
      <c r="D54" t="s">
        <v>2828</v>
      </c>
      <c r="E54" t="s">
        <v>562</v>
      </c>
      <c r="F54" t="s">
        <v>29</v>
      </c>
      <c r="G54" t="s">
        <v>30</v>
      </c>
      <c r="H54" t="s">
        <v>2826</v>
      </c>
      <c r="K54">
        <f t="array" ref="K54">CONCATENATE("update msg_out_fld_config set msg_fld_name = '",A54,"' where cd = '7CDCA5E480DBABF35B81180BF14DC020';")</f>
        <v>0</v>
      </c>
      <c r="M54">
        <f t="array" ref="M54">CONCATENATE("update msg_out_fld set description = '",D54,"' where tab_name = 'KUNDENBEZIEHUNG' and fld_name = 'OUT_OF_SCOPE_FWHT_CD';")</f>
        <v>0</v>
      </c>
    </row>
    <row r="55" spans="1:13">
      <c r="A55" t="s">
        <v>2830</v>
      </c>
      <c r="C55" t="s">
        <v>26</v>
      </c>
      <c r="D55" t="s">
        <v>2831</v>
      </c>
      <c r="E55" t="s">
        <v>562</v>
      </c>
      <c r="F55" t="s">
        <v>29</v>
      </c>
      <c r="G55" t="s">
        <v>30</v>
      </c>
      <c r="H55" t="s">
        <v>2829</v>
      </c>
      <c r="K55">
        <f t="array" ref="K55">CONCATENATE("update msg_out_fld_config set msg_fld_name = '",A55,"' where cd = '358E3D9439C4FC896F9EF6CE6DE6B2AC';")</f>
        <v>0</v>
      </c>
      <c r="M55">
        <f t="array" ref="M55">CONCATENATE("update msg_out_fld set description = '",D55,"' where tab_name = 'KUNDENBEZIEHUNG' and fld_name = 'OUT_OF_SCOPE_EUTAX_CD';")</f>
        <v>0</v>
      </c>
    </row>
    <row r="56" spans="1:13">
      <c r="A56" t="s">
        <v>2833</v>
      </c>
      <c r="C56" t="s">
        <v>26</v>
      </c>
      <c r="D56" t="s">
        <v>2834</v>
      </c>
      <c r="E56" t="s">
        <v>562</v>
      </c>
      <c r="F56" t="s">
        <v>29</v>
      </c>
      <c r="G56" t="s">
        <v>30</v>
      </c>
      <c r="H56" t="s">
        <v>2832</v>
      </c>
      <c r="K56">
        <f t="array" ref="K56">CONCATENATE("update msg_out_fld_config set msg_fld_name = '",A56,"' where cd = 'B84F1CE4E62589C310B1096CAB64D0DC';")</f>
        <v>0</v>
      </c>
      <c r="M56">
        <f t="array" ref="M56">CONCATENATE("update msg_out_fld set description = '",D56,"' where tab_name = 'KUNDENBEZIEHUNG' and fld_name = 'OUT_OF_SCOPE_USWHT_CD';")</f>
        <v>0</v>
      </c>
    </row>
    <row r="57" spans="1:13">
      <c r="A57" t="s">
        <v>2836</v>
      </c>
      <c r="C57" t="s">
        <v>26</v>
      </c>
      <c r="D57" t="s">
        <v>2837</v>
      </c>
      <c r="E57" t="s">
        <v>562</v>
      </c>
      <c r="F57" t="s">
        <v>29</v>
      </c>
      <c r="G57" t="s">
        <v>30</v>
      </c>
      <c r="H57" t="s">
        <v>2835</v>
      </c>
      <c r="K57">
        <f t="array" ref="K57">CONCATENATE("update msg_out_fld_config set msg_fld_name = '",A57,"' where cd = '2617A9F4926833B6D6B347522A0AA68B';")</f>
        <v>0</v>
      </c>
      <c r="M57">
        <f t="array" ref="M57">CONCATENATE("update msg_out_fld set description = '",D57,"' where tab_name = 'KUNDENBEZIEHUNG' and fld_name = 'OUT_OF_SCOPE_VAT_CD';")</f>
        <v>0</v>
      </c>
    </row>
    <row r="58" spans="1:13">
      <c r="A58" t="s">
        <v>2839</v>
      </c>
      <c r="C58" t="s">
        <v>26</v>
      </c>
      <c r="D58" t="s">
        <v>2840</v>
      </c>
      <c r="E58" t="s">
        <v>562</v>
      </c>
      <c r="F58" t="s">
        <v>29</v>
      </c>
      <c r="G58" t="s">
        <v>30</v>
      </c>
      <c r="H58" t="s">
        <v>2838</v>
      </c>
      <c r="K58">
        <f t="array" ref="K58">CONCATENATE("update msg_out_fld_config set msg_fld_name = '",A58,"' where cd = '88225A2E6EDD49F457D1702303C2FC2D';")</f>
        <v>0</v>
      </c>
      <c r="M58">
        <f t="array" ref="M58">CONCATENATE("update msg_out_fld set description = '",D58,"' where tab_name = 'KUNDENBEZIEHUNG' and fld_name = 'APSYS_FLAGFWTI';")</f>
        <v>0</v>
      </c>
    </row>
    <row r="59" spans="1:13">
      <c r="A59" t="s">
        <v>2842</v>
      </c>
      <c r="C59" t="s">
        <v>26</v>
      </c>
      <c r="D59" t="s">
        <v>2843</v>
      </c>
      <c r="E59" t="s">
        <v>562</v>
      </c>
      <c r="F59" t="s">
        <v>29</v>
      </c>
      <c r="G59" t="s">
        <v>30</v>
      </c>
      <c r="H59" t="s">
        <v>2841</v>
      </c>
      <c r="K59">
        <f t="array" ref="K59">CONCATENATE("update msg_out_fld_config set msg_fld_name = '",A59,"' where cd = '989B51A12F0747BCE82B8C401A9FEFE0';")</f>
        <v>0</v>
      </c>
      <c r="M59">
        <f t="array" ref="M59">CONCATENATE("update msg_out_fld set description = '",D59,"' where tab_name = 'KUNDENBEZIEHUNG' and fld_name = 'APSYS_FLAGFWTTAXSPEGEI';")</f>
        <v>0</v>
      </c>
    </row>
    <row r="60" spans="1:13">
      <c r="A60" t="s">
        <v>491</v>
      </c>
      <c r="C60" t="s">
        <v>90</v>
      </c>
      <c r="D60" t="s">
        <v>492</v>
      </c>
      <c r="E60" t="s">
        <v>493</v>
      </c>
      <c r="G60" t="s">
        <v>494</v>
      </c>
      <c r="H60" t="s">
        <v>490</v>
      </c>
      <c r="K60">
        <f t="array" ref="K60">CONCATENATE("update msg_out_fld_config set msg_fld_name = '",A60,"' where cd = '5DBAC4AA2FEE299045C471E52DBB20A3';")</f>
        <v>0</v>
      </c>
      <c r="M60">
        <f t="array" ref="M60">CONCATENATE("update msg_out_fld set description = '",D60,"' where tab_name = 'KUNDENBEZIEHUNG' and fld_name = 'PORTFOLIONO';")</f>
        <v>0</v>
      </c>
    </row>
    <row r="61" spans="1:13">
      <c r="A61" t="s">
        <v>2845</v>
      </c>
      <c r="C61" t="s">
        <v>90</v>
      </c>
      <c r="D61" s="2" t="s">
        <v>2844</v>
      </c>
      <c r="E61" t="s">
        <v>2698</v>
      </c>
      <c r="F61" t="s">
        <v>29</v>
      </c>
      <c r="G61" t="s">
        <v>2039</v>
      </c>
      <c r="H61" t="s">
        <v>2844</v>
      </c>
      <c r="K61">
        <f t="array" ref="K61">CONCATENATE("update msg_out_fld_config set msg_fld_name = '",A61,"' where cd = '08D438E29078D7A84289BBF5B790119D';")</f>
        <v>0</v>
      </c>
      <c r="M61">
        <f t="array" ref="M61">CONCATENATE("update msg_out_fld set description = '",D61,"' where tab_name = 'KUNDENBEZIEHUNG' and fld_name = 'REPORTING_QI_CD';")</f>
        <v>0</v>
      </c>
    </row>
    <row r="62" spans="1:13">
      <c r="A62" t="s">
        <v>2847</v>
      </c>
      <c r="C62" t="s">
        <v>26</v>
      </c>
      <c r="D62" t="s">
        <v>2848</v>
      </c>
      <c r="E62" t="s">
        <v>28</v>
      </c>
      <c r="F62" t="s">
        <v>29</v>
      </c>
      <c r="G62" t="s">
        <v>30</v>
      </c>
      <c r="H62" t="s">
        <v>2846</v>
      </c>
      <c r="K62">
        <f t="array" ref="K62">CONCATENATE("update msg_out_fld_config set msg_fld_name = '",A62,"' where cd = 'C23B0EB6BF849EA54072A59651D5CA08';")</f>
        <v>0</v>
      </c>
      <c r="M62">
        <f t="array" ref="M62">CONCATENATE("update msg_out_fld set description = '",D62,"' where tab_name = 'KUNDENBEZIEHUNG' and fld_name = 'APSYS_FLAGQII';")</f>
        <v>0</v>
      </c>
    </row>
    <row r="63" spans="1:13">
      <c r="A63" t="s">
        <v>2850</v>
      </c>
      <c r="C63" t="s">
        <v>90</v>
      </c>
      <c r="D63" t="s">
        <v>2851</v>
      </c>
      <c r="H63" t="s">
        <v>2849</v>
      </c>
      <c r="K63">
        <f t="array" ref="K63">CONCATENATE("update msg_out_fld_config set msg_fld_name = '",A63,"' where cd = '5B6013F1EFD35D1077CB0684E3302919';")</f>
        <v>0</v>
      </c>
      <c r="M63">
        <f t="array" ref="M63">CONCATENATE("update msg_out_fld set description = '",D63,"' where tab_name = 'KUNDENBEZIEHUNG' and fld_name = 'RELATED_PARTNER_PERSONID';")</f>
        <v>0</v>
      </c>
    </row>
    <row r="64" spans="1:13">
      <c r="A64" t="s">
        <v>901</v>
      </c>
      <c r="C64" t="s">
        <v>26</v>
      </c>
      <c r="D64" t="s">
        <v>2852</v>
      </c>
      <c r="E64" t="s">
        <v>28</v>
      </c>
      <c r="F64" t="s">
        <v>29</v>
      </c>
      <c r="G64" t="s">
        <v>30</v>
      </c>
      <c r="H64" t="s">
        <v>900</v>
      </c>
      <c r="K64">
        <f t="array" ref="K64">CONCATENATE("update msg_out_fld_config set msg_fld_name = '",A64,"' where cd = '80BD1A6852346F67D5C353B0927C2666';")</f>
        <v>0</v>
      </c>
      <c r="M64">
        <f t="array" ref="M64">CONCATENATE("update msg_out_fld set description = '",D64,"' where tab_name = 'KUNDENBEZIEHUNG' and fld_name = 'RISKINDEXBERECHNEN_CD';")</f>
        <v>0</v>
      </c>
    </row>
    <row r="65" spans="1:13">
      <c r="A65" t="s">
        <v>1511</v>
      </c>
      <c r="C65" t="s">
        <v>68</v>
      </c>
      <c r="D65" t="s">
        <v>1512</v>
      </c>
      <c r="E65" t="s">
        <v>1513</v>
      </c>
      <c r="F65" t="s">
        <v>23</v>
      </c>
      <c r="H65" t="s">
        <v>1510</v>
      </c>
      <c r="K65">
        <f t="array" ref="K65">CONCATENATE("update msg_out_fld_config set msg_fld_name = '",A65,"' where cd = '5E58814B8E34CA4FF375AF775DE5727A';")</f>
        <v>0</v>
      </c>
      <c r="M65">
        <f t="array" ref="M65">CONCATENATE("update msg_out_fld set description = '",D65,"' where tab_name = 'KUNDENBEZIEHUNG' and fld_name = 'VERTRAULICHKEIT_CD';")</f>
        <v>0</v>
      </c>
    </row>
    <row r="66" spans="1:13">
      <c r="A66" t="s">
        <v>2854</v>
      </c>
      <c r="C66" t="s">
        <v>84</v>
      </c>
      <c r="D66" t="s">
        <v>2855</v>
      </c>
      <c r="H66" t="s">
        <v>2853</v>
      </c>
      <c r="K66">
        <f t="array" ref="K66">CONCATENATE("update msg_out_fld_config set msg_fld_name = '",A66,"' where cd = 'CE92F88933A3613A04E2A3954612CBDF';")</f>
        <v>0</v>
      </c>
      <c r="M66">
        <f t="array" ref="M66">CONCATENATE("update msg_out_fld set description = '",D66,"' where tab_name = 'KUNDENBEZIEHUNG' and fld_name = 'AKTIENANTEIL_STIMMRECHT';")</f>
        <v>0</v>
      </c>
    </row>
    <row r="67" spans="1:13">
      <c r="A67" t="s">
        <v>2856</v>
      </c>
      <c r="C67" t="s">
        <v>68</v>
      </c>
      <c r="D67" t="s">
        <v>524</v>
      </c>
      <c r="E67" t="s">
        <v>2857</v>
      </c>
      <c r="F67" t="s">
        <v>23</v>
      </c>
      <c r="H67" t="s">
        <v>522</v>
      </c>
      <c r="K67">
        <f t="array" ref="K67">CONCATENATE("update msg_out_fld_config set msg_fld_name = '",A67,"' where cd = '902C26D7C8CA245ACB29701B766F4F24';")</f>
        <v>0</v>
      </c>
      <c r="M67">
        <f t="array" ref="M67">CONCATENATE("update msg_out_fld set description = '",D67,"' where tab_name = 'KUNDENBEZIEHUNG' and fld_name = 'VOLLMACHTTYP_CD';")</f>
        <v>0</v>
      </c>
    </row>
    <row r="68" spans="1:13">
      <c r="A68" t="s">
        <v>2859</v>
      </c>
      <c r="C68" t="s">
        <v>26</v>
      </c>
      <c r="D68" t="s">
        <v>2860</v>
      </c>
      <c r="E68" t="s">
        <v>2861</v>
      </c>
      <c r="F68" t="s">
        <v>29</v>
      </c>
      <c r="G68" t="s">
        <v>2862</v>
      </c>
      <c r="H68" t="s">
        <v>2858</v>
      </c>
      <c r="K68">
        <f t="array" ref="K68">CONCATENATE("update msg_out_fld_config set msg_fld_name = '",A68,"' where cd = '318605EA4B70C1D03C240F3FEF3BA43F';")</f>
        <v>0</v>
      </c>
      <c r="M68">
        <f t="array" ref="M68">CONCATENATE("update msg_out_fld set description = '",D68,"' where tab_name = 'KUNDENBEZIEHUNG' and fld_name = 'STD_EU_TAXSTATUS_CD';")</f>
        <v>0</v>
      </c>
    </row>
    <row r="69" spans="1:13">
      <c r="A69" t="s">
        <v>2864</v>
      </c>
      <c r="C69" t="s">
        <v>26</v>
      </c>
      <c r="D69" t="s">
        <v>2865</v>
      </c>
      <c r="E69" t="s">
        <v>562</v>
      </c>
      <c r="F69" t="s">
        <v>29</v>
      </c>
      <c r="G69" t="s">
        <v>30</v>
      </c>
      <c r="H69" t="s">
        <v>2863</v>
      </c>
      <c r="K69">
        <f t="array" ref="K69">CONCATENATE("update msg_out_fld_config set msg_fld_name = '",A69,"' where cd = '3210D31051635E3DE592CC8DD8BB9D26';")</f>
        <v>0</v>
      </c>
      <c r="M69">
        <f t="array" ref="M69">CONCATENATE("update msg_out_fld set description = '",D69,"' where tab_name = 'KUNDENBEZIEHUNG' and fld_name = 'STD_APSYS_FLAGFWTI';")</f>
        <v>0</v>
      </c>
    </row>
    <row r="70" spans="1:13">
      <c r="A70" t="s">
        <v>2867</v>
      </c>
      <c r="C70" t="s">
        <v>26</v>
      </c>
      <c r="D70" t="s">
        <v>2868</v>
      </c>
      <c r="E70" t="s">
        <v>950</v>
      </c>
      <c r="F70" t="s">
        <v>29</v>
      </c>
      <c r="G70" t="s">
        <v>951</v>
      </c>
      <c r="H70" t="s">
        <v>2866</v>
      </c>
      <c r="K70">
        <f t="array" ref="K70">CONCATENATE("update msg_out_fld_config set msg_fld_name = '",A70,"' where cd = 'ED8DE4F8274B4CF64EB3A9A3FA3D82D4';")</f>
        <v>0</v>
      </c>
      <c r="M70">
        <f t="array" ref="M70">CONCATENATE("update msg_out_fld set description = '",D70,"' where tab_name = 'KUNDENBEZIEHUNG' and fld_name = 'STD_APSYS_STATFISCTVAC';")</f>
        <v>0</v>
      </c>
    </row>
    <row r="71" spans="1:13">
      <c r="A71" t="s">
        <v>2870</v>
      </c>
      <c r="C71" t="s">
        <v>26</v>
      </c>
      <c r="D71" t="s">
        <v>2871</v>
      </c>
      <c r="E71" t="s">
        <v>28</v>
      </c>
      <c r="F71" t="s">
        <v>29</v>
      </c>
      <c r="G71" t="s">
        <v>30</v>
      </c>
      <c r="H71" t="s">
        <v>2869</v>
      </c>
      <c r="K71">
        <f t="array" ref="K71">CONCATENATE("update msg_out_fld_config set msg_fld_name = '",A71,"' where cd = 'C2E039C31CB0DD28ECC93CA83E547D28';")</f>
        <v>0</v>
      </c>
      <c r="M71">
        <f t="array" ref="M71">CONCATENATE("update msg_out_fld set description = '",D71,"' where tab_name = 'KUNDENBEZIEHUNG' and fld_name = 'TRUSTEE_IS_PAYING_AGENT_CD';")</f>
        <v>0</v>
      </c>
    </row>
    <row r="72" spans="1:13">
      <c r="A72" t="s">
        <v>1156</v>
      </c>
      <c r="C72" t="s">
        <v>68</v>
      </c>
      <c r="D72" t="s">
        <v>2872</v>
      </c>
      <c r="E72" t="s">
        <v>1456</v>
      </c>
      <c r="F72" t="s">
        <v>23</v>
      </c>
      <c r="H72" t="s">
        <v>1454</v>
      </c>
      <c r="K72">
        <f t="array" ref="K72">CONCATENATE("update msg_out_fld_config set msg_fld_name = '",A72,"' where cd = '52DE91D85777794EE1126AEA82510DF5';")</f>
        <v>0</v>
      </c>
      <c r="M72">
        <f t="array" ref="M72">CONCATENATE("update msg_out_fld set description = '",D72,"' where tab_name = 'KUNDENBEZIEHUNG' and fld_name = 'KUNDENSTATUS_CD';")</f>
        <v>0</v>
      </c>
    </row>
    <row r="73" spans="1:13">
      <c r="A73" t="s">
        <v>2874</v>
      </c>
      <c r="C73" t="s">
        <v>26</v>
      </c>
      <c r="D73" t="s">
        <v>2875</v>
      </c>
      <c r="E73" t="s">
        <v>562</v>
      </c>
      <c r="F73" t="s">
        <v>29</v>
      </c>
      <c r="G73" t="s">
        <v>30</v>
      </c>
      <c r="H73" t="s">
        <v>2873</v>
      </c>
      <c r="K73">
        <f t="array" ref="K73">CONCATENATE("update msg_out_fld_config set msg_fld_name = '",A73,"' where cd = '4A40615819D244E345794DB2F7B48934';")</f>
        <v>0</v>
      </c>
      <c r="M73">
        <f t="array" ref="M73">CONCATENATE("update msg_out_fld set description = '",D73,"' where tab_name = 'KUNDENBEZIEHUNG' and fld_name = 'APSYS_FLAGFWTUKNRSDI';")</f>
        <v>0</v>
      </c>
    </row>
    <row r="74" spans="1:13">
      <c r="A74" t="s">
        <v>2636</v>
      </c>
      <c r="C74" t="s">
        <v>20</v>
      </c>
      <c r="D74" t="s">
        <v>2876</v>
      </c>
      <c r="E74" t="s">
        <v>2043</v>
      </c>
      <c r="F74" t="s">
        <v>23</v>
      </c>
      <c r="H74" t="s">
        <v>2040</v>
      </c>
      <c r="K74">
        <f t="array" ref="K74">CONCATENATE("update msg_out_fld_config set msg_fld_name = '",A74,"' where cd = '0A7306E8E0F604465AEFD1983F91D39F';")</f>
        <v>0</v>
      </c>
      <c r="M74">
        <f t="array" ref="M74">CONCATENATE("update msg_out_fld set description = '",D74,"' where tab_name = 'KUNDENBEZIEHUNG' and fld_name = 'USWBASKET_CD';")</f>
        <v>0</v>
      </c>
    </row>
    <row r="75" spans="1:13">
      <c r="A75" t="s">
        <v>2878</v>
      </c>
      <c r="C75" t="s">
        <v>26</v>
      </c>
      <c r="D75" t="s">
        <v>2879</v>
      </c>
      <c r="E75" t="s">
        <v>562</v>
      </c>
      <c r="F75" t="s">
        <v>29</v>
      </c>
      <c r="G75" t="s">
        <v>30</v>
      </c>
      <c r="H75" t="s">
        <v>2877</v>
      </c>
      <c r="K75">
        <f t="array" ref="K75">CONCATENATE("update msg_out_fld_config set msg_fld_name = '",A75,"' where cd = 'AF1F953FED33B24FA667CE7C82F877C4';")</f>
        <v>0</v>
      </c>
      <c r="M75">
        <f t="array" ref="M75">CONCATENATE("update msg_out_fld set description = '",D75,"' where tab_name = 'KUNDENBEZIEHUNG' and fld_name = 'DET_TAX_BO_USWHT_CD';")</f>
        <v>0</v>
      </c>
    </row>
    <row r="76" spans="1:13">
      <c r="A76" t="s">
        <v>193</v>
      </c>
      <c r="C76" t="s">
        <v>26</v>
      </c>
      <c r="D76" t="s">
        <v>194</v>
      </c>
      <c r="E76" t="s">
        <v>195</v>
      </c>
      <c r="F76" t="s">
        <v>29</v>
      </c>
      <c r="G76" t="s">
        <v>196</v>
      </c>
      <c r="H76" t="s">
        <v>192</v>
      </c>
      <c r="K76">
        <f t="array" ref="K76">CONCATENATE("update msg_out_fld_config set msg_fld_name = '",A76,"' where cd = '07DB4BD67003E57558C27A7D55CE89E7';")</f>
        <v>0</v>
      </c>
      <c r="M76">
        <f t="array" ref="M76">CONCATENATE("update msg_out_fld set description = '",D76,"' where tab_name = 'KUNDENBEZIEHUNG' and fld_name = 'VALID_CD';")</f>
        <v>0</v>
      </c>
    </row>
    <row r="77" spans="1:13">
      <c r="A77" t="s">
        <v>201</v>
      </c>
      <c r="C77" t="s">
        <v>90</v>
      </c>
      <c r="D77" t="s">
        <v>944</v>
      </c>
      <c r="H77" t="s">
        <v>200</v>
      </c>
      <c r="K77">
        <f t="array" ref="K77">CONCATENATE("update msg_out_fld_config set msg_fld_name = '",A77,"' where cd = '157A97B28E7DAEF1C4F9B93799691B1F';")</f>
        <v>0</v>
      </c>
      <c r="M77">
        <f t="array" ref="M77">CONCATENATE("update msg_out_fld set description = '",D77,"' where tab_name = 'KUNDENBEZIEHUNG' and fld_name = 'VALIDID';")</f>
        <v>0</v>
      </c>
    </row>
    <row r="78" spans="1:13">
      <c r="A78" t="s">
        <v>2880</v>
      </c>
      <c r="C78" t="s">
        <v>104</v>
      </c>
      <c r="D78" t="s">
        <v>199</v>
      </c>
      <c r="H78" t="s">
        <v>2186</v>
      </c>
      <c r="K78">
        <f t="array" ref="K78">CONCATENATE("update msg_out_fld_config set msg_fld_name = '",A78,"' where cd = '5FF68E25BF124C31CCCE1BC097FF28C2';")</f>
        <v>0</v>
      </c>
      <c r="M78">
        <f t="array" ref="M78">CONCATENATE("update msg_out_fld set description = '",D78,"' where tab_name = 'KUNDENBEZIEHUNG' and fld_name = 'GUELTIGAB';")</f>
        <v>0</v>
      </c>
    </row>
    <row r="79" spans="1:13">
      <c r="A79" t="s">
        <v>204</v>
      </c>
      <c r="C79" t="s">
        <v>104</v>
      </c>
      <c r="D79" t="s">
        <v>205</v>
      </c>
      <c r="H79" t="s">
        <v>2881</v>
      </c>
      <c r="K79">
        <f t="array" ref="K79">CONCATENATE("update msg_out_fld_config set msg_fld_name = '",A79,"' where cd = '4238D5A473C1E0F8BDB820EAB49842CE';")</f>
        <v>0</v>
      </c>
      <c r="M79">
        <f t="array" ref="M79">CONCATENATE("update msg_out_fld set description = '",D79,"' where tab_name = 'KUNDENBEZIEHUNG' and fld_name = 'GUELTIGBIS';")</f>
        <v>0</v>
      </c>
    </row>
    <row r="80" spans="1:13">
      <c r="A80" t="s">
        <v>207</v>
      </c>
      <c r="C80" t="s">
        <v>37</v>
      </c>
      <c r="D80" t="s">
        <v>208</v>
      </c>
      <c r="E80" t="s">
        <v>39</v>
      </c>
      <c r="F80" t="s">
        <v>23</v>
      </c>
      <c r="H80" t="s">
        <v>206</v>
      </c>
      <c r="K80">
        <f t="array" ref="K80">CONCATENATE("update msg_out_fld_config set msg_fld_name = '",A80,"' where cd = '7B96D928C4CD48C6DE959107E346BF90';")</f>
        <v>0</v>
      </c>
      <c r="M80">
        <f t="array" ref="M80">CONCATENATE("update msg_out_fld set description = '",D80,"' where tab_name = 'KUNDENBEZIEHUNG' and fld_name = 'VALIDUSER';")</f>
        <v>0</v>
      </c>
    </row>
    <row r="81" spans="1:13">
      <c r="A81" t="s">
        <v>2883</v>
      </c>
      <c r="C81" t="s">
        <v>68</v>
      </c>
      <c r="D81" t="s">
        <v>2884</v>
      </c>
      <c r="E81" t="s">
        <v>2752</v>
      </c>
      <c r="F81" t="s">
        <v>23</v>
      </c>
      <c r="H81" t="s">
        <v>2882</v>
      </c>
      <c r="K81">
        <f t="array" ref="K81">CONCATENATE("update msg_out_fld_config set msg_fld_name = '",A81,"' where cd = '44D71A541D9474D9EE5D5F1C347E8A0D';")</f>
        <v>0</v>
      </c>
      <c r="M81">
        <f t="array" ref="M81">CONCATENATE("update msg_out_fld set description = '",D81,"' where tab_name = 'KUNDENBEZIEHUNG' and fld_name = 'REASON_FOR_EX_VAT';")</f>
        <v>0</v>
      </c>
    </row>
    <row r="82" spans="1:13">
      <c r="A82" t="s">
        <v>2886</v>
      </c>
      <c r="C82" t="s">
        <v>104</v>
      </c>
      <c r="D82" t="s">
        <v>2887</v>
      </c>
      <c r="H82" t="s">
        <v>2885</v>
      </c>
      <c r="K82">
        <f t="array" ref="K82">CONCATENATE("update msg_out_fld_config set msg_fld_name = '",A82,"' where cd = '7A435922448ECB902862F1608B65054E';")</f>
        <v>0</v>
      </c>
      <c r="M82">
        <f t="array" ref="M82">CONCATENATE("update msg_out_fld set description = '",D82,"' where tab_name = 'KUNDENBEZIEHUNG' and fld_name = 'START_DATE_VAT_CH';")</f>
        <v>0</v>
      </c>
    </row>
    <row r="83" spans="1:13">
      <c r="A83" t="s">
        <v>2889</v>
      </c>
      <c r="C83" t="s">
        <v>26</v>
      </c>
      <c r="D83" t="s">
        <v>2890</v>
      </c>
      <c r="E83" t="s">
        <v>562</v>
      </c>
      <c r="F83" t="s">
        <v>29</v>
      </c>
      <c r="G83" t="s">
        <v>30</v>
      </c>
      <c r="H83" t="s">
        <v>2888</v>
      </c>
      <c r="K83">
        <f t="array" ref="K83">CONCATENATE("update msg_out_fld_config set msg_fld_name = '",A83,"' where cd = 'F1C8BA534C3CF05068E10A16CA750B15';")</f>
        <v>0</v>
      </c>
      <c r="M83">
        <f t="array" ref="M83">CONCATENATE("update msg_out_fld set description = '",D83,"' where tab_name = 'KUNDENBEZIEHUNG' and fld_name = 'DET_TAX_BO_VAT_CD';")</f>
        <v>0</v>
      </c>
    </row>
    <row r="84" spans="1:13">
      <c r="A84" t="s">
        <v>2892</v>
      </c>
      <c r="C84" t="s">
        <v>26</v>
      </c>
      <c r="D84" t="s">
        <v>949</v>
      </c>
      <c r="E84" t="s">
        <v>950</v>
      </c>
      <c r="F84" t="s">
        <v>29</v>
      </c>
      <c r="G84" t="s">
        <v>951</v>
      </c>
      <c r="H84" t="s">
        <v>2891</v>
      </c>
      <c r="K84">
        <f t="array" ref="K84">CONCATENATE("update msg_out_fld_config set msg_fld_name = '",A84,"' where cd = '606FE774CD6A54A3ACB3EFE34203CDB1';")</f>
        <v>0</v>
      </c>
      <c r="M84">
        <f t="array" ref="M84">CONCATENATE("update msg_out_fld set description = '",D84,"' where tab_name = 'KUNDENBEZIEHUNG' and fld_name = 'APSYS_STATFISCTVAC';")</f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33.140625" customWidth="1"/>
    <col min="2" max="2" width="4.28515625" customWidth="1"/>
    <col min="3" max="3" width="15.140625" customWidth="1"/>
    <col min="4" max="4" width="49.85546875" customWidth="1"/>
    <col min="5" max="5" width="51.140625" customWidth="1"/>
    <col min="6" max="6" width="10.28515625" customWidth="1"/>
    <col min="7" max="7" width="49.85546875" customWidth="1"/>
    <col min="8" max="8" width="33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1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2893</v>
      </c>
    </row>
    <row r="2" spans="1:13">
      <c r="A2" s="1" t="s">
        <v>2894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1454</v>
      </c>
      <c r="K6">
        <f t="array" ref="K6">CONCATENATE("update msg_out_fld_config set msg_fld_name = '",A6,"' where cd = '254392493072A350704F7060A3581FC1';")</f>
        <v>0</v>
      </c>
      <c r="M6">
        <f t="array" ref="M6">CONCATENATE("update msg_out_fld set description = '",D6,"' where tab_name = 'KUNDENSTATUS' and fld_name = 'KUNDENSTATUS_CD';")</f>
        <v>0</v>
      </c>
    </row>
    <row r="7" spans="1:13">
      <c r="A7" t="s">
        <v>2896</v>
      </c>
      <c r="C7" t="s">
        <v>68</v>
      </c>
      <c r="D7" t="s">
        <v>2897</v>
      </c>
      <c r="E7" t="s">
        <v>2898</v>
      </c>
      <c r="F7" t="s">
        <v>29</v>
      </c>
      <c r="G7" t="s">
        <v>2899</v>
      </c>
      <c r="H7" t="s">
        <v>2895</v>
      </c>
      <c r="K7">
        <f t="array" ref="K7">CONCATENATE("update msg_out_fld_config set msg_fld_name = '",A7,"' where cd = '79652FEC976ABFAEF97B94C079AE8DF4';")</f>
        <v>0</v>
      </c>
      <c r="M7">
        <f t="array" ref="M7">CONCATENATE("update msg_out_fld set description = '",D7,"' where tab_name = 'KUNDENSTATUS' and fld_name = 'BO_TYPE_CD';")</f>
        <v>0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'F21658943BBC8508F2BA40F215D0F6E6';")</f>
        <v>0</v>
      </c>
      <c r="M8">
        <f t="array" ref="M8">CONCATENATE("update msg_out_fld set description = '",D8,"' where tab_name = 'KUNDENSTATUS' and fld_name = 'LOESCH_CD';")</f>
        <v>0</v>
      </c>
    </row>
    <row r="9" spans="1:13">
      <c r="A9" t="s">
        <v>32</v>
      </c>
      <c r="C9" t="s">
        <v>33</v>
      </c>
      <c r="D9" t="s">
        <v>34</v>
      </c>
      <c r="H9" t="s">
        <v>31</v>
      </c>
      <c r="K9">
        <f t="array" ref="K9">CONCATENATE("update msg_out_fld_config set msg_fld_name = '",A9,"' where cd = 'BF1A2D74CB3BC53B66B8FDB6D1538256';")</f>
        <v>0</v>
      </c>
      <c r="M9">
        <f t="array" ref="M9">CONCATENATE("update msg_out_fld set description = '",D9,"' where tab_name = 'KUNDENSTATUS' and fld_name = 'LOESCHDATUM';")</f>
        <v>0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'B3B054235C75F73714933D1FAF8B0CE9';")</f>
        <v>0</v>
      </c>
      <c r="M10">
        <f t="array" ref="M10">CONCATENATE("update msg_out_fld set description = '",D10,"' where tab_name = 'KUNDENSTATUS' and fld_name = 'LOESCHUSER';")</f>
        <v>0</v>
      </c>
    </row>
    <row r="11" spans="1:13">
      <c r="A11" t="s">
        <v>45</v>
      </c>
      <c r="C11" t="s">
        <v>33</v>
      </c>
      <c r="D11" t="s">
        <v>46</v>
      </c>
      <c r="H11" t="s">
        <v>44</v>
      </c>
      <c r="K11">
        <f t="array" ref="K11">CONCATENATE("update msg_out_fld_config set msg_fld_name = '",A11,"' where cd = '44C3E89FBFC07A742B2F822DBCA7F1CC';")</f>
        <v>0</v>
      </c>
      <c r="M11">
        <f t="array" ref="M11">CONCATENATE("update msg_out_fld set description = '",D11,"' where tab_name = 'KUNDENSTATUS' and fld_name = 'CRTDATUM';")</f>
        <v>0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  <c r="K12">
        <f t="array" ref="K12">CONCATENATE("update msg_out_fld_config set msg_fld_name = '",A12,"' where cd = 'D7A2A5B74D9848458EC17B046331AD52';")</f>
        <v>0</v>
      </c>
      <c r="M12">
        <f t="array" ref="M12">CONCATENATE("update msg_out_fld set description = '",D12,"' where tab_name = 'KUNDENSTATUS' and fld_name = 'CRTUSER';")</f>
        <v>0</v>
      </c>
    </row>
    <row r="13" spans="1:13">
      <c r="A13" t="s">
        <v>55</v>
      </c>
      <c r="C13" t="s">
        <v>37</v>
      </c>
      <c r="D13" t="s">
        <v>2872</v>
      </c>
      <c r="H13" t="s">
        <v>2900</v>
      </c>
      <c r="K13">
        <f t="array" ref="K13">CONCATENATE("update msg_out_fld_config set msg_fld_name = '",A13,"' where cd = '1592C47BBBD65EE063D238BECDD764C8';")</f>
        <v>0</v>
      </c>
      <c r="M13">
        <f t="array" ref="M13">CONCATENATE("update msg_out_fld set description = '",D13,"' where tab_name = 'KUNDENSTATUS' and fld_name = 'KUNDENSTATUS';")</f>
        <v>0</v>
      </c>
    </row>
    <row r="14" spans="1:13">
      <c r="A14" t="s">
        <v>2902</v>
      </c>
      <c r="C14" t="s">
        <v>68</v>
      </c>
      <c r="D14" t="s">
        <v>2903</v>
      </c>
      <c r="E14" t="s">
        <v>2904</v>
      </c>
      <c r="F14" t="s">
        <v>29</v>
      </c>
      <c r="G14" t="s">
        <v>2905</v>
      </c>
      <c r="H14" t="s">
        <v>2901</v>
      </c>
      <c r="K14">
        <f t="array" ref="K14">CONCATENATE("update msg_out_fld_config set msg_fld_name = '",A14,"' where cd = 'B1875359943C4BA378C0A016C3EC348A';")</f>
        <v>0</v>
      </c>
      <c r="M14">
        <f t="array" ref="M14">CONCATENATE("update msg_out_fld set description = '",D14,"' where tab_name = 'KUNDENSTATUS' and fld_name = 'HOLDER_TYPE_CD';")</f>
        <v>0</v>
      </c>
    </row>
    <row r="15" spans="1:13">
      <c r="A15" t="s">
        <v>2907</v>
      </c>
      <c r="C15" t="s">
        <v>26</v>
      </c>
      <c r="D15" t="s">
        <v>2908</v>
      </c>
      <c r="E15" t="s">
        <v>28</v>
      </c>
      <c r="F15" t="s">
        <v>29</v>
      </c>
      <c r="G15" t="s">
        <v>30</v>
      </c>
      <c r="H15" t="s">
        <v>2906</v>
      </c>
      <c r="K15">
        <f t="array" ref="K15">CONCATENATE("update msg_out_fld_config set msg_fld_name = '",A15,"' where cd = '7393065633A9B511B2B2D20A2D9AA569';")</f>
        <v>0</v>
      </c>
      <c r="M15">
        <f t="array" ref="M15">CONCATENATE("update msg_out_fld set description = '",D15,"' where tab_name = 'KUNDENSTATUS' and fld_name = 'INCLUDE_CRI_DEFAULT';")</f>
        <v>0</v>
      </c>
    </row>
    <row r="16" spans="1:13">
      <c r="A16" t="s">
        <v>2910</v>
      </c>
      <c r="C16" t="s">
        <v>26</v>
      </c>
      <c r="D16" t="s">
        <v>2911</v>
      </c>
      <c r="E16" t="s">
        <v>28</v>
      </c>
      <c r="F16" t="s">
        <v>29</v>
      </c>
      <c r="G16" t="s">
        <v>30</v>
      </c>
      <c r="H16" t="s">
        <v>2909</v>
      </c>
      <c r="K16">
        <f t="array" ref="K16">CONCATENATE("update msg_out_fld_config set msg_fld_name = '",A16,"' where cd = '8FDCB38552012336F1BD6D7B83CB4AA9';")</f>
        <v>0</v>
      </c>
      <c r="M16">
        <f t="array" ref="M16">CONCATENATE("update msg_out_fld set description = '",D16,"' where tab_name = 'KUNDENSTATUS' and fld_name = 'CP_TYPE_MANDATORY_CD';")</f>
        <v>0</v>
      </c>
    </row>
    <row r="17" spans="1:13">
      <c r="A17" t="s">
        <v>2913</v>
      </c>
      <c r="C17" t="s">
        <v>26</v>
      </c>
      <c r="D17" t="s">
        <v>2914</v>
      </c>
      <c r="E17" t="s">
        <v>28</v>
      </c>
      <c r="F17" t="s">
        <v>29</v>
      </c>
      <c r="G17" t="s">
        <v>30</v>
      </c>
      <c r="H17" t="s">
        <v>2912</v>
      </c>
      <c r="K17">
        <f t="array" ref="K17">CONCATENATE("update msg_out_fld_config set msg_fld_name = '",A17,"' where cd = '790F5A79F1FAE028DD1099348AF04C7C';")</f>
        <v>0</v>
      </c>
      <c r="M17">
        <f t="array" ref="M17">CONCATENATE("update msg_out_fld set description = '",D17,"' where tab_name = 'KUNDENSTATUS' and fld_name = 'CP_TYPE_PARAM_CD';")</f>
        <v>0</v>
      </c>
    </row>
    <row r="18" spans="1:13">
      <c r="A18" t="s">
        <v>2916</v>
      </c>
      <c r="C18" t="s">
        <v>26</v>
      </c>
      <c r="D18" t="s">
        <v>2917</v>
      </c>
      <c r="E18" t="s">
        <v>28</v>
      </c>
      <c r="F18" t="s">
        <v>29</v>
      </c>
      <c r="G18" t="s">
        <v>30</v>
      </c>
      <c r="H18" t="s">
        <v>2915</v>
      </c>
      <c r="K18">
        <f t="array" ref="K18">CONCATENATE("update msg_out_fld_config set msg_fld_name = '",A18,"' where cd = '526719EA8A98BC7494B5FF211364F9FC';")</f>
        <v>0</v>
      </c>
      <c r="M18">
        <f t="array" ref="M18">CONCATENATE("update msg_out_fld set description = '",D18,"' where tab_name = 'KUNDENSTATUS' and fld_name = 'RELEVANT_FOR_TAX_COUNTRY_CD';")</f>
        <v>0</v>
      </c>
    </row>
    <row r="19" spans="1:13">
      <c r="A19" t="s">
        <v>58</v>
      </c>
      <c r="C19" t="s">
        <v>33</v>
      </c>
      <c r="D19" t="s">
        <v>59</v>
      </c>
      <c r="H19" t="s">
        <v>57</v>
      </c>
      <c r="K19">
        <f t="array" ref="K19">CONCATENATE("update msg_out_fld_config set msg_fld_name = '",A19,"' where cd = '6640197716EEA78AAF02F25F543893EE';")</f>
        <v>0</v>
      </c>
      <c r="M19">
        <f t="array" ref="M19">CONCATENATE("update msg_out_fld set description = '",D19,"' where tab_name = 'KUNDENSTATUS' and fld_name = 'MUTDATUM';")</f>
        <v>0</v>
      </c>
    </row>
    <row r="20" spans="1:13">
      <c r="A20" t="s">
        <v>61</v>
      </c>
      <c r="C20" t="s">
        <v>37</v>
      </c>
      <c r="D20" t="s">
        <v>62</v>
      </c>
      <c r="E20" t="s">
        <v>39</v>
      </c>
      <c r="F20" t="s">
        <v>23</v>
      </c>
      <c r="H20" t="s">
        <v>60</v>
      </c>
      <c r="K20">
        <f t="array" ref="K20">CONCATENATE("update msg_out_fld_config set msg_fld_name = '",A20,"' where cd = 'CA1B65B772465AAA709EBAC9F20998E8';")</f>
        <v>0</v>
      </c>
      <c r="M20">
        <f t="array" ref="M20">CONCATENATE("update msg_out_fld set description = '",D20,"' where tab_name = 'KUNDENSTATUS' and fld_name = 'MUTUSER';")</f>
        <v>0</v>
      </c>
    </row>
    <row r="21" spans="1:13">
      <c r="A21" t="s">
        <v>2918</v>
      </c>
      <c r="C21" t="s">
        <v>26</v>
      </c>
      <c r="D21" t="s">
        <v>2919</v>
      </c>
      <c r="E21" t="s">
        <v>28</v>
      </c>
      <c r="F21" t="s">
        <v>29</v>
      </c>
      <c r="G21" t="s">
        <v>30</v>
      </c>
      <c r="H21" t="s">
        <v>2801</v>
      </c>
      <c r="K21">
        <f t="array" ref="K21">CONCATENATE("update msg_out_fld_config set msg_fld_name = '",A21,"' where cd = 'C5C95638F77AE7B80BC7978F5BA29E3E';")</f>
        <v>0</v>
      </c>
      <c r="M21">
        <f t="array" ref="M21">CONCATENATE("update msg_out_fld set description = '",D21,"' where tab_name = 'KUNDENSTATUS' and fld_name = 'CONTROLLING_PERSON_CD';")</f>
        <v>0</v>
      </c>
    </row>
    <row r="22" spans="1:13">
      <c r="A22" t="s">
        <v>83</v>
      </c>
      <c r="C22" t="s">
        <v>84</v>
      </c>
      <c r="D22" t="s">
        <v>85</v>
      </c>
      <c r="H22" t="s">
        <v>82</v>
      </c>
      <c r="K22">
        <f t="array" ref="K22">CONCATENATE("update msg_out_fld_config set msg_fld_name = '",A22,"' where cd = 'D5CA99FC8CAF1B87A7AA629049AFA231';")</f>
        <v>0</v>
      </c>
      <c r="M22">
        <f t="array" ref="M22">CONCATENATE("update msg_out_fld set description = '",D22,"' where tab_name = 'KUNDENSTATUS' and fld_name = 'RISKINDEX';")</f>
        <v>0</v>
      </c>
    </row>
    <row r="23" spans="1:13">
      <c r="A23" t="s">
        <v>2921</v>
      </c>
      <c r="C23" t="s">
        <v>68</v>
      </c>
      <c r="D23" t="s">
        <v>2922</v>
      </c>
      <c r="E23" t="s">
        <v>2923</v>
      </c>
      <c r="F23" t="s">
        <v>29</v>
      </c>
      <c r="G23" t="s">
        <v>2924</v>
      </c>
      <c r="H23" t="s">
        <v>2920</v>
      </c>
      <c r="K23">
        <f t="array" ref="K23">CONCATENATE("update msg_out_fld_config set msg_fld_name = '",A23,"' where cd = '41D368F032ADCCBBEAF4508A793F0A8C';")</f>
        <v>0</v>
      </c>
      <c r="M23">
        <f t="array" ref="M23">CONCATENATE("update msg_out_fld set description = '",D23,"' where tab_name = 'KUNDENSTATUS' and fld_name = 'BEREICH_CD';")</f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30.7109375" customWidth="1"/>
    <col min="2" max="2" width="4.28515625" customWidth="1"/>
    <col min="3" max="3" width="13.85546875" customWidth="1"/>
    <col min="4" max="4" width="37.85546875" customWidth="1"/>
    <col min="5" max="5" width="34.28515625" customWidth="1"/>
    <col min="6" max="6" width="10.28515625" customWidth="1"/>
    <col min="7" max="7" width="15.140625" customWidth="1"/>
    <col min="8" max="8" width="23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2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2925</v>
      </c>
    </row>
    <row r="2" spans="1:13">
      <c r="A2" s="1" t="s">
        <v>2926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890</v>
      </c>
      <c r="D6" t="s">
        <v>17</v>
      </c>
      <c r="H6" t="s">
        <v>1319</v>
      </c>
      <c r="K6">
        <f t="array" ref="K6">CONCATENATE("update msg_out_fld_config set msg_fld_name = '",A6,"' where cd = '90FA7C91CE329C7B7169F80A0235192C';")</f>
        <v>0</v>
      </c>
      <c r="M6">
        <f t="array" ref="M6">CONCATENATE("update msg_out_fld set description = '",D6,"' where tab_name = 'RELATIONSHIP_TYPE_AML' and fld_name = 'TYPE_CD';")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'6BD0952818D721D10067A6CAF22E697F';")</f>
        <v>0</v>
      </c>
      <c r="M7">
        <f t="array" ref="M7">CONCATENATE("update msg_out_fld set description = '",D7,"' where tab_name = 'RELATIONSHIP_TYPE_AML'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'BA34A0C36EACC943742A506B6D612E33';")</f>
        <v>0</v>
      </c>
      <c r="M8">
        <f t="array" ref="M8">CONCATENATE("update msg_out_fld set description = '",D8,"' where tab_name = 'RELATIONSHIP_TYPE_AML'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'CB8866879DDA7A9E0AEC709F2057DB6D';")</f>
        <v>0</v>
      </c>
      <c r="M9">
        <f t="array" ref="M9">CONCATENATE("update msg_out_fld set description = '",D9,"' where tab_name = 'RELATIONSHIP_TYPE_AML'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'D378825B58F95BFEE000C125E3FF0E64';")</f>
        <v>0</v>
      </c>
      <c r="M10">
        <f t="array" ref="M10">CONCATENATE("update msg_out_fld set description = '",D10,"' where tab_name = 'RELATIONSHIP_TYPE_AML'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'CCAAD7C0AF511364ECD62F8DA2A17CDF';")</f>
        <v>0</v>
      </c>
      <c r="M11">
        <f t="array" ref="M11">CONCATENATE("update msg_out_fld set description = '",D11,"' where tab_name = 'RELATIONSHIP_TYPE_AML' and fld_name = 'CRTUSER';")</f>
        <v>0</v>
      </c>
    </row>
    <row r="12" spans="1:13">
      <c r="A12" t="s">
        <v>55</v>
      </c>
      <c r="C12" t="s">
        <v>1226</v>
      </c>
      <c r="D12" t="s">
        <v>7</v>
      </c>
      <c r="H12" t="s">
        <v>229</v>
      </c>
      <c r="K12">
        <f t="array" ref="K12">CONCATENATE("update msg_out_fld_config set msg_fld_name = '",A12,"' where cd = 'CA72D10186526114DB74A15EA8BF4B76';")</f>
        <v>0</v>
      </c>
      <c r="M12">
        <f t="array" ref="M12">CONCATENATE("update msg_out_fld set description = '",D12,"' where tab_name = 'RELATIONSHIP_TYPE_AML' and fld_name = 'DESCRIPTION';")</f>
        <v>0</v>
      </c>
    </row>
    <row r="13" spans="1:13">
      <c r="A13" t="s">
        <v>2928</v>
      </c>
      <c r="C13" t="s">
        <v>26</v>
      </c>
      <c r="D13" t="s">
        <v>2929</v>
      </c>
      <c r="E13" t="s">
        <v>28</v>
      </c>
      <c r="F13" t="s">
        <v>29</v>
      </c>
      <c r="G13" t="s">
        <v>30</v>
      </c>
      <c r="H13" t="s">
        <v>2927</v>
      </c>
      <c r="K13">
        <f t="array" ref="K13">CONCATENATE("update msg_out_fld_config set msg_fld_name = '",A13,"' where cd = '1A80D4A89D73508809931ED1180C0765';")</f>
        <v>0</v>
      </c>
      <c r="M13">
        <f t="array" ref="M13">CONCATENATE("update msg_out_fld set description = '",D13,"' where tab_name = 'RELATIONSHIP_TYPE_AML' and fld_name = 'INCLUDE_CRI_CALC';")</f>
        <v>0</v>
      </c>
    </row>
    <row r="14" spans="1:13">
      <c r="A14" t="s">
        <v>2931</v>
      </c>
      <c r="C14" t="s">
        <v>26</v>
      </c>
      <c r="D14" t="s">
        <v>2932</v>
      </c>
      <c r="E14" t="s">
        <v>28</v>
      </c>
      <c r="F14" t="s">
        <v>29</v>
      </c>
      <c r="G14" t="s">
        <v>30</v>
      </c>
      <c r="H14" t="s">
        <v>2930</v>
      </c>
      <c r="K14">
        <f t="array" ref="K14">CONCATENATE("update msg_out_fld_config set msg_fld_name = '",A14,"' where cd = 'D25DFB08D76EF4DC5C38A4554AD7C9D3';")</f>
        <v>0</v>
      </c>
      <c r="M14">
        <f t="array" ref="M14">CONCATENATE("update msg_out_fld set description = '",D14,"' where tab_name = 'RELATIONSHIP_TYPE_AML' and fld_name = 'REL_BANKS_CD';")</f>
        <v>0</v>
      </c>
    </row>
    <row r="15" spans="1:13">
      <c r="A15" t="s">
        <v>2934</v>
      </c>
      <c r="C15" t="s">
        <v>26</v>
      </c>
      <c r="D15" t="s">
        <v>2935</v>
      </c>
      <c r="E15" t="s">
        <v>28</v>
      </c>
      <c r="F15" t="s">
        <v>29</v>
      </c>
      <c r="G15" t="s">
        <v>30</v>
      </c>
      <c r="H15" t="s">
        <v>2933</v>
      </c>
      <c r="K15">
        <f t="array" ref="K15">CONCATENATE("update msg_out_fld_config set msg_fld_name = '",A15,"' where cd = 'C81BDCDDE3C7F28127FDA0FC7573C033';")</f>
        <v>0</v>
      </c>
      <c r="M15">
        <f t="array" ref="M15">CONCATENATE("update msg_out_fld set description = '",D15,"' where tab_name = 'RELATIONSHIP_TYPE_AML' and fld_name = 'REL_CLIENT_CD';")</f>
        <v>0</v>
      </c>
    </row>
    <row r="16" spans="1:13">
      <c r="A16" t="s">
        <v>2937</v>
      </c>
      <c r="C16" t="s">
        <v>26</v>
      </c>
      <c r="D16" t="s">
        <v>2938</v>
      </c>
      <c r="E16" t="s">
        <v>28</v>
      </c>
      <c r="F16" t="s">
        <v>29</v>
      </c>
      <c r="G16" t="s">
        <v>30</v>
      </c>
      <c r="H16" t="s">
        <v>2936</v>
      </c>
      <c r="K16">
        <f t="array" ref="K16">CONCATENATE("update msg_out_fld_config set msg_fld_name = '",A16,"' where cd = '6FB84C0C8D36C0335B2A42026C5DF63D';")</f>
        <v>0</v>
      </c>
      <c r="M16">
        <f t="array" ref="M16">CONCATENATE("update msg_out_fld set description = '",D16,"' where tab_name = 'RELATIONSHIP_TYPE_AML' and fld_name = 'REL_TECH_ACCOUNT_CD';")</f>
        <v>0</v>
      </c>
    </row>
    <row r="17" spans="1:13">
      <c r="A17" t="s">
        <v>58</v>
      </c>
      <c r="C17" t="s">
        <v>33</v>
      </c>
      <c r="D17" t="s">
        <v>59</v>
      </c>
      <c r="H17" t="s">
        <v>57</v>
      </c>
      <c r="K17">
        <f t="array" ref="K17">CONCATENATE("update msg_out_fld_config set msg_fld_name = '",A17,"' where cd = '09995DA32FA1EB2647C09B2E3FEBCCFE';")</f>
        <v>0</v>
      </c>
      <c r="M17">
        <f t="array" ref="M17">CONCATENATE("update msg_out_fld set description = '",D17,"' where tab_name = 'RELATIONSHIP_TYPE_AML' and fld_name = 'MUTDATUM';")</f>
        <v>0</v>
      </c>
    </row>
    <row r="18" spans="1:13">
      <c r="A18" t="s">
        <v>61</v>
      </c>
      <c r="C18" t="s">
        <v>37</v>
      </c>
      <c r="D18" t="s">
        <v>62</v>
      </c>
      <c r="E18" t="s">
        <v>39</v>
      </c>
      <c r="F18" t="s">
        <v>23</v>
      </c>
      <c r="H18" t="s">
        <v>60</v>
      </c>
      <c r="K18">
        <f t="array" ref="K18">CONCATENATE("update msg_out_fld_config set msg_fld_name = '",A18,"' where cd = 'B01CEEBABA839FA1756828E1440D6B8E';")</f>
        <v>0</v>
      </c>
      <c r="M18">
        <f t="array" ref="M18">CONCATENATE("update msg_out_fld set description = '",D18,"' where tab_name = 'RELATIONSHIP_TYPE_AML' and fld_name = 'MUTUSER';")</f>
        <v>0</v>
      </c>
    </row>
    <row r="19" spans="1:13">
      <c r="A19" t="s">
        <v>83</v>
      </c>
      <c r="C19" t="s">
        <v>84</v>
      </c>
      <c r="D19" t="s">
        <v>85</v>
      </c>
      <c r="H19" t="s">
        <v>2939</v>
      </c>
      <c r="K19">
        <f t="array" ref="K19">CONCATENATE("update msg_out_fld_config set msg_fld_name = '",A19,"' where cd = 'E4CF9FCA9BF2E31257C0B23508E6DC32';")</f>
        <v>0</v>
      </c>
      <c r="M19">
        <f t="array" ref="M19">CONCATENATE("update msg_out_fld set description = '",D19,"' where tab_name = 'RELATIONSHIP_TYPE_AML' and fld_name = 'RISK_INDEX';")</f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5.85546875" customWidth="1"/>
    <col min="2" max="2" width="4.28515625" customWidth="1"/>
    <col min="3" max="3" width="15.140625" customWidth="1"/>
    <col min="4" max="4" width="27.140625" customWidth="1"/>
    <col min="5" max="5" width="34.28515625" customWidth="1"/>
    <col min="6" max="6" width="10.28515625" customWidth="1"/>
    <col min="7" max="7" width="15.140625" customWidth="1"/>
    <col min="8" max="8" width="17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3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2940</v>
      </c>
    </row>
    <row r="2" spans="1:13">
      <c r="A2" s="1" t="s">
        <v>2941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2181</v>
      </c>
      <c r="K6">
        <f t="array" ref="K6">CONCATENATE("update msg_out_fld_config set msg_fld_name = '",A6,"' where cd = '620367DCAFA57028EA079684F481AAA1';")</f>
        <v>0</v>
      </c>
      <c r="M6">
        <f t="array" ref="M6">CONCATENATE("update msg_out_fld set description = '",D6,"' where tab_name = 'ANZEIGEART' and fld_name = 'ANZEIGEART_CD';")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'A2749A90F4AA059DFC71A0B44B1043E0';")</f>
        <v>0</v>
      </c>
      <c r="M7">
        <f t="array" ref="M7">CONCATENATE("update msg_out_fld set description = '",D7,"' where tab_name = 'ANZEIGEART'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'0BA142FCDEFBFC145731587FF95FFFB3';")</f>
        <v>0</v>
      </c>
      <c r="M8">
        <f t="array" ref="M8">CONCATENATE("update msg_out_fld set description = '",D8,"' where tab_name = 'ANZEIGEART'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'41A9CBE9E0F421BB6DF97CCAD609220E';")</f>
        <v>0</v>
      </c>
      <c r="M9">
        <f t="array" ref="M9">CONCATENATE("update msg_out_fld set description = '",D9,"' where tab_name = 'ANZEIGEART'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'C4632A6BA765A8CBB71AE08AAF69AEAD';")</f>
        <v>0</v>
      </c>
      <c r="M10">
        <f t="array" ref="M10">CONCATENATE("update msg_out_fld set description = '",D10,"' where tab_name = 'ANZEIGEART'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'11213061CBFAB8DD418B5B424578FF22';")</f>
        <v>0</v>
      </c>
      <c r="M11">
        <f t="array" ref="M11">CONCATENATE("update msg_out_fld set description = '",D11,"' where tab_name = 'ANZEIGEART' and fld_name = 'CRTUSER';")</f>
        <v>0</v>
      </c>
    </row>
    <row r="12" spans="1:13">
      <c r="A12" t="s">
        <v>55</v>
      </c>
      <c r="C12" t="s">
        <v>211</v>
      </c>
      <c r="D12" t="s">
        <v>2183</v>
      </c>
      <c r="H12" t="s">
        <v>2942</v>
      </c>
      <c r="K12">
        <f t="array" ref="K12">CONCATENATE("update msg_out_fld_config set msg_fld_name = '",A12,"' where cd = 'F82719E547FC3E63C7E2BD74DC8F7E38';")</f>
        <v>0</v>
      </c>
      <c r="M12">
        <f t="array" ref="M12">CONCATENATE("update msg_out_fld set description = '",D12,"' where tab_name = 'ANZEIGEART' and fld_name = 'ANZEIGEART';")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'5AF96F0FF243574EB733C0B61CA0773B';")</f>
        <v>0</v>
      </c>
      <c r="M13">
        <f t="array" ref="M13">CONCATENATE("update msg_out_fld set description = '",D13,"' where tab_name = 'ANZEIGEART'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'CF59854D390558164A410AA8C67D1ED1';")</f>
        <v>0</v>
      </c>
      <c r="M14">
        <f t="array" ref="M14">CONCATENATE("update msg_out_fld set description = '",D14,"' where tab_name = 'ANZEIGEART' and fld_name = 'MUTUSER';")</f>
        <v>0</v>
      </c>
    </row>
    <row r="15" spans="1:13">
      <c r="A15" t="s">
        <v>2944</v>
      </c>
      <c r="C15" t="s">
        <v>84</v>
      </c>
      <c r="D15" t="s">
        <v>2945</v>
      </c>
      <c r="H15" t="s">
        <v>2943</v>
      </c>
      <c r="K15">
        <f t="array" ref="K15">CONCATENATE("update msg_out_fld_config set msg_fld_name = '",A15,"' where cd = 'EF406E0A45964D3923885A9162F8580C';")</f>
        <v>0</v>
      </c>
      <c r="M15">
        <f t="array" ref="M15">CONCATENATE("update msg_out_fld set description = '",D15,"' where tab_name = 'ANZEIGEART' and fld_name = 'POSTAL_CHARGES';")</f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30.7109375" customWidth="1"/>
    <col min="2" max="2" width="4.28515625" customWidth="1"/>
    <col min="3" max="3" width="15.140625" customWidth="1"/>
    <col min="4" max="4" width="76.28515625" customWidth="1"/>
    <col min="5" max="5" width="34.28515625" customWidth="1"/>
    <col min="6" max="6" width="10.28515625" customWidth="1"/>
    <col min="7" max="7" width="15.140625" customWidth="1"/>
    <col min="8" max="8" width="23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5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2946</v>
      </c>
    </row>
    <row r="2" spans="1:13">
      <c r="A2" s="1" t="s">
        <v>2947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893</v>
      </c>
      <c r="K6">
        <f t="array" ref="K6">CONCATENATE("update msg_out_fld_config set msg_fld_name = '",A6,"' where cd = '0FB09E08E6B797DA19E144BC0F61866F';")</f>
        <v>0</v>
      </c>
      <c r="M6">
        <f t="array" ref="M6">CONCATENATE("update msg_out_fld set description = '",D6,"' where tab_name = 'RISIKOKATEGORIE' and fld_name = 'RISIKOKATEGORIE_CD';")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'C8EA651403E5B27093B6DF1C3F3A820F';")</f>
        <v>0</v>
      </c>
      <c r="M7">
        <f t="array" ref="M7">CONCATENATE("update msg_out_fld set description = '",D7,"' where tab_name = 'RISIKOKATEGORIE'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'F6BA4DB0F1A71889B607C573EF46AA99';")</f>
        <v>0</v>
      </c>
      <c r="M8">
        <f t="array" ref="M8">CONCATENATE("update msg_out_fld set description = '",D8,"' where tab_name = 'RISIKOKATEGORIE'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'E6800634CE3FBF3E92345DE760C47DA4';")</f>
        <v>0</v>
      </c>
      <c r="M9">
        <f t="array" ref="M9">CONCATENATE("update msg_out_fld set description = '",D9,"' where tab_name = 'RISIKOKATEGORIE'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'F0D91AF70CBFFAF43662C0FD305D9A15';")</f>
        <v>0</v>
      </c>
      <c r="M10">
        <f t="array" ref="M10">CONCATENATE("update msg_out_fld set description = '",D10,"' where tab_name = 'RISIKOKATEGORIE'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'363171BADD8D5E8FB7980F64F11FF563';")</f>
        <v>0</v>
      </c>
      <c r="M11">
        <f t="array" ref="M11">CONCATENATE("update msg_out_fld set description = '",D11,"' where tab_name = 'RISIKOKATEGORIE' and fld_name = 'CRTUSER';")</f>
        <v>0</v>
      </c>
    </row>
    <row r="12" spans="1:13">
      <c r="A12" t="s">
        <v>2949</v>
      </c>
      <c r="C12" t="s">
        <v>26</v>
      </c>
      <c r="D12" t="s">
        <v>2950</v>
      </c>
      <c r="E12" t="s">
        <v>28</v>
      </c>
      <c r="F12" t="s">
        <v>29</v>
      </c>
      <c r="G12" t="s">
        <v>30</v>
      </c>
      <c r="H12" t="s">
        <v>2948</v>
      </c>
      <c r="K12">
        <f t="array" ref="K12">CONCATENATE("update msg_out_fld_config set msg_fld_name = '",A12,"' where cd = '0DDE655A6495A615939BD3CA0C876120';")</f>
        <v>0</v>
      </c>
      <c r="M12">
        <f t="array" ref="M12">CONCATENATE("update msg_out_fld set description = '",D12,"' where tab_name = 'RISIKOKATEGORIE' and fld_name = 'FLAGCTRLTITUC';")</f>
        <v>0</v>
      </c>
    </row>
    <row r="13" spans="1:13">
      <c r="A13" t="s">
        <v>55</v>
      </c>
      <c r="C13" t="s">
        <v>42</v>
      </c>
      <c r="D13" t="s">
        <v>895</v>
      </c>
      <c r="H13" t="s">
        <v>2951</v>
      </c>
      <c r="K13">
        <f t="array" ref="K13">CONCATENATE("update msg_out_fld_config set msg_fld_name = '",A13,"' where cd = '46E996079C319EA22A4DCA3F8AAE4C25';")</f>
        <v>0</v>
      </c>
      <c r="M13">
        <f t="array" ref="M13">CONCATENATE("update msg_out_fld set description = '",D13,"' where tab_name = 'RISIKOKATEGORIE' and fld_name = 'RISIKOKATEGORIE';")</f>
        <v>0</v>
      </c>
    </row>
    <row r="14" spans="1:13">
      <c r="A14" t="s">
        <v>2953</v>
      </c>
      <c r="C14" t="s">
        <v>68</v>
      </c>
      <c r="D14" t="s">
        <v>2954</v>
      </c>
      <c r="H14" t="s">
        <v>2952</v>
      </c>
      <c r="K14">
        <f t="array" ref="K14">CONCATENATE("update msg_out_fld_config set msg_fld_name = '",A14,"' where cd = 'A7C3CE39193F8F22CEBA790F8828780F';")</f>
        <v>0</v>
      </c>
      <c r="M14">
        <f t="array" ref="M14">CONCATENATE("update msg_out_fld set description = '",D14,"' where tab_name = 'RISIKOKATEGORIE' and fld_name = 'MAGERRNBTRNMOISI';")</f>
        <v>0</v>
      </c>
    </row>
    <row r="15" spans="1:13">
      <c r="A15" t="s">
        <v>2956</v>
      </c>
      <c r="C15" t="s">
        <v>68</v>
      </c>
      <c r="D15" t="s">
        <v>2957</v>
      </c>
      <c r="H15" t="s">
        <v>2955</v>
      </c>
      <c r="K15">
        <f t="array" ref="K15">CONCATENATE("update msg_out_fld_config set msg_fld_name = '",A15,"' where cd = 'BCB31B7050312A5839E7594A2A9FBD51';")</f>
        <v>0</v>
      </c>
      <c r="M15">
        <f t="array" ref="M15">CONCATENATE("update msg_out_fld set description = '",D15,"' where tab_name = 'RISIKOKATEGORIE' and fld_name = 'NBMOISPERIINITI';")</f>
        <v>0</v>
      </c>
    </row>
    <row r="16" spans="1:13">
      <c r="A16" t="s">
        <v>2959</v>
      </c>
      <c r="C16" t="s">
        <v>84</v>
      </c>
      <c r="D16" t="s">
        <v>2960</v>
      </c>
      <c r="H16" t="s">
        <v>2958</v>
      </c>
      <c r="K16">
        <f t="array" ref="K16">CONCATENATE("update msg_out_fld_config set msg_fld_name = '",A16,"' where cd = '57F62B62E666F44DFF726D7F643B63EC';")</f>
        <v>0</v>
      </c>
      <c r="M16">
        <f t="array" ref="M16">CONCATENATE("update msg_out_fld set description = '",D16,"' where tab_name = 'RISIKOKATEGORIE' and fld_name = 'MTLIMXCLUPERIINITD';")</f>
        <v>0</v>
      </c>
    </row>
    <row r="17" spans="1:13">
      <c r="A17" t="s">
        <v>2962</v>
      </c>
      <c r="C17" t="s">
        <v>26</v>
      </c>
      <c r="D17" t="s">
        <v>2963</v>
      </c>
      <c r="E17" t="s">
        <v>28</v>
      </c>
      <c r="F17" t="s">
        <v>29</v>
      </c>
      <c r="G17" t="s">
        <v>30</v>
      </c>
      <c r="H17" t="s">
        <v>2961</v>
      </c>
      <c r="K17">
        <f t="array" ref="K17">CONCATENATE("update msg_out_fld_config set msg_fld_name = '",A17,"' where cd = '79187BD60E523168EA550714895B2340';")</f>
        <v>0</v>
      </c>
      <c r="M17">
        <f t="array" ref="M17">CONCATENATE("update msg_out_fld set description = '",D17,"' where tab_name = 'RISIKOKATEGORIE' and fld_name = 'FLAGPEPC';")</f>
        <v>0</v>
      </c>
    </row>
    <row r="18" spans="1:13">
      <c r="A18" t="s">
        <v>2965</v>
      </c>
      <c r="C18" t="s">
        <v>26</v>
      </c>
      <c r="D18" t="s">
        <v>2966</v>
      </c>
      <c r="E18" t="s">
        <v>28</v>
      </c>
      <c r="F18" t="s">
        <v>29</v>
      </c>
      <c r="G18" t="s">
        <v>30</v>
      </c>
      <c r="H18" t="s">
        <v>2964</v>
      </c>
      <c r="K18">
        <f t="array" ref="K18">CONCATENATE("update msg_out_fld_config set msg_fld_name = '",A18,"' where cd = '5622DD3337021AE4D1F2B6574EC9CF56';")</f>
        <v>0</v>
      </c>
      <c r="M18">
        <f t="array" ref="M18">CONCATENATE("update msg_out_fld set description = '",D18,"' where tab_name = 'RISIKOKATEGORIE' and fld_name = 'RISIKO_CD';")</f>
        <v>0</v>
      </c>
    </row>
    <row r="19" spans="1:13">
      <c r="A19" t="s">
        <v>2967</v>
      </c>
      <c r="C19" t="s">
        <v>26</v>
      </c>
      <c r="D19" t="s">
        <v>922</v>
      </c>
      <c r="E19" t="s">
        <v>28</v>
      </c>
      <c r="F19" t="s">
        <v>29</v>
      </c>
      <c r="G19" t="s">
        <v>30</v>
      </c>
      <c r="H19" t="s">
        <v>920</v>
      </c>
      <c r="K19">
        <f t="array" ref="K19">CONCATENATE("update msg_out_fld_config set msg_fld_name = '",A19,"' where cd = '1F3F207C3A217FE0AD529A5AD16DD25A';")</f>
        <v>0</v>
      </c>
      <c r="M19">
        <f t="array" ref="M19">CONCATENATE("update msg_out_fld set description = '",D19,"' where tab_name = 'RISIKOKATEGORIE' and fld_name = 'SPEZIALKATEGORIE_CD';")</f>
        <v>0</v>
      </c>
    </row>
    <row r="20" spans="1:13">
      <c r="A20" t="s">
        <v>2969</v>
      </c>
      <c r="C20" t="s">
        <v>68</v>
      </c>
      <c r="D20" t="s">
        <v>2970</v>
      </c>
      <c r="H20" t="s">
        <v>2968</v>
      </c>
      <c r="K20">
        <f t="array" ref="K20">CONCATENATE("update msg_out_fld_config set msg_fld_name = '",A20,"' where cd = '86B9F80EA778D25CEB07C96489B82D1B';")</f>
        <v>0</v>
      </c>
      <c r="M20">
        <f t="array" ref="M20">CONCATENATE("update msg_out_fld set description = '",D20,"' where tab_name = 'RISIKOKATEGORIE' and fld_name = 'NBLIMTRNGRSI';")</f>
        <v>0</v>
      </c>
    </row>
    <row r="21" spans="1:13">
      <c r="A21" t="s">
        <v>2972</v>
      </c>
      <c r="C21" t="s">
        <v>2973</v>
      </c>
      <c r="D21" t="s">
        <v>2974</v>
      </c>
      <c r="H21" t="s">
        <v>2971</v>
      </c>
      <c r="K21">
        <f t="array" ref="K21">CONCATENATE("update msg_out_fld_config set msg_fld_name = '",A21,"' where cd = '9B16DCFDBE9F9E6B728A8D47335CB088';")</f>
        <v>0</v>
      </c>
      <c r="M21">
        <f t="array" ref="M21">CONCATENATE("update msg_out_fld set description = '",D21,"' where tab_name = 'RISIKOKATEGORIE' and fld_name = 'MTLIMGRSTDSD';")</f>
        <v>0</v>
      </c>
    </row>
    <row r="22" spans="1:13">
      <c r="A22" t="s">
        <v>2976</v>
      </c>
      <c r="C22" t="s">
        <v>84</v>
      </c>
      <c r="D22" t="s">
        <v>2977</v>
      </c>
      <c r="H22" t="s">
        <v>2975</v>
      </c>
      <c r="K22">
        <f t="array" ref="K22">CONCATENATE("update msg_out_fld_config set msg_fld_name = '",A22,"' where cd = 'E24671D15C6919C18720F56588790744';")</f>
        <v>0</v>
      </c>
      <c r="M22">
        <f t="array" ref="M22">CONCATENATE("update msg_out_fld set description = '",D22,"' where tab_name = 'RISIKOKATEGORIE' and fld_name = 'MAXRISIKOINDEX';")</f>
        <v>0</v>
      </c>
    </row>
    <row r="23" spans="1:13">
      <c r="A23" t="s">
        <v>2979</v>
      </c>
      <c r="C23" t="s">
        <v>84</v>
      </c>
      <c r="D23" t="s">
        <v>2980</v>
      </c>
      <c r="H23" t="s">
        <v>2978</v>
      </c>
      <c r="K23">
        <f t="array" ref="K23">CONCATENATE("update msg_out_fld_config set msg_fld_name = '",A23,"' where cd = '690F8982F2DE7C0EE853557E4C741825';")</f>
        <v>0</v>
      </c>
      <c r="M23">
        <f t="array" ref="M23">CONCATENATE("update msg_out_fld set description = '",D23,"' where tab_name = 'RISIKOKATEGORIE' and fld_name = 'MINRISIKOINDEX';")</f>
        <v>0</v>
      </c>
    </row>
    <row r="24" spans="1:13">
      <c r="A24" t="s">
        <v>58</v>
      </c>
      <c r="C24" t="s">
        <v>33</v>
      </c>
      <c r="D24" t="s">
        <v>59</v>
      </c>
      <c r="H24" t="s">
        <v>57</v>
      </c>
      <c r="K24">
        <f t="array" ref="K24">CONCATENATE("update msg_out_fld_config set msg_fld_name = '",A24,"' where cd = 'AD1AF9443B1995CD4840DE1FF4C979DD';")</f>
        <v>0</v>
      </c>
      <c r="M24">
        <f t="array" ref="M24">CONCATENATE("update msg_out_fld set description = '",D24,"' where tab_name = 'RISIKOKATEGORIE' and fld_name = 'MUTDATUM';")</f>
        <v>0</v>
      </c>
    </row>
    <row r="25" spans="1:13">
      <c r="A25" t="s">
        <v>61</v>
      </c>
      <c r="C25" t="s">
        <v>37</v>
      </c>
      <c r="D25" t="s">
        <v>62</v>
      </c>
      <c r="E25" t="s">
        <v>39</v>
      </c>
      <c r="F25" t="s">
        <v>23</v>
      </c>
      <c r="H25" t="s">
        <v>60</v>
      </c>
      <c r="K25">
        <f t="array" ref="K25">CONCATENATE("update msg_out_fld_config set msg_fld_name = '",A25,"' where cd = 'CBC88047FED5706757AEFF81905038ED';")</f>
        <v>0</v>
      </c>
      <c r="M25">
        <f t="array" ref="M25">CONCATENATE("update msg_out_fld set description = '",D25,"' where tab_name = 'RISIKOKATEGORIE' and fld_name = 'MUTUSER';")</f>
        <v>0</v>
      </c>
    </row>
    <row r="26" spans="1:13">
      <c r="A26" t="s">
        <v>2982</v>
      </c>
      <c r="C26" t="s">
        <v>26</v>
      </c>
      <c r="D26" t="s">
        <v>2983</v>
      </c>
      <c r="E26" t="s">
        <v>28</v>
      </c>
      <c r="F26" t="s">
        <v>29</v>
      </c>
      <c r="G26" t="s">
        <v>30</v>
      </c>
      <c r="H26" t="s">
        <v>2981</v>
      </c>
      <c r="K26">
        <f t="array" ref="K26">CONCATENATE("update msg_out_fld_config set msg_fld_name = '",A26,"' where cd = 'C1F8BBE5C99DB84F973F3F77D9D0DE6F';")</f>
        <v>0</v>
      </c>
      <c r="M26">
        <f t="array" ref="M26">CONCATENATE("update msg_out_fld set description = '",D26,"' where tab_name = 'RISIKOKATEGORIE' and fld_name = 'UPDATE_GW_PROFIL_CD';")</f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5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2984</v>
      </c>
    </row>
    <row r="2" spans="1:13">
      <c r="A2" s="1" t="s">
        <v>2985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275</v>
      </c>
      <c r="D6" t="s">
        <v>17</v>
      </c>
      <c r="H6" t="s">
        <v>2986</v>
      </c>
      <c r="K6">
        <f t="array" ref="K6">CONCATENATE("update msg_out_fld_config set msg_fld_name = '",A6,"' where cd = 'C27FC09E288E2C4AA45798A90CF5ED01';")</f>
        <v>0</v>
      </c>
      <c r="M6">
        <f t="array" ref="M6">CONCATENATE("update msg_out_fld set description = '",D6,"' where tab_name = 'RISIKOREGION' and fld_name = 'RISIKOREGION_CD';")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'ED193692ED74FA2ED1649D995CBA95B0';")</f>
        <v>0</v>
      </c>
      <c r="M7">
        <f t="array" ref="M7">CONCATENATE("update msg_out_fld set description = '",D7,"' where tab_name = 'RISIKOREGION'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'D1F7D788BA2BD8E24366E7570CD8E42E';")</f>
        <v>0</v>
      </c>
      <c r="M8">
        <f t="array" ref="M8">CONCATENATE("update msg_out_fld set description = '",D8,"' where tab_name = 'RISIKOREGION'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'27A3CCD4DAA929CD2C9CAA1561AC5AF5';")</f>
        <v>0</v>
      </c>
      <c r="M9">
        <f t="array" ref="M9">CONCATENATE("update msg_out_fld set description = '",D9,"' where tab_name = 'RISIKOREGION'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'B630D8957FE50FFC196D51AE7AFA06FF';")</f>
        <v>0</v>
      </c>
      <c r="M10">
        <f t="array" ref="M10">CONCATENATE("update msg_out_fld set description = '",D10,"' where tab_name = 'RISIKOREGION'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'F8A6EC7B2B05CAA84CA1B981308CEB8A';")</f>
        <v>0</v>
      </c>
      <c r="M11">
        <f t="array" ref="M11">CONCATENATE("update msg_out_fld set description = '",D11,"' where tab_name = 'RISIKOREGION' and fld_name = 'CRTUSER';")</f>
        <v>0</v>
      </c>
    </row>
    <row r="12" spans="1:13">
      <c r="A12" t="s">
        <v>55</v>
      </c>
      <c r="C12" t="s">
        <v>42</v>
      </c>
      <c r="D12" t="s">
        <v>2988</v>
      </c>
      <c r="H12" t="s">
        <v>2987</v>
      </c>
      <c r="K12">
        <f t="array" ref="K12">CONCATENATE("update msg_out_fld_config set msg_fld_name = '",A12,"' where cd = 'DD91222627988FA203978FF6D5CF6D69';")</f>
        <v>0</v>
      </c>
      <c r="M12">
        <f t="array" ref="M12">CONCATENATE("update msg_out_fld set description = '",D12,"' where tab_name = 'RISIKOREGION' and fld_name = 'RISIKOREGION';")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'7B963FCE8931AA1DE13E1D621340FBB5';")</f>
        <v>0</v>
      </c>
      <c r="M13">
        <f t="array" ref="M13">CONCATENATE("update msg_out_fld set description = '",D13,"' where tab_name = 'RISIKOREGION'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'3F198A97C1277DBC7269148D5950F740';")</f>
        <v>0</v>
      </c>
      <c r="M14">
        <f t="array" ref="M14">CONCATENATE("update msg_out_fld set description = '",D14,"' where tab_name = 'RISIKOREGION' and fld_name = 'MUTUSER';")</f>
        <v>0</v>
      </c>
    </row>
    <row r="15" spans="1:13">
      <c r="A15" t="s">
        <v>83</v>
      </c>
      <c r="C15" t="s">
        <v>84</v>
      </c>
      <c r="D15" t="s">
        <v>85</v>
      </c>
      <c r="H15" t="s">
        <v>82</v>
      </c>
      <c r="K15">
        <f t="array" ref="K15">CONCATENATE("update msg_out_fld_config set msg_fld_name = '",A15,"' where cd = '8532D1F4DD5F6438855AC6A0655595CE';")</f>
        <v>0</v>
      </c>
      <c r="M15">
        <f t="array" ref="M15">CONCATENATE("update msg_out_fld set description = '",D15,"' where tab_name = 'RISIKOREGION' and fld_name = 'RISKINDEX';")</f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49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2989</v>
      </c>
    </row>
    <row r="2" spans="1:13">
      <c r="A2" s="1" t="s">
        <v>2990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176</v>
      </c>
      <c r="K6">
        <f t="array" ref="K6">CONCATENATE("update msg_out_fld_config set msg_fld_name = '",A6,"' where cd = '89971E3D3364C9D665943006AF442B83';")</f>
        <v>0</v>
      </c>
      <c r="M6">
        <f t="array" ref="M6">CONCATENATE("update msg_out_fld set description = '",D6,"' where tab_name = 'ANREDE' and fld_name = 'ANREDE_CD';")</f>
        <v>0</v>
      </c>
    </row>
    <row r="7" spans="1:13">
      <c r="A7" t="s">
        <v>2992</v>
      </c>
      <c r="C7" t="s">
        <v>664</v>
      </c>
      <c r="D7" t="s">
        <v>2206</v>
      </c>
      <c r="H7" t="s">
        <v>2991</v>
      </c>
      <c r="K7">
        <f t="array" ref="K7">CONCATENATE("update msg_out_fld_config set msg_fld_name = '",A7,"' where cd = '7976E4F033711FC9E19847C3C07948A7';")</f>
        <v>0</v>
      </c>
      <c r="M7">
        <f t="array" ref="M7">CONCATENATE("update msg_out_fld set description = '",D7,"' where tab_name = 'ANREDE' and fld_name = 'APSYS_CDDENS';")</f>
        <v>0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'B4F0B6510CF7237D204A3500D5AF5BBE';")</f>
        <v>0</v>
      </c>
      <c r="M8">
        <f t="array" ref="M8">CONCATENATE("update msg_out_fld set description = '",D8,"' where tab_name = 'ANREDE' and fld_name = 'LOESCH_CD';")</f>
        <v>0</v>
      </c>
    </row>
    <row r="9" spans="1:13">
      <c r="A9" t="s">
        <v>32</v>
      </c>
      <c r="C9" t="s">
        <v>33</v>
      </c>
      <c r="D9" t="s">
        <v>34</v>
      </c>
      <c r="H9" t="s">
        <v>31</v>
      </c>
      <c r="K9">
        <f t="array" ref="K9">CONCATENATE("update msg_out_fld_config set msg_fld_name = '",A9,"' where cd = '35276B225377518977D54B299087BF2C';")</f>
        <v>0</v>
      </c>
      <c r="M9">
        <f t="array" ref="M9">CONCATENATE("update msg_out_fld set description = '",D9,"' where tab_name = 'ANREDE' and fld_name = 'LOESCHDATUM';")</f>
        <v>0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'15D8C387A3F1A56753224413FB31B993';")</f>
        <v>0</v>
      </c>
      <c r="M10">
        <f t="array" ref="M10">CONCATENATE("update msg_out_fld set description = '",D10,"' where tab_name = 'ANREDE' and fld_name = 'LOESCHUSER';")</f>
        <v>0</v>
      </c>
    </row>
    <row r="11" spans="1:13">
      <c r="A11" t="s">
        <v>45</v>
      </c>
      <c r="C11" t="s">
        <v>33</v>
      </c>
      <c r="D11" t="s">
        <v>46</v>
      </c>
      <c r="H11" t="s">
        <v>44</v>
      </c>
      <c r="K11">
        <f t="array" ref="K11">CONCATENATE("update msg_out_fld_config set msg_fld_name = '",A11,"' where cd = '262003B87DFC21ED27725E720C242298';")</f>
        <v>0</v>
      </c>
      <c r="M11">
        <f t="array" ref="M11">CONCATENATE("update msg_out_fld set description = '",D11,"' where tab_name = 'ANREDE' and fld_name = 'CRTDATUM';")</f>
        <v>0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  <c r="K12">
        <f t="array" ref="K12">CONCATENATE("update msg_out_fld_config set msg_fld_name = '",A12,"' where cd = '38CC915A32E7CC83C943AE81399059A3';")</f>
        <v>0</v>
      </c>
      <c r="M12">
        <f t="array" ref="M12">CONCATENATE("update msg_out_fld set description = '",D12,"' where tab_name = 'ANREDE' and fld_name = 'CRTUSER';")</f>
        <v>0</v>
      </c>
    </row>
    <row r="13" spans="1:13">
      <c r="A13" t="s">
        <v>55</v>
      </c>
      <c r="C13" t="s">
        <v>37</v>
      </c>
      <c r="D13" t="s">
        <v>2993</v>
      </c>
      <c r="H13" t="s">
        <v>2115</v>
      </c>
      <c r="K13">
        <f t="array" ref="K13">CONCATENATE("update msg_out_fld_config set msg_fld_name = '",A13,"' where cd = 'B9FFF3B3384B63EC7C64A95DA1CE0834';")</f>
        <v>0</v>
      </c>
      <c r="M13">
        <f t="array" ref="M13">CONCATENATE("update msg_out_fld set description = '",D13,"' where tab_name = 'ANREDE' and fld_name = 'ANREDE';")</f>
        <v>0</v>
      </c>
    </row>
    <row r="14" spans="1:13">
      <c r="A14" t="s">
        <v>2995</v>
      </c>
      <c r="C14" t="s">
        <v>37</v>
      </c>
      <c r="D14" t="s">
        <v>2996</v>
      </c>
      <c r="H14" t="s">
        <v>2994</v>
      </c>
      <c r="K14">
        <f t="array" ref="K14">CONCATENATE("update msg_out_fld_config set msg_fld_name = '",A14,"' where cd = 'C378F7D067616D50CEE24E8A49D8A259';")</f>
        <v>0</v>
      </c>
      <c r="M14">
        <f t="array" ref="M14">CONCATENATE("update msg_out_fld set description = '",D14,"' where tab_name = 'ANREDE' and fld_name = 'ANREDE_SPRACHE1';")</f>
        <v>0</v>
      </c>
    </row>
    <row r="15" spans="1:13">
      <c r="A15" t="s">
        <v>2998</v>
      </c>
      <c r="C15" t="s">
        <v>37</v>
      </c>
      <c r="D15" t="s">
        <v>2999</v>
      </c>
      <c r="H15" t="s">
        <v>2997</v>
      </c>
      <c r="K15">
        <f t="array" ref="K15">CONCATENATE("update msg_out_fld_config set msg_fld_name = '",A15,"' where cd = '14641BC1E446BDD1FFF71DED0F19346F';")</f>
        <v>0</v>
      </c>
      <c r="M15">
        <f t="array" ref="M15">CONCATENATE("update msg_out_fld set description = '",D15,"' where tab_name = 'ANREDE' and fld_name = 'ANREDE_SPRACHE2';")</f>
        <v>0</v>
      </c>
    </row>
    <row r="16" spans="1:13">
      <c r="A16" t="s">
        <v>3001</v>
      </c>
      <c r="C16" t="s">
        <v>37</v>
      </c>
      <c r="D16" t="s">
        <v>3002</v>
      </c>
      <c r="H16" t="s">
        <v>3000</v>
      </c>
      <c r="K16">
        <f t="array" ref="K16">CONCATENATE("update msg_out_fld_config set msg_fld_name = '",A16,"' where cd = 'D50ECAFADC1751CA0573BB14776C3755';")</f>
        <v>0</v>
      </c>
      <c r="M16">
        <f t="array" ref="M16">CONCATENATE("update msg_out_fld set description = '",D16,"' where tab_name = 'ANREDE' and fld_name = 'ANREDE_SPRACHE3';")</f>
        <v>0</v>
      </c>
    </row>
    <row r="17" spans="1:13">
      <c r="A17" t="s">
        <v>3004</v>
      </c>
      <c r="C17" t="s">
        <v>37</v>
      </c>
      <c r="D17" t="s">
        <v>3005</v>
      </c>
      <c r="H17" t="s">
        <v>3003</v>
      </c>
      <c r="K17">
        <f t="array" ref="K17">CONCATENATE("update msg_out_fld_config set msg_fld_name = '",A17,"' where cd = 'D536DDC88883303FFE517EA0A8065EE4';")</f>
        <v>0</v>
      </c>
      <c r="M17">
        <f t="array" ref="M17">CONCATENATE("update msg_out_fld set description = '",D17,"' where tab_name = 'ANREDE' and fld_name = 'ANREDE_SPRACHE4';")</f>
        <v>0</v>
      </c>
    </row>
    <row r="18" spans="1:13">
      <c r="A18" t="s">
        <v>58</v>
      </c>
      <c r="C18" t="s">
        <v>33</v>
      </c>
      <c r="D18" t="s">
        <v>59</v>
      </c>
      <c r="H18" t="s">
        <v>57</v>
      </c>
      <c r="K18">
        <f t="array" ref="K18">CONCATENATE("update msg_out_fld_config set msg_fld_name = '",A18,"' where cd = 'BFA79472719A8906B2D54A9DE666F3BA';")</f>
        <v>0</v>
      </c>
      <c r="M18">
        <f t="array" ref="M18">CONCATENATE("update msg_out_fld set description = '",D18,"' where tab_name = 'ANREDE' and fld_name = 'MUTDATUM';")</f>
        <v>0</v>
      </c>
    </row>
    <row r="19" spans="1:13">
      <c r="A19" t="s">
        <v>61</v>
      </c>
      <c r="C19" t="s">
        <v>37</v>
      </c>
      <c r="D19" t="s">
        <v>62</v>
      </c>
      <c r="E19" t="s">
        <v>39</v>
      </c>
      <c r="F19" t="s">
        <v>23</v>
      </c>
      <c r="H19" t="s">
        <v>60</v>
      </c>
      <c r="K19">
        <f t="array" ref="K19">CONCATENATE("update msg_out_fld_config set msg_fld_name = '",A19,"' where cd = '6EF4905871238BC64032CDC757F1E9A6';")</f>
        <v>0</v>
      </c>
      <c r="M19">
        <f t="array" ref="M19">CONCATENATE("update msg_out_fld set description = '",D19,"' where tab_name = 'ANREDE' and fld_name = 'MUTUSER';")</f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7.5703125" customWidth="1"/>
    <col min="5" max="5" width="34.28515625" customWidth="1"/>
    <col min="6" max="6" width="10.28515625" customWidth="1"/>
    <col min="7" max="7" width="15.140625" customWidth="1"/>
    <col min="8" max="8" width="22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2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3006</v>
      </c>
    </row>
    <row r="2" spans="1:13">
      <c r="A2" s="1" t="s">
        <v>3007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1510</v>
      </c>
      <c r="K6">
        <f t="array" ref="K6">CONCATENATE("update msg_out_fld_config set msg_fld_name = '",A6,"' where cd = 'D9440AC571D2C456106B021568A54AC6';")</f>
        <v>0</v>
      </c>
      <c r="M6">
        <f t="array" ref="M6">CONCATENATE("update msg_out_fld set description = '",D6,"' where tab_name = 'VERTRAULICHKEIT' and fld_name = 'VERTRAULICHKEIT_CD';")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'0C344E5274B1D4C4CB5DCBF1ABA07482';")</f>
        <v>0</v>
      </c>
      <c r="M7">
        <f t="array" ref="M7">CONCATENATE("update msg_out_fld set description = '",D7,"' where tab_name = 'VERTRAULICHKEIT'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'946ACB7A8D8067B391B6D31F3A5A1D9B';")</f>
        <v>0</v>
      </c>
      <c r="M8">
        <f t="array" ref="M8">CONCATENATE("update msg_out_fld set description = '",D8,"' where tab_name = 'VERTRAULICHKEIT'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'6B93E701EAE9B5C72F098280A14C0912';")</f>
        <v>0</v>
      </c>
      <c r="M9">
        <f t="array" ref="M9">CONCATENATE("update msg_out_fld set description = '",D9,"' where tab_name = 'VERTRAULICHKEIT'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'33734489512FA7F0FC929825983AA9E4';")</f>
        <v>0</v>
      </c>
      <c r="M10">
        <f t="array" ref="M10">CONCATENATE("update msg_out_fld set description = '",D10,"' where tab_name = 'VERTRAULICHKEIT'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'8CFD840DAC625BE0AEBDA5BF7A54550E';")</f>
        <v>0</v>
      </c>
      <c r="M11">
        <f t="array" ref="M11">CONCATENATE("update msg_out_fld set description = '",D11,"' where tab_name = 'VERTRAULICHKEIT' and fld_name = 'CRTUSER';")</f>
        <v>0</v>
      </c>
    </row>
    <row r="12" spans="1:13">
      <c r="A12" t="s">
        <v>55</v>
      </c>
      <c r="C12" t="s">
        <v>211</v>
      </c>
      <c r="D12" t="s">
        <v>1512</v>
      </c>
      <c r="H12" t="s">
        <v>3008</v>
      </c>
      <c r="K12">
        <f t="array" ref="K12">CONCATENATE("update msg_out_fld_config set msg_fld_name = '",A12,"' where cd = '1E2EB1C463A706E1026C2B4E27A7E7AB';")</f>
        <v>0</v>
      </c>
      <c r="M12">
        <f t="array" ref="M12">CONCATENATE("update msg_out_fld set description = '",D12,"' where tab_name = 'VERTRAULICHKEIT' and fld_name = 'VERTRAULICHKEIT';")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'6A0C5C685229321CAA8D7AE5CA649628';")</f>
        <v>0</v>
      </c>
      <c r="M13">
        <f t="array" ref="M13">CONCATENATE("update msg_out_fld set description = '",D13,"' where tab_name = 'VERTRAULICHKEIT'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'F7DB0593B382FC90D52D2A51E431762C';")</f>
        <v>0</v>
      </c>
      <c r="M14">
        <f t="array" ref="M14">CONCATENATE("update msg_out_fld set description = '",D14,"' where tab_name = 'VERTRAULICHKEIT' and fld_name = 'MUTUSER';")</f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3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3009</v>
      </c>
    </row>
    <row r="2" spans="1:13">
      <c r="A2" s="1" t="s">
        <v>3010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1319</v>
      </c>
      <c r="K6">
        <f t="array" ref="K6">CONCATENATE("update msg_out_fld_config set msg_fld_name = '",A6,"' where cd = '6AD7B671478B26D4829BDAFDDFEF76B1';")</f>
        <v>0</v>
      </c>
      <c r="M6">
        <f t="array" ref="M6">CONCATENATE("update msg_out_fld set description = '",D6,"' where tab_name = 'SELF_CERTIFICATION_TYPE' and fld_name = 'TYPE_CD';")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'6F9847D1FAE175B98CB68A973BF965B2';")</f>
        <v>0</v>
      </c>
      <c r="M7">
        <f t="array" ref="M7">CONCATENATE("update msg_out_fld set description = '",D7,"' where tab_name = 'SELF_CERTIFICATION_TYPE'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'4755FFBAF45FED495C5969B1341122B5';")</f>
        <v>0</v>
      </c>
      <c r="M8">
        <f t="array" ref="M8">CONCATENATE("update msg_out_fld set description = '",D8,"' where tab_name = 'SELF_CERTIFICATION_TYPE'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'2DB9451FB9B81E5D497CCDB025026C6E';")</f>
        <v>0</v>
      </c>
      <c r="M9">
        <f t="array" ref="M9">CONCATENATE("update msg_out_fld set description = '",D9,"' where tab_name = 'SELF_CERTIFICATION_TYPE' and fld_name = 'LOESCHUSER';")</f>
        <v>0</v>
      </c>
    </row>
    <row r="10" spans="1:13">
      <c r="A10" t="s">
        <v>45</v>
      </c>
      <c r="C10" t="s">
        <v>33</v>
      </c>
      <c r="D10" t="s">
        <v>227</v>
      </c>
      <c r="H10" t="s">
        <v>44</v>
      </c>
      <c r="K10">
        <f t="array" ref="K10">CONCATENATE("update msg_out_fld_config set msg_fld_name = '",A10,"' where cd = 'F73BE928E48CC5B65D776748203B60AE';")</f>
        <v>0</v>
      </c>
      <c r="M10">
        <f t="array" ref="M10">CONCATENATE("update msg_out_fld set description = '",D10,"' where tab_name = 'SELF_CERTIFICATION_TYPE' and fld_name = 'CRTDATUM';")</f>
        <v>0</v>
      </c>
    </row>
    <row r="11" spans="1:13">
      <c r="A11" t="s">
        <v>48</v>
      </c>
      <c r="C11" t="s">
        <v>37</v>
      </c>
      <c r="D11" t="s">
        <v>228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'506F743BFDE3B87161F909E29BB71CD8';")</f>
        <v>0</v>
      </c>
      <c r="M11">
        <f t="array" ref="M11">CONCATENATE("update msg_out_fld set description = '",D11,"' where tab_name = 'SELF_CERTIFICATION_TYPE' and fld_name = 'CRTUSER';")</f>
        <v>0</v>
      </c>
    </row>
    <row r="12" spans="1:13">
      <c r="A12" t="s">
        <v>55</v>
      </c>
      <c r="C12" t="s">
        <v>230</v>
      </c>
      <c r="D12" t="s">
        <v>6</v>
      </c>
      <c r="H12" t="s">
        <v>3011</v>
      </c>
      <c r="K12">
        <f t="array" ref="K12">CONCATENATE("update msg_out_fld_config set msg_fld_name = '",A12,"' where cd = 'D4619FCF755D64F9E03821C4E245A7F6';")</f>
        <v>0</v>
      </c>
      <c r="M12">
        <f t="array" ref="M12">CONCATENATE("update msg_out_fld set description = '",D12,"' where tab_name = 'SELF_CERTIFICATION_TYPE' and fld_name = 'TYPE';")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'DE9FD6D0086D87D30C84C33805DC316F';")</f>
        <v>0</v>
      </c>
      <c r="M13">
        <f t="array" ref="M13">CONCATENATE("update msg_out_fld set description = '",D13,"' where tab_name = 'SELF_CERTIFICATION_TYPE'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'865CD19E9126AEEF5F1A7F6C7E6E8940';")</f>
        <v>0</v>
      </c>
      <c r="M14">
        <f t="array" ref="M14">CONCATENATE("update msg_out_fld set description = '",D14,"' where tab_name = 'SELF_CERTIFICATION_TYPE' and fld_name = 'MUTUSER';")</f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8.7109375" customWidth="1"/>
    <col min="5" max="5" width="34.28515625" customWidth="1"/>
    <col min="6" max="6" width="10.28515625" customWidth="1"/>
    <col min="7" max="7" width="15.140625" customWidth="1"/>
    <col min="8" max="8" width="18.71093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5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3012</v>
      </c>
    </row>
    <row r="2" spans="1:13">
      <c r="A2" s="1" t="s">
        <v>3013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1974</v>
      </c>
      <c r="K6">
        <f t="array" ref="K6">CONCATENATE("update msg_out_fld_config set msg_fld_name = '",A6,"' where cd = 'DC9824DDDABF1BEE2257D38BC00D2DFA';")</f>
        <v>0</v>
      </c>
      <c r="M6">
        <f t="array" ref="M6">CONCATENATE("update msg_out_fld set description = '",D6,"' where tab_name = 'GES_STELLUNG' and fld_name = 'GES_STELLUNG_CD';")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'FDFE4A5B44B98F6B4DFB9206E5EFBC3D';")</f>
        <v>0</v>
      </c>
      <c r="M7">
        <f t="array" ref="M7">CONCATENATE("update msg_out_fld set description = '",D7,"' where tab_name = 'GES_STELLUNG'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'FBA975F74E9A28D32AA8487A5AA3FA99';")</f>
        <v>0</v>
      </c>
      <c r="M8">
        <f t="array" ref="M8">CONCATENATE("update msg_out_fld set description = '",D8,"' where tab_name = 'GES_STELLUNG'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'28C71D6EB6D37E347163234E72A02A4D';")</f>
        <v>0</v>
      </c>
      <c r="M9">
        <f t="array" ref="M9">CONCATENATE("update msg_out_fld set description = '",D9,"' where tab_name = 'GES_STELLUNG'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'1D45EAC1E660BB2F4BA24F2E79502849';")</f>
        <v>0</v>
      </c>
      <c r="M10">
        <f t="array" ref="M10">CONCATENATE("update msg_out_fld set description = '",D10,"' where tab_name = 'GES_STELLUNG'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'53C2137DBF0E83015B504BACBD452902';")</f>
        <v>0</v>
      </c>
      <c r="M11">
        <f t="array" ref="M11">CONCATENATE("update msg_out_fld set description = '",D11,"' where tab_name = 'GES_STELLUNG' and fld_name = 'CRTUSER';")</f>
        <v>0</v>
      </c>
    </row>
    <row r="12" spans="1:13">
      <c r="A12" t="s">
        <v>55</v>
      </c>
      <c r="C12" t="s">
        <v>42</v>
      </c>
      <c r="D12" t="s">
        <v>1976</v>
      </c>
      <c r="H12" t="s">
        <v>3014</v>
      </c>
      <c r="K12">
        <f t="array" ref="K12">CONCATENATE("update msg_out_fld_config set msg_fld_name = '",A12,"' where cd = '14F28021367B2908FEE05C4C3F242B79';")</f>
        <v>0</v>
      </c>
      <c r="M12">
        <f t="array" ref="M12">CONCATENATE("update msg_out_fld set description = '",D12,"' where tab_name = 'GES_STELLUNG' and fld_name = 'GES_STELLUNG';")</f>
        <v>0</v>
      </c>
    </row>
    <row r="13" spans="1:13">
      <c r="A13" t="s">
        <v>2962</v>
      </c>
      <c r="C13" t="s">
        <v>26</v>
      </c>
      <c r="D13" t="s">
        <v>2963</v>
      </c>
      <c r="E13" t="s">
        <v>28</v>
      </c>
      <c r="F13" t="s">
        <v>29</v>
      </c>
      <c r="G13" t="s">
        <v>30</v>
      </c>
      <c r="H13" t="s">
        <v>861</v>
      </c>
      <c r="K13">
        <f t="array" ref="K13">CONCATENATE("update msg_out_fld_config set msg_fld_name = '",A13,"' where cd = 'D9A722C244B564957D30B46BF54A094F';")</f>
        <v>0</v>
      </c>
      <c r="M13">
        <f t="array" ref="M13">CONCATENATE("update msg_out_fld set description = '",D13,"' where tab_name = 'GES_STELLUNG' and fld_name = 'PEP_CD';")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'01F8BEC22E46633CCA02601FBFF5038A';")</f>
        <v>0</v>
      </c>
      <c r="M14">
        <f t="array" ref="M14">CONCATENATE("update msg_out_fld set description = '",D14,"' where tab_name = 'GES_STELLUNG'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'98E9A0100CC63A7766C34AA5929C019A';")</f>
        <v>0</v>
      </c>
      <c r="M15">
        <f t="array" ref="M15">CONCATENATE("update msg_out_fld set description = '",D15,"' where tab_name = 'GES_STELLUNG' and fld_name = 'MUTUSER';")</f>
        <v>0</v>
      </c>
    </row>
    <row r="16" spans="1:13">
      <c r="A16" t="s">
        <v>83</v>
      </c>
      <c r="C16" t="s">
        <v>84</v>
      </c>
      <c r="D16" t="s">
        <v>85</v>
      </c>
      <c r="H16" t="s">
        <v>82</v>
      </c>
      <c r="K16">
        <f t="array" ref="K16">CONCATENATE("update msg_out_fld_config set msg_fld_name = '",A16,"' where cd = '7F04628C6393F8F41F15259176C9E637';")</f>
        <v>0</v>
      </c>
      <c r="M16">
        <f t="array" ref="M16">CONCATENATE("update msg_out_fld set description = '",D16,"' where tab_name = 'GES_STELLUNG' and fld_name = 'RISKINDEX';")</f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25.85546875" customWidth="1"/>
    <col min="2" max="2" width="4.28515625" customWidth="1"/>
    <col min="3" max="3" width="15.140625" customWidth="1"/>
    <col min="4" max="4" width="27.140625" customWidth="1"/>
    <col min="5" max="5" width="34.28515625" customWidth="1"/>
    <col min="6" max="6" width="10.28515625" customWidth="1"/>
    <col min="7" max="7" width="15.140625" customWidth="1"/>
    <col min="8" max="8" width="17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3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3015</v>
      </c>
    </row>
    <row r="2" spans="1:13">
      <c r="A2" s="1" t="s">
        <v>3016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182</v>
      </c>
      <c r="K6">
        <f t="array" ref="K6">CONCATENATE("update msg_out_fld_config set msg_fld_name = '",A6,"' where cd = 'B7D2E26081BF6507E5B99E3CBE750B5A';")</f>
        <v>0</v>
      </c>
      <c r="M6">
        <f t="array" ref="M6">CONCATENATE("update msg_out_fld set description = '",D6,"' where tab_name = 'SONDERINST' and fld_name = 'SONDERINST_CD';")</f>
        <v>0</v>
      </c>
    </row>
    <row r="7" spans="1:13">
      <c r="A7" t="s">
        <v>3018</v>
      </c>
      <c r="C7" t="s">
        <v>26</v>
      </c>
      <c r="D7" t="s">
        <v>3019</v>
      </c>
      <c r="E7" t="s">
        <v>28</v>
      </c>
      <c r="F7" t="s">
        <v>29</v>
      </c>
      <c r="G7" t="s">
        <v>30</v>
      </c>
      <c r="H7" t="s">
        <v>3017</v>
      </c>
      <c r="K7">
        <f t="array" ref="K7">CONCATENATE("update msg_out_fld_config set msg_fld_name = '",A7,"' where cd = 'EB2029F85E0C0BABD82F149656A91FC7';")</f>
        <v>0</v>
      </c>
      <c r="M7">
        <f t="array" ref="M7">CONCATENATE("update msg_out_fld set description = '",D7,"' where tab_name = 'SONDERINST' and fld_name = 'ADD_ON_CHARGES';")</f>
        <v>0</v>
      </c>
    </row>
    <row r="8" spans="1:13">
      <c r="A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'B3E18398C8BF88840196F75F43702EEB';")</f>
        <v>0</v>
      </c>
      <c r="M8">
        <f t="array" ref="M8">CONCATENATE("update msg_out_fld set description = '",D8,"' where tab_name = 'SONDERINST' and fld_name = 'LOESCH_CD';")</f>
        <v>0</v>
      </c>
    </row>
    <row r="9" spans="1:13">
      <c r="A9" t="s">
        <v>32</v>
      </c>
      <c r="C9" t="s">
        <v>33</v>
      </c>
      <c r="D9" t="s">
        <v>34</v>
      </c>
      <c r="H9" t="s">
        <v>31</v>
      </c>
      <c r="K9">
        <f t="array" ref="K9">CONCATENATE("update msg_out_fld_config set msg_fld_name = '",A9,"' where cd = '014CEB2169A21932E865D679EB4CC50B';")</f>
        <v>0</v>
      </c>
      <c r="M9">
        <f t="array" ref="M9">CONCATENATE("update msg_out_fld set description = '",D9,"' where tab_name = 'SONDERINST' and fld_name = 'LOESCHDATUM';")</f>
        <v>0</v>
      </c>
    </row>
    <row r="10" spans="1:13">
      <c r="A10" t="s">
        <v>36</v>
      </c>
      <c r="C10" t="s">
        <v>37</v>
      </c>
      <c r="D10" t="s">
        <v>38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'DF5B3094568A83CA694A1C1FE4297F98';")</f>
        <v>0</v>
      </c>
      <c r="M10">
        <f t="array" ref="M10">CONCATENATE("update msg_out_fld set description = '",D10,"' where tab_name = 'SONDERINST' and fld_name = 'LOESCHUSER';")</f>
        <v>0</v>
      </c>
    </row>
    <row r="11" spans="1:13">
      <c r="A11" t="s">
        <v>45</v>
      </c>
      <c r="C11" t="s">
        <v>33</v>
      </c>
      <c r="D11" t="s">
        <v>46</v>
      </c>
      <c r="H11" t="s">
        <v>44</v>
      </c>
      <c r="K11">
        <f t="array" ref="K11">CONCATENATE("update msg_out_fld_config set msg_fld_name = '",A11,"' where cd = '024FC61DBCE111C2CC4CC1A1581271C7';")</f>
        <v>0</v>
      </c>
      <c r="M11">
        <f t="array" ref="M11">CONCATENATE("update msg_out_fld set description = '",D11,"' where tab_name = 'SONDERINST' and fld_name = 'CRTDATUM';")</f>
        <v>0</v>
      </c>
    </row>
    <row r="12" spans="1:13">
      <c r="A12" t="s">
        <v>48</v>
      </c>
      <c r="C12" t="s">
        <v>37</v>
      </c>
      <c r="D12" t="s">
        <v>49</v>
      </c>
      <c r="E12" t="s">
        <v>39</v>
      </c>
      <c r="F12" t="s">
        <v>23</v>
      </c>
      <c r="H12" t="s">
        <v>47</v>
      </c>
      <c r="K12">
        <f t="array" ref="K12">CONCATENATE("update msg_out_fld_config set msg_fld_name = '",A12,"' where cd = 'BC3B7F6A401390C841ACF5D4B320FD15';")</f>
        <v>0</v>
      </c>
      <c r="M12">
        <f t="array" ref="M12">CONCATENATE("update msg_out_fld set description = '",D12,"' where tab_name = 'SONDERINST' and fld_name = 'CRTUSER';")</f>
        <v>0</v>
      </c>
    </row>
    <row r="13" spans="1:13">
      <c r="A13" t="s">
        <v>55</v>
      </c>
      <c r="C13" t="s">
        <v>1298</v>
      </c>
      <c r="D13" t="s">
        <v>184</v>
      </c>
      <c r="H13" t="s">
        <v>3020</v>
      </c>
      <c r="K13">
        <f t="array" ref="K13">CONCATENATE("update msg_out_fld_config set msg_fld_name = '",A13,"' where cd = '25D2E5AD8F9544F3F930BC26A1D7C1F6';")</f>
        <v>0</v>
      </c>
      <c r="M13">
        <f t="array" ref="M13">CONCATENATE("update msg_out_fld set description = '",D13,"' where tab_name = 'SONDERINST' and fld_name = 'SONDERINST';")</f>
        <v>0</v>
      </c>
    </row>
    <row r="14" spans="1:13">
      <c r="A14" t="s">
        <v>58</v>
      </c>
      <c r="C14" t="s">
        <v>33</v>
      </c>
      <c r="D14" t="s">
        <v>59</v>
      </c>
      <c r="H14" t="s">
        <v>57</v>
      </c>
      <c r="K14">
        <f t="array" ref="K14">CONCATENATE("update msg_out_fld_config set msg_fld_name = '",A14,"' where cd = '9641155D4ADEF3C0923C20A65176204D';")</f>
        <v>0</v>
      </c>
      <c r="M14">
        <f t="array" ref="M14">CONCATENATE("update msg_out_fld set description = '",D14,"' where tab_name = 'SONDERINST' and fld_name = 'MUTDATUM';")</f>
        <v>0</v>
      </c>
    </row>
    <row r="15" spans="1:13">
      <c r="A15" t="s">
        <v>61</v>
      </c>
      <c r="C15" t="s">
        <v>37</v>
      </c>
      <c r="D15" t="s">
        <v>62</v>
      </c>
      <c r="E15" t="s">
        <v>39</v>
      </c>
      <c r="F15" t="s">
        <v>23</v>
      </c>
      <c r="H15" t="s">
        <v>60</v>
      </c>
      <c r="K15">
        <f t="array" ref="K15">CONCATENATE("update msg_out_fld_config set msg_fld_name = '",A15,"' where cd = 'FAB3D6D9C64618BA911B7DC61C164C57';")</f>
        <v>0</v>
      </c>
      <c r="M15">
        <f t="array" ref="M15">CONCATENATE("update msg_out_fld set description = '",D15,"' where tab_name = 'SONDERINST' and fld_name = 'MUTUSER';")</f>
        <v>0</v>
      </c>
    </row>
    <row r="16" spans="1:13">
      <c r="A16" t="s">
        <v>2944</v>
      </c>
      <c r="C16" t="s">
        <v>84</v>
      </c>
      <c r="D16" t="s">
        <v>2945</v>
      </c>
      <c r="H16" t="s">
        <v>2943</v>
      </c>
      <c r="K16">
        <f t="array" ref="K16">CONCATENATE("update msg_out_fld_config set msg_fld_name = '",A16,"' where cd = '6BEED51F9FBA5FD0C040A50D24A552BA';")</f>
        <v>0</v>
      </c>
      <c r="M16">
        <f t="array" ref="M16">CONCATENATE("update msg_out_fld set description = '",D16,"' where tab_name = 'SONDERINST' and fld_name = 'POSTAL_CHARGES';")</f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7.5703125" customWidth="1"/>
    <col min="5" max="5" width="34.28515625" customWidth="1"/>
    <col min="6" max="6" width="10.28515625" customWidth="1"/>
    <col min="7" max="7" width="15.140625" customWidth="1"/>
    <col min="8" max="8" width="19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57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3021</v>
      </c>
    </row>
    <row r="2" spans="1:13">
      <c r="A2" s="1" t="s">
        <v>3022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923</v>
      </c>
      <c r="K6">
        <f t="array" ref="K6">CONCATENATE("update msg_out_fld_config set msg_fld_name = '",A6,"' where cd = 'BD8F53CEC4144884A0FFED75F89E3384';")</f>
        <v>0</v>
      </c>
      <c r="M6">
        <f t="array" ref="M6">CONCATENATE("update msg_out_fld set description = '",D6,"' where tab_name = 'SPEZ_WUENSCHE' and fld_name = 'SPEZ_WUENSCHE_CD';")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'A9BD26000F0BF889023761A7AEAB3AF4';")</f>
        <v>0</v>
      </c>
      <c r="M7">
        <f t="array" ref="M7">CONCATENATE("update msg_out_fld set description = '",D7,"' where tab_name = 'SPEZ_WUENSCHE'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'2D2C417BC325F640CB775D628738F0AD';")</f>
        <v>0</v>
      </c>
      <c r="M8">
        <f t="array" ref="M8">CONCATENATE("update msg_out_fld set description = '",D8,"' where tab_name = 'SPEZ_WUENSCHE'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'96B2AF0539B649DD232A2AE97544FF4C';")</f>
        <v>0</v>
      </c>
      <c r="M9">
        <f t="array" ref="M9">CONCATENATE("update msg_out_fld set description = '",D9,"' where tab_name = 'SPEZ_WUENSCHE'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'DE906F6760A53DBCDCD231A51315C5BB';")</f>
        <v>0</v>
      </c>
      <c r="M10">
        <f t="array" ref="M10">CONCATENATE("update msg_out_fld set description = '",D10,"' where tab_name = 'SPEZ_WUENSCHE'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'11039158B52E8BAB965DDFFC556815D4';")</f>
        <v>0</v>
      </c>
      <c r="M11">
        <f t="array" ref="M11">CONCATENATE("update msg_out_fld set description = '",D11,"' where tab_name = 'SPEZ_WUENSCHE' and fld_name = 'CRTUSER';")</f>
        <v>0</v>
      </c>
    </row>
    <row r="12" spans="1:13">
      <c r="A12" t="s">
        <v>55</v>
      </c>
      <c r="C12" t="s">
        <v>42</v>
      </c>
      <c r="D12" t="s">
        <v>3024</v>
      </c>
      <c r="H12" t="s">
        <v>3023</v>
      </c>
      <c r="K12">
        <f t="array" ref="K12">CONCATENATE("update msg_out_fld_config set msg_fld_name = '",A12,"' where cd = 'F8F93835FCBC63C57DAA7F8160878DD4';")</f>
        <v>0</v>
      </c>
      <c r="M12">
        <f t="array" ref="M12">CONCATENATE("update msg_out_fld set description = '",D12,"' where tab_name = 'SPEZ_WUENSCHE' and fld_name = 'SPEZ_WUENSCHE';")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'D1A8A7AC0F9AB5AF3627202BEB4F3A9D';")</f>
        <v>0</v>
      </c>
      <c r="M13">
        <f t="array" ref="M13">CONCATENATE("update msg_out_fld set description = '",D13,"' where tab_name = 'SPEZ_WUENSCHE'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'169AC058E769D75406336B5FAE8EEDD5';")</f>
        <v>0</v>
      </c>
      <c r="M14">
        <f t="array" ref="M14">CONCATENATE("update msg_out_fld set description = '",D14,"' where tab_name = 'SPEZ_WUENSCHE' and fld_name = 'MUTUSER';")</f>
        <v>0</v>
      </c>
    </row>
    <row r="15" spans="1:13">
      <c r="A15" t="s">
        <v>83</v>
      </c>
      <c r="C15" t="s">
        <v>84</v>
      </c>
      <c r="D15" t="s">
        <v>85</v>
      </c>
      <c r="H15" t="s">
        <v>82</v>
      </c>
      <c r="K15">
        <f t="array" ref="K15">CONCATENATE("update msg_out_fld_config set msg_fld_name = '",A15,"' where cd = '60552599DE34B115A6A76BECB72A94EC';")</f>
        <v>0</v>
      </c>
      <c r="M15">
        <f t="array" ref="M15">CONCATENATE("update msg_out_fld set description = '",D15,"' where tab_name = 'SPEZ_WUENSCHE' and fld_name = 'RISKINDEX';")</f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22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2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3025</v>
      </c>
    </row>
    <row r="2" spans="1:13">
      <c r="A2" s="1" t="s">
        <v>3026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26</v>
      </c>
      <c r="D6" t="s">
        <v>17</v>
      </c>
      <c r="H6" t="s">
        <v>3027</v>
      </c>
      <c r="K6">
        <f t="array" ref="K6">CONCATENATE("update msg_out_fld_config set msg_fld_name = '",A6,"' where cd = '722EA0F79EC776D2CDA859ED99EDDEE5';")</f>
        <v>0</v>
      </c>
      <c r="M6">
        <f t="array" ref="M6">CONCATENATE("update msg_out_fld set description = '",D6,"' where tab_name = 'TARIFPOLITIKART' and fld_name = 'TARIFPOLITIKART_CD';")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'A0A327354FA081E85EEB80A4387AB420';")</f>
        <v>0</v>
      </c>
      <c r="M7">
        <f t="array" ref="M7">CONCATENATE("update msg_out_fld set description = '",D7,"' where tab_name = 'TARIFPOLITIKART'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'99D11AA433C99DEE0683153E66228A9E';")</f>
        <v>0</v>
      </c>
      <c r="M8">
        <f t="array" ref="M8">CONCATENATE("update msg_out_fld set description = '",D8,"' where tab_name = 'TARIFPOLITIKART'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'D9552DD7641D52D7CDA4B63619796739';")</f>
        <v>0</v>
      </c>
      <c r="M9">
        <f t="array" ref="M9">CONCATENATE("update msg_out_fld set description = '",D9,"' where tab_name = 'TARIFPOLITIKART'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'39027E966F6A1434D7D311C2FE506835';")</f>
        <v>0</v>
      </c>
      <c r="M10">
        <f t="array" ref="M10">CONCATENATE("update msg_out_fld set description = '",D10,"' where tab_name = 'TARIFPOLITIKART'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'1F939D36F47E3404FD70C237B1762259';")</f>
        <v>0</v>
      </c>
      <c r="M11">
        <f t="array" ref="M11">CONCATENATE("update msg_out_fld set description = '",D11,"' where tab_name = 'TARIFPOLITIKART' and fld_name = 'CRTUSER';")</f>
        <v>0</v>
      </c>
    </row>
    <row r="12" spans="1:13">
      <c r="A12" t="s">
        <v>55</v>
      </c>
      <c r="C12" t="s">
        <v>277</v>
      </c>
      <c r="D12" t="s">
        <v>7</v>
      </c>
      <c r="H12" t="s">
        <v>3028</v>
      </c>
      <c r="K12">
        <f t="array" ref="K12">CONCATENATE("update msg_out_fld_config set msg_fld_name = '",A12,"' where cd = 'A0D9000F1F36EA2EF0287CE8E6D43FF6';")</f>
        <v>0</v>
      </c>
      <c r="M12">
        <f t="array" ref="M12">CONCATENATE("update msg_out_fld set description = '",D12,"' where tab_name = 'TARIFPOLITIKART' and fld_name = 'TARIFPOLITIKART';")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'422648E2AAE4ADB767F11D6FF6461F22';")</f>
        <v>0</v>
      </c>
      <c r="M13">
        <f t="array" ref="M13">CONCATENATE("update msg_out_fld set description = '",D13,"' where tab_name = 'TARIFPOLITIKART'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'6280CE3B17864A836BD45D3FEB20823F';")</f>
        <v>0</v>
      </c>
      <c r="M14">
        <f t="array" ref="M14">CONCATENATE("update msg_out_fld set description = '",D14,"' where tab_name = 'TARIFPOLITIKART' and fld_name = 'MUTUSER';")</f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3.855468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23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5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3029</v>
      </c>
    </row>
    <row r="2" spans="1:13">
      <c r="A2" s="1" t="s">
        <v>3030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275</v>
      </c>
      <c r="D6" t="s">
        <v>17</v>
      </c>
      <c r="H6" t="s">
        <v>3031</v>
      </c>
      <c r="K6">
        <f t="array" ref="K6">CONCATENATE("update msg_out_fld_config set msg_fld_name = '",A6,"' where cd = 'E6CDF1461FCF737F97421F1FE5275FE9';")</f>
        <v>0</v>
      </c>
      <c r="M6">
        <f t="array" ref="M6">CONCATENATE("update msg_out_fld set description = '",D6,"' where tab_name = 'TARIFPOLITIKCODE' and fld_name = 'TARIFPOLITIKCODE_CD';")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'D1932560F144FB403EC730B724300975';")</f>
        <v>0</v>
      </c>
      <c r="M7">
        <f t="array" ref="M7">CONCATENATE("update msg_out_fld set description = '",D7,"' where tab_name = 'TARIFPOLITIKCODE'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'D11294C684B06E863724F405005174EA';")</f>
        <v>0</v>
      </c>
      <c r="M8">
        <f t="array" ref="M8">CONCATENATE("update msg_out_fld set description = '",D8,"' where tab_name = 'TARIFPOLITIKCODE'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'91BD1773A10329825FE16AA75060C060';")</f>
        <v>0</v>
      </c>
      <c r="M9">
        <f t="array" ref="M9">CONCATENATE("update msg_out_fld set description = '",D9,"' where tab_name = 'TARIFPOLITIKCODE'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'349D1C77A77AEA8EF74EFE2DC14087DD';")</f>
        <v>0</v>
      </c>
      <c r="M10">
        <f t="array" ref="M10">CONCATENATE("update msg_out_fld set description = '",D10,"' where tab_name = 'TARIFPOLITIKCODE'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'F3ADB851D18B6B9ABED3783359D0B7BE';")</f>
        <v>0</v>
      </c>
      <c r="M11">
        <f t="array" ref="M11">CONCATENATE("update msg_out_fld set description = '",D11,"' where tab_name = 'TARIFPOLITIKCODE' and fld_name = 'CRTUSER';")</f>
        <v>0</v>
      </c>
    </row>
    <row r="12" spans="1:13">
      <c r="A12" t="s">
        <v>55</v>
      </c>
      <c r="C12" t="s">
        <v>277</v>
      </c>
      <c r="D12" t="s">
        <v>7</v>
      </c>
      <c r="H12" t="s">
        <v>3032</v>
      </c>
      <c r="K12">
        <f t="array" ref="K12">CONCATENATE("update msg_out_fld_config set msg_fld_name = '",A12,"' where cd = '61A12B0D65927A2B4FFAD57563465009';")</f>
        <v>0</v>
      </c>
      <c r="M12">
        <f t="array" ref="M12">CONCATENATE("update msg_out_fld set description = '",D12,"' where tab_name = 'TARIFPOLITIKCODE' and fld_name = 'TARIFPOLITIKCODE';")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'F05E35773C4BFCFC6AA8B6CCDB104275';")</f>
        <v>0</v>
      </c>
      <c r="M13">
        <f t="array" ref="M13">CONCATENATE("update msg_out_fld set description = '",D13,"' where tab_name = 'TARIFPOLITIKCODE'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'099C148B084A36AA6268FCE70352F613';")</f>
        <v>0</v>
      </c>
      <c r="M14">
        <f t="array" ref="M14">CONCATENATE("update msg_out_fld set description = '",D14,"' where tab_name = 'TARIFPOLITIKCODE' and fld_name = 'MUTUSER';")</f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7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3033</v>
      </c>
    </row>
    <row r="2" spans="1:13">
      <c r="A2" s="1" t="s">
        <v>3034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3035</v>
      </c>
      <c r="K6">
        <f t="array" ref="K6">CONCATENATE("update msg_out_fld_config set msg_fld_name = '",A6,"' where cd = '1A07DA5568B345371BEBA9C3C49B568C';")</f>
        <v>0</v>
      </c>
      <c r="M6">
        <f t="array" ref="M6">CONCATENATE("update msg_out_fld set description = '",D6,"' where tab_name = 'REASON_FOR_TAX_EXCEPTION' and fld_name = 'CODE';")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'1FD13F7D142CF5125EACB7019F997149';")</f>
        <v>0</v>
      </c>
      <c r="M7">
        <f t="array" ref="M7">CONCATENATE("update msg_out_fld set description = '",D7,"' where tab_name = 'REASON_FOR_TAX_EXCEPTION'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'B15FF9705AA4D0E3BCBD217D6062914A';")</f>
        <v>0</v>
      </c>
      <c r="M8">
        <f t="array" ref="M8">CONCATENATE("update msg_out_fld set description = '",D8,"' where tab_name = 'REASON_FOR_TAX_EXCEPTION'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'E7A1A78E7D302149432F76EEB0BB5D42';")</f>
        <v>0</v>
      </c>
      <c r="M9">
        <f t="array" ref="M9">CONCATENATE("update msg_out_fld set description = '",D9,"' where tab_name = 'REASON_FOR_TAX_EXCEPTION'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'ECE7557B0A5737683F7F93FAA92D3EAB';")</f>
        <v>0</v>
      </c>
      <c r="M10">
        <f t="array" ref="M10">CONCATENATE("update msg_out_fld set description = '",D10,"' where tab_name = 'REASON_FOR_TAX_EXCEPTION'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'10C8DAC5B96AD2F7936CF19378979199';")</f>
        <v>0</v>
      </c>
      <c r="M11">
        <f t="array" ref="M11">CONCATENATE("update msg_out_fld set description = '",D11,"' where tab_name = 'REASON_FOR_TAX_EXCEPTION' and fld_name = 'CRTUSER';")</f>
        <v>0</v>
      </c>
    </row>
    <row r="12" spans="1:13">
      <c r="A12" t="s">
        <v>55</v>
      </c>
      <c r="C12" t="s">
        <v>277</v>
      </c>
      <c r="D12" t="s">
        <v>3036</v>
      </c>
      <c r="H12" t="s">
        <v>2231</v>
      </c>
      <c r="K12">
        <f t="array" ref="K12">CONCATENATE("update msg_out_fld_config set msg_fld_name = '",A12,"' where cd = '263C82365008BDD3F85AD5F77A4F9FA4';")</f>
        <v>0</v>
      </c>
      <c r="M12">
        <f t="array" ref="M12">CONCATENATE("update msg_out_fld set description = '",D12,"' where tab_name = 'REASON_FOR_TAX_EXCEPTION' and fld_name = 'BESCHREIBUNG';")</f>
        <v>0</v>
      </c>
    </row>
    <row r="13" spans="1:13">
      <c r="A13" t="s">
        <v>3038</v>
      </c>
      <c r="C13" t="s">
        <v>26</v>
      </c>
      <c r="D13" t="s">
        <v>3039</v>
      </c>
      <c r="E13" t="s">
        <v>28</v>
      </c>
      <c r="F13" t="s">
        <v>29</v>
      </c>
      <c r="G13" t="s">
        <v>30</v>
      </c>
      <c r="H13" t="s">
        <v>3037</v>
      </c>
      <c r="K13">
        <f t="array" ref="K13">CONCATENATE("update msg_out_fld_config set msg_fld_name = '",A13,"' where cd = '07C2E950B389168120D10E7F771DE914';")</f>
        <v>0</v>
      </c>
      <c r="M13">
        <f t="array" ref="M13">CONCATENATE("update msg_out_fld set description = '",D13,"' where tab_name = 'REASON_FOR_TAX_EXCEPTION' and fld_name = 'EUTAX_CD';")</f>
        <v>0</v>
      </c>
    </row>
    <row r="14" spans="1:13">
      <c r="A14" t="s">
        <v>3041</v>
      </c>
      <c r="C14" t="s">
        <v>26</v>
      </c>
      <c r="D14" t="s">
        <v>3042</v>
      </c>
      <c r="E14" t="s">
        <v>28</v>
      </c>
      <c r="F14" t="s">
        <v>29</v>
      </c>
      <c r="G14" t="s">
        <v>30</v>
      </c>
      <c r="H14" t="s">
        <v>3040</v>
      </c>
      <c r="K14">
        <f t="array" ref="K14">CONCATENATE("update msg_out_fld_config set msg_fld_name = '",A14,"' where cd = '8E687B87EF0E269ACC3EDE953D111DF8';")</f>
        <v>0</v>
      </c>
      <c r="M14">
        <f t="array" ref="M14">CONCATENATE("update msg_out_fld set description = '",D14,"' where tab_name = 'REASON_FOR_TAX_EXCEPTION' and fld_name = 'FWHT_CD';")</f>
        <v>0</v>
      </c>
    </row>
    <row r="15" spans="1:13">
      <c r="A15" t="s">
        <v>58</v>
      </c>
      <c r="C15" t="s">
        <v>33</v>
      </c>
      <c r="D15" t="s">
        <v>59</v>
      </c>
      <c r="H15" t="s">
        <v>57</v>
      </c>
      <c r="K15">
        <f t="array" ref="K15">CONCATENATE("update msg_out_fld_config set msg_fld_name = '",A15,"' where cd = 'FE6043A71DF6904B35114C71BBA8E1DB';")</f>
        <v>0</v>
      </c>
      <c r="M15">
        <f t="array" ref="M15">CONCATENATE("update msg_out_fld set description = '",D15,"' where tab_name = 'REASON_FOR_TAX_EXCEPTION' and fld_name = 'MUTDATUM';")</f>
        <v>0</v>
      </c>
    </row>
    <row r="16" spans="1:13">
      <c r="A16" t="s">
        <v>61</v>
      </c>
      <c r="C16" t="s">
        <v>37</v>
      </c>
      <c r="D16" t="s">
        <v>62</v>
      </c>
      <c r="E16" t="s">
        <v>39</v>
      </c>
      <c r="F16" t="s">
        <v>23</v>
      </c>
      <c r="H16" t="s">
        <v>60</v>
      </c>
      <c r="K16">
        <f t="array" ref="K16">CONCATENATE("update msg_out_fld_config set msg_fld_name = '",A16,"' where cd = '365D0F992B7161EA6E383AE7918003A4';")</f>
        <v>0</v>
      </c>
      <c r="M16">
        <f t="array" ref="M16">CONCATENATE("update msg_out_fld set description = '",D16,"' where tab_name = 'REASON_FOR_TAX_EXCEPTION' and fld_name = 'MUTUSER';")</f>
        <v>0</v>
      </c>
    </row>
    <row r="17" spans="1:13">
      <c r="A17" t="s">
        <v>3044</v>
      </c>
      <c r="C17" t="s">
        <v>26</v>
      </c>
      <c r="D17" t="s">
        <v>3045</v>
      </c>
      <c r="E17" t="s">
        <v>28</v>
      </c>
      <c r="F17" t="s">
        <v>29</v>
      </c>
      <c r="G17" t="s">
        <v>30</v>
      </c>
      <c r="H17" t="s">
        <v>3043</v>
      </c>
      <c r="K17">
        <f t="array" ref="K17">CONCATENATE("update msg_out_fld_config set msg_fld_name = '",A17,"' where cd = '7285A6974E883215FD56088C3A1247CC';")</f>
        <v>0</v>
      </c>
      <c r="M17">
        <f t="array" ref="M17">CONCATENATE("update msg_out_fld set description = '",D17,"' where tab_name = 'REASON_FOR_TAX_EXCEPTION' and fld_name = 'VAT_CH_CD';")</f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18.7109375" customWidth="1"/>
    <col min="5" max="5" width="34.28515625" customWidth="1"/>
    <col min="6" max="6" width="10.28515625" customWidth="1"/>
    <col min="7" max="7" width="15.140625" customWidth="1"/>
    <col min="8" max="8" width="22.28515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2.71093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3046</v>
      </c>
    </row>
    <row r="2" spans="1:13">
      <c r="A2" s="1" t="s">
        <v>3047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90</v>
      </c>
      <c r="D6" t="s">
        <v>17</v>
      </c>
      <c r="H6" t="s">
        <v>933</v>
      </c>
      <c r="K6">
        <f t="array" ref="K6">CONCATENATE("update msg_out_fld_config set msg_fld_name = '",A6,"' where cd = 'A0EF7AF6C82DCB4383D8BE4B4C515218';")</f>
        <v>0</v>
      </c>
      <c r="M6">
        <f t="array" ref="M6">CONCATENATE("update msg_out_fld set description = '",D6,"' where tab_name = 'GESAMTVERMOEGEN' and fld_name = 'GESAMTVERMOEGEN_CD';")</f>
        <v>0</v>
      </c>
    </row>
    <row r="7" spans="1:13">
      <c r="A7" t="s">
        <v>25</v>
      </c>
      <c r="C7" t="s">
        <v>26</v>
      </c>
      <c r="D7" t="s">
        <v>3048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'1963FF2581223751A6D58A08B393FA95';")</f>
        <v>0</v>
      </c>
      <c r="M7">
        <f t="array" ref="M7">CONCATENATE("update msg_out_fld set description = '",D7,"' where tab_name = 'GESAMTVERMOEGEN' and fld_name = 'LOESCH_CD';")</f>
        <v>0</v>
      </c>
    </row>
    <row r="8" spans="1:13">
      <c r="A8" t="s">
        <v>32</v>
      </c>
      <c r="C8" t="s">
        <v>33</v>
      </c>
      <c r="D8" t="s">
        <v>3049</v>
      </c>
      <c r="H8" t="s">
        <v>31</v>
      </c>
      <c r="K8">
        <f t="array" ref="K8">CONCATENATE("update msg_out_fld_config set msg_fld_name = '",A8,"' where cd = 'EE0CFD02E9C42087B21858478E101309';")</f>
        <v>0</v>
      </c>
      <c r="M8">
        <f t="array" ref="M8">CONCATENATE("update msg_out_fld set description = '",D8,"' where tab_name = 'GESAMTVERMOEGEN' and fld_name = 'LOESCHDATUM';")</f>
        <v>0</v>
      </c>
    </row>
    <row r="9" spans="1:13">
      <c r="A9" t="s">
        <v>36</v>
      </c>
      <c r="C9" t="s">
        <v>37</v>
      </c>
      <c r="D9" t="s">
        <v>3050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'C5A9021B331896DE851AFDD99A560D43';")</f>
        <v>0</v>
      </c>
      <c r="M9">
        <f t="array" ref="M9">CONCATENATE("update msg_out_fld set description = '",D9,"' where tab_name = 'GESAMTVERMOEGEN' and fld_name = 'LOESCHUSER';")</f>
        <v>0</v>
      </c>
    </row>
    <row r="10" spans="1:13">
      <c r="A10" t="s">
        <v>45</v>
      </c>
      <c r="C10" t="s">
        <v>33</v>
      </c>
      <c r="D10" t="s">
        <v>3051</v>
      </c>
      <c r="H10" t="s">
        <v>44</v>
      </c>
      <c r="K10">
        <f t="array" ref="K10">CONCATENATE("update msg_out_fld_config set msg_fld_name = '",A10,"' where cd = '0A3FEE235CB7E1E36FE6C957867C1776';")</f>
        <v>0</v>
      </c>
      <c r="M10">
        <f t="array" ref="M10">CONCATENATE("update msg_out_fld set description = '",D10,"' where tab_name = 'GESAMTVERMOEGEN' and fld_name = 'CRTDATUM';")</f>
        <v>0</v>
      </c>
    </row>
    <row r="11" spans="1:13">
      <c r="A11" t="s">
        <v>48</v>
      </c>
      <c r="C11" t="s">
        <v>37</v>
      </c>
      <c r="D11" t="s">
        <v>3052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'7B61AECBE6860682CBF7BBFF8AEB1D3A';")</f>
        <v>0</v>
      </c>
      <c r="M11">
        <f t="array" ref="M11">CONCATENATE("update msg_out_fld set description = '",D11,"' where tab_name = 'GESAMTVERMOEGEN' and fld_name = 'CRTUSER';")</f>
        <v>0</v>
      </c>
    </row>
    <row r="12" spans="1:13">
      <c r="A12" t="s">
        <v>55</v>
      </c>
      <c r="C12" t="s">
        <v>42</v>
      </c>
      <c r="D12" t="s">
        <v>3054</v>
      </c>
      <c r="H12" t="s">
        <v>3053</v>
      </c>
      <c r="K12">
        <f t="array" ref="K12">CONCATENATE("update msg_out_fld_config set msg_fld_name = '",A12,"' where cd = '242F0430017D88C7877758F3D93AC0B3';")</f>
        <v>0</v>
      </c>
      <c r="M12">
        <f t="array" ref="M12">CONCATENATE("update msg_out_fld set description = '",D12,"' where tab_name = 'GESAMTVERMOEGEN' and fld_name = 'GESAMTVERMOEGEN';")</f>
        <v>0</v>
      </c>
    </row>
    <row r="13" spans="1:13">
      <c r="A13" t="s">
        <v>58</v>
      </c>
      <c r="C13" t="s">
        <v>33</v>
      </c>
      <c r="D13" t="s">
        <v>3055</v>
      </c>
      <c r="H13" t="s">
        <v>57</v>
      </c>
      <c r="K13">
        <f t="array" ref="K13">CONCATENATE("update msg_out_fld_config set msg_fld_name = '",A13,"' where cd = 'B44CF22B52F38A19CA6384D0838883F7';")</f>
        <v>0</v>
      </c>
      <c r="M13">
        <f t="array" ref="M13">CONCATENATE("update msg_out_fld set description = '",D13,"' where tab_name = 'GESAMTVERMOEGEN' and fld_name = 'MUTDATUM';")</f>
        <v>0</v>
      </c>
    </row>
    <row r="14" spans="1:13">
      <c r="A14" t="s">
        <v>61</v>
      </c>
      <c r="C14" t="s">
        <v>37</v>
      </c>
      <c r="D14" t="s">
        <v>3056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'6ED5EDF17305C0BAC29A66C55E042B65';")</f>
        <v>0</v>
      </c>
      <c r="M14">
        <f t="array" ref="M14">CONCATENATE("update msg_out_fld set description = '",D14,"' where tab_name = 'GESAMTVERMOEGEN' and fld_name = 'MUTUSER';")</f>
        <v>0</v>
      </c>
    </row>
    <row r="15" spans="1:13">
      <c r="A15" t="s">
        <v>83</v>
      </c>
      <c r="C15" t="s">
        <v>84</v>
      </c>
      <c r="D15" t="s">
        <v>85</v>
      </c>
      <c r="H15" t="s">
        <v>82</v>
      </c>
      <c r="K15">
        <f t="array" ref="K15">CONCATENATE("update msg_out_fld_config set msg_fld_name = '",A15,"' where cd = '7867C06E30587A6B8E5545D3B1861730';")</f>
        <v>0</v>
      </c>
      <c r="M15">
        <f t="array" ref="M15">CONCATENATE("update msg_out_fld set description = '",D15,"' where tab_name = 'GESAMTVERMOEGEN' and fld_name = 'RISKINDEX';")</f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4.28515625" customWidth="1"/>
    <col min="3" max="3" width="15.14062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41.140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3057</v>
      </c>
    </row>
    <row r="2" spans="1:13">
      <c r="A2" s="1" t="s">
        <v>3058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68</v>
      </c>
      <c r="D6" t="s">
        <v>17</v>
      </c>
      <c r="H6" t="s">
        <v>66</v>
      </c>
      <c r="K6">
        <f t="array" ref="K6">CONCATENATE("update msg_out_fld_config set msg_fld_name = '",A6,"' where cd = '375D4C08B7C5B9BECB298E061B325CC6';")</f>
        <v>0</v>
      </c>
      <c r="M6">
        <f t="array" ref="M6">CONCATENATE("update msg_out_fld set description = '",D6,"' where tab_name = 'UNIT' and fld_name = 'UNIT_CD';")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'3E1A6B84A62DCB2D51DC9D3CF44D02EF';")</f>
        <v>0</v>
      </c>
      <c r="M7">
        <f t="array" ref="M7">CONCATENATE("update msg_out_fld set description = '",D7,"' where tab_name = 'UNIT'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'F225BCF190A7A54D6C6683EA0644DFBE';")</f>
        <v>0</v>
      </c>
      <c r="M8">
        <f t="array" ref="M8">CONCATENATE("update msg_out_fld set description = '",D8,"' where tab_name = 'UNIT'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'6D8DDC333D857C3839C7D741C6132772';")</f>
        <v>0</v>
      </c>
      <c r="M9">
        <f t="array" ref="M9">CONCATENATE("update msg_out_fld set description = '",D9,"' where tab_name = 'UNIT'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'95D983582FB4BE8DF29709CD30F7FA7D';")</f>
        <v>0</v>
      </c>
      <c r="M10">
        <f t="array" ref="M10">CONCATENATE("update msg_out_fld set description = '",D10,"' where tab_name = 'UNIT'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'2997C877058D5432AFD97476103F4E1E';")</f>
        <v>0</v>
      </c>
      <c r="M11">
        <f t="array" ref="M11">CONCATENATE("update msg_out_fld set description = '",D11,"' where tab_name = 'UNIT' and fld_name = 'CRTUSER';")</f>
        <v>0</v>
      </c>
    </row>
    <row r="12" spans="1:13">
      <c r="A12" t="s">
        <v>55</v>
      </c>
      <c r="C12" t="s">
        <v>37</v>
      </c>
      <c r="D12" t="s">
        <v>69</v>
      </c>
      <c r="H12" t="s">
        <v>3059</v>
      </c>
      <c r="K12">
        <f t="array" ref="K12">CONCATENATE("update msg_out_fld_config set msg_fld_name = '",A12,"' where cd = '83F5AF3CE1243A09B9BCD30D7A30F573';")</f>
        <v>0</v>
      </c>
      <c r="M12">
        <f t="array" ref="M12">CONCATENATE("update msg_out_fld set description = '",D12,"' where tab_name = 'UNIT' and fld_name = 'UNIT';")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'343DF7C34F13AEB658191AB1B2BB1ACE';")</f>
        <v>0</v>
      </c>
      <c r="M13">
        <f t="array" ref="M13">CONCATENATE("update msg_out_fld set description = '",D13,"' where tab_name = 'UNIT'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'7E52BECB168A9009F8991E0665CD62B1';")</f>
        <v>0</v>
      </c>
      <c r="M14">
        <f t="array" ref="M14">CONCATENATE("update msg_out_fld set description = '",D14,"' where tab_name = 'UNIT' and fld_name = 'MUTUSER';")</f>
        <v>0</v>
      </c>
    </row>
    <row r="15" spans="1:13">
      <c r="A15" t="s">
        <v>3061</v>
      </c>
      <c r="C15" t="s">
        <v>37</v>
      </c>
      <c r="D15" t="s">
        <v>3062</v>
      </c>
      <c r="E15" t="s">
        <v>39</v>
      </c>
      <c r="F15" t="s">
        <v>23</v>
      </c>
      <c r="H15" t="s">
        <v>3060</v>
      </c>
      <c r="K15">
        <f t="array" ref="K15">CONCATENATE("update msg_out_fld_config set msg_fld_name = '",A15,"' where cd = '2AF57D443F25C1063F9EF9BCF34A4675';")</f>
        <v>0</v>
      </c>
      <c r="M15">
        <f t="array" ref="M15">CONCATENATE("update msg_out_fld set description = '",D15,"' where tab_name = 'UNIT' and fld_name = 'TEAMLEADER';")</f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cols>
    <col min="1" max="1" width="39.140625" customWidth="1"/>
    <col min="2" max="2" width="4.28515625" customWidth="1"/>
    <col min="3" max="3" width="16.28515625" customWidth="1"/>
    <col min="4" max="4" width="46.28515625" customWidth="1"/>
    <col min="5" max="5" width="36.7109375" customWidth="1"/>
    <col min="6" max="6" width="10.28515625" customWidth="1"/>
    <col min="7" max="7" width="29.5703125" customWidth="1"/>
    <col min="8" max="8" width="35.57031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72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3063</v>
      </c>
    </row>
    <row r="2" spans="1:13">
      <c r="A2" s="1" t="s">
        <v>3064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37</v>
      </c>
      <c r="D6" t="s">
        <v>191</v>
      </c>
      <c r="H6" t="s">
        <v>189</v>
      </c>
      <c r="K6">
        <f t="array" ref="K6">CONCATENATE("update msg_out_fld_config set msg_fld_name = '",A6,"' where cd = '407A5FB33C1D23CFE4C0997D62E45AA1';")</f>
        <v>0</v>
      </c>
      <c r="M6">
        <f t="array" ref="M6">CONCATENATE("update msg_out_fld set description = '",D6,"' where tab_name = 'MITARBEITER' and fld_name = 'USERID';")</f>
        <v>0</v>
      </c>
    </row>
    <row r="7" spans="1:13">
      <c r="A7" t="s">
        <v>93</v>
      </c>
      <c r="C7" t="s">
        <v>37</v>
      </c>
      <c r="D7" t="s">
        <v>94</v>
      </c>
      <c r="H7" t="s">
        <v>92</v>
      </c>
      <c r="K7">
        <f t="array" ref="K7">CONCATENATE("update msg_out_fld_config set msg_fld_name = '",A7,"' where cd = 'F2050F3D094BFCBF990C105C24657463';")</f>
        <v>0</v>
      </c>
      <c r="M7">
        <f t="array" ref="M7">CONCATENATE("update msg_out_fld set description = '",D7,"' where tab_name = 'MITARBEITER' and fld_name = 'AKTID';")</f>
        <v>0</v>
      </c>
    </row>
    <row r="8" spans="1:13">
      <c r="A8" t="s">
        <v>3066</v>
      </c>
      <c r="C8" t="s">
        <v>68</v>
      </c>
      <c r="D8" t="s">
        <v>1898</v>
      </c>
      <c r="E8" t="s">
        <v>746</v>
      </c>
      <c r="F8" t="s">
        <v>23</v>
      </c>
      <c r="H8" t="s">
        <v>3065</v>
      </c>
      <c r="K8">
        <f t="array" ref="K8">CONCATENATE("update msg_out_fld_config set msg_fld_name = '",A8,"' where cd = 'E3F95220836686E59450D74582134BAF';")</f>
        <v>0</v>
      </c>
      <c r="M8">
        <f t="array" ref="M8">CONCATENATE("update msg_out_fld set description = '",D8,"' where tab_name = 'MITARBEITER' and fld_name = 'ADMINTAB_SPRACHE_CD';")</f>
        <v>0</v>
      </c>
    </row>
    <row r="9" spans="1:13">
      <c r="A9" t="s">
        <v>3068</v>
      </c>
      <c r="C9" t="s">
        <v>37</v>
      </c>
      <c r="D9" t="s">
        <v>3069</v>
      </c>
      <c r="E9" t="s">
        <v>39</v>
      </c>
      <c r="F9" t="s">
        <v>23</v>
      </c>
      <c r="H9" t="s">
        <v>3067</v>
      </c>
      <c r="K9">
        <f t="array" ref="K9">CONCATENATE("update msg_out_fld_config set msg_fld_name = '",A9,"' where cd = '99A2CC2FC2157736A2ECF97195A0FFDC';")</f>
        <v>0</v>
      </c>
      <c r="M9">
        <f t="array" ref="M9">CONCATENATE("update msg_out_fld set description = '",D9,"' where tab_name = 'MITARBEITER' and fld_name = 'APPROVAL_USER';")</f>
        <v>0</v>
      </c>
    </row>
    <row r="10" spans="1:13">
      <c r="A10" t="s">
        <v>3071</v>
      </c>
      <c r="C10" t="s">
        <v>33</v>
      </c>
      <c r="D10" t="s">
        <v>3072</v>
      </c>
      <c r="H10" t="s">
        <v>3070</v>
      </c>
      <c r="K10">
        <f t="array" ref="K10">CONCATENATE("update msg_out_fld_config set msg_fld_name = '",A10,"' where cd = '4B368FE4D79ACA73A931389B81F8D137';")</f>
        <v>0</v>
      </c>
      <c r="M10">
        <f t="array" ref="M10">CONCATENATE("update msg_out_fld set description = '",D10,"' where tab_name = 'MITARBEITER' and fld_name = 'APPROVAL_DATE';")</f>
        <v>0</v>
      </c>
    </row>
    <row r="11" spans="1:13">
      <c r="A11" t="s">
        <v>3074</v>
      </c>
      <c r="C11" t="s">
        <v>90</v>
      </c>
      <c r="D11" t="s">
        <v>3075</v>
      </c>
      <c r="E11" t="s">
        <v>3076</v>
      </c>
      <c r="H11" t="s">
        <v>3073</v>
      </c>
      <c r="K11">
        <f t="array" ref="K11">CONCATENATE("update msg_out_fld_config set msg_fld_name = '",A11,"' where cd = 'F6F9F2A3EF5873CB3F704FB609675F84';")</f>
        <v>0</v>
      </c>
      <c r="M11">
        <f t="array" ref="M11">CONCATENATE("update msg_out_fld set description = '",D11,"' where tab_name = 'MITARBEITER' and fld_name = 'APPROVAL_DOCUMENTNR';")</f>
        <v>0</v>
      </c>
    </row>
    <row r="12" spans="1:13">
      <c r="A12" t="s">
        <v>3078</v>
      </c>
      <c r="C12" t="s">
        <v>90</v>
      </c>
      <c r="D12" t="s">
        <v>3079</v>
      </c>
      <c r="H12" t="s">
        <v>3077</v>
      </c>
      <c r="K12">
        <f t="array" ref="K12">CONCATENATE("update msg_out_fld_config set msg_fld_name = '",A12,"' where cd = '69293A6EE9AAC541961007B388CA8761';")</f>
        <v>0</v>
      </c>
      <c r="M12">
        <f t="array" ref="M12">CONCATENATE("update msg_out_fld set description = '",D12,"' where tab_name = 'MITARBEITER' and fld_name = 'APPROVALNR';")</f>
        <v>0</v>
      </c>
    </row>
    <row r="13" spans="1:13">
      <c r="A13" t="s">
        <v>3081</v>
      </c>
      <c r="C13" t="s">
        <v>16</v>
      </c>
      <c r="D13" t="s">
        <v>3082</v>
      </c>
      <c r="E13" t="s">
        <v>336</v>
      </c>
      <c r="F13" t="s">
        <v>23</v>
      </c>
      <c r="H13" t="s">
        <v>3080</v>
      </c>
      <c r="K13">
        <f t="array" ref="K13">CONCATENATE("update msg_out_fld_config set msg_fld_name = '",A13,"' where cd = '3446F769AE02FB640005C16D8B8B7161';")</f>
        <v>0</v>
      </c>
      <c r="M13">
        <f t="array" ref="M13">CONCATENATE("update msg_out_fld set description = '",D13,"' where tab_name = 'MITARBEITER' and fld_name = 'APSYSUSERID';")</f>
        <v>0</v>
      </c>
    </row>
    <row r="14" spans="1:13">
      <c r="A14" t="s">
        <v>3084</v>
      </c>
      <c r="C14" t="s">
        <v>26</v>
      </c>
      <c r="D14" t="s">
        <v>3085</v>
      </c>
      <c r="E14" t="s">
        <v>28</v>
      </c>
      <c r="F14" t="s">
        <v>29</v>
      </c>
      <c r="G14" t="s">
        <v>30</v>
      </c>
      <c r="H14" t="s">
        <v>3083</v>
      </c>
      <c r="K14">
        <f t="array" ref="K14">CONCATENATE("update msg_out_fld_config set msg_fld_name = '",A14,"' where cd = '7D857ACF259B4A1FFD4E0F8546F4F15F';")</f>
        <v>0</v>
      </c>
      <c r="M14">
        <f t="array" ref="M14">CONCATENATE("update msg_out_fld set description = '",D14,"' where tab_name = 'MITARBEITER' and fld_name = 'BRTG_STEP1_CD';")</f>
        <v>0</v>
      </c>
    </row>
    <row r="15" spans="1:13">
      <c r="A15" t="s">
        <v>3087</v>
      </c>
      <c r="C15" t="s">
        <v>26</v>
      </c>
      <c r="D15" t="s">
        <v>3088</v>
      </c>
      <c r="E15" t="s">
        <v>28</v>
      </c>
      <c r="F15" t="s">
        <v>29</v>
      </c>
      <c r="G15" t="s">
        <v>30</v>
      </c>
      <c r="H15" t="s">
        <v>3086</v>
      </c>
      <c r="K15">
        <f t="array" ref="K15">CONCATENATE("update msg_out_fld_config set msg_fld_name = '",A15,"' where cd = '8DB4C68CA99A9BAB2880DEAD48C30072';")</f>
        <v>0</v>
      </c>
      <c r="M15">
        <f t="array" ref="M15">CONCATENATE("update msg_out_fld set description = '",D15,"' where tab_name = 'MITARBEITER' and fld_name = 'BRTG_STEP2_CD';")</f>
        <v>0</v>
      </c>
    </row>
    <row r="16" spans="1:13">
      <c r="A16" t="s">
        <v>3090</v>
      </c>
      <c r="C16" t="s">
        <v>26</v>
      </c>
      <c r="D16" t="s">
        <v>3091</v>
      </c>
      <c r="E16" t="s">
        <v>28</v>
      </c>
      <c r="F16" t="s">
        <v>29</v>
      </c>
      <c r="G16" t="s">
        <v>30</v>
      </c>
      <c r="H16" t="s">
        <v>3089</v>
      </c>
      <c r="K16">
        <f t="array" ref="K16">CONCATENATE("update msg_out_fld_config set msg_fld_name = '",A16,"' where cd = '6CAD5E97150A098A16B17D935D90F1A9';")</f>
        <v>0</v>
      </c>
      <c r="M16">
        <f t="array" ref="M16">CONCATENATE("update msg_out_fld set description = '",D16,"' where tab_name = 'MITARBEITER' and fld_name = 'BRTG_STEP3_CD';")</f>
        <v>0</v>
      </c>
    </row>
    <row r="17" spans="1:13">
      <c r="A17" t="s">
        <v>3093</v>
      </c>
      <c r="C17" t="s">
        <v>26</v>
      </c>
      <c r="D17" t="s">
        <v>3094</v>
      </c>
      <c r="E17" t="s">
        <v>28</v>
      </c>
      <c r="F17" t="s">
        <v>29</v>
      </c>
      <c r="G17" t="s">
        <v>30</v>
      </c>
      <c r="H17" t="s">
        <v>3092</v>
      </c>
      <c r="K17">
        <f t="array" ref="K17">CONCATENATE("update msg_out_fld_config set msg_fld_name = '",A17,"' where cd = 'ADBFD4E0ACB2CB498C8353D8170AE225';")</f>
        <v>0</v>
      </c>
      <c r="M17">
        <f t="array" ref="M17">CONCATENATE("update msg_out_fld set description = '",D17,"' where tab_name = 'MITARBEITER' and fld_name = 'BRTG_STEP4_CD';")</f>
        <v>0</v>
      </c>
    </row>
    <row r="18" spans="1:13">
      <c r="A18" t="s">
        <v>3096</v>
      </c>
      <c r="C18" t="s">
        <v>26</v>
      </c>
      <c r="D18" t="s">
        <v>3097</v>
      </c>
      <c r="E18" t="s">
        <v>28</v>
      </c>
      <c r="F18" t="s">
        <v>29</v>
      </c>
      <c r="G18" t="s">
        <v>30</v>
      </c>
      <c r="H18" t="s">
        <v>3095</v>
      </c>
      <c r="K18">
        <f t="array" ref="K18">CONCATENATE("update msg_out_fld_config set msg_fld_name = '",A18,"' where cd = '1DF904EE026CEA3912A7048B07BE663E';")</f>
        <v>0</v>
      </c>
      <c r="M18">
        <f t="array" ref="M18">CONCATENATE("update msg_out_fld set description = '",D18,"' where tab_name = 'MITARBEITER' and fld_name = 'BRTG_STEP5_CD';")</f>
        <v>0</v>
      </c>
    </row>
    <row r="19" spans="1:13">
      <c r="A19" t="s">
        <v>3099</v>
      </c>
      <c r="C19" t="s">
        <v>26</v>
      </c>
      <c r="D19" t="s">
        <v>3100</v>
      </c>
      <c r="E19" t="s">
        <v>28</v>
      </c>
      <c r="F19" t="s">
        <v>29</v>
      </c>
      <c r="G19" t="s">
        <v>30</v>
      </c>
      <c r="H19" t="s">
        <v>3098</v>
      </c>
      <c r="K19">
        <f t="array" ref="K19">CONCATENATE("update msg_out_fld_config set msg_fld_name = '",A19,"' where cd = 'C5E0FB0ECE6B53B26B55F882ED52CF11';")</f>
        <v>0</v>
      </c>
      <c r="M19">
        <f t="array" ref="M19">CONCATENATE("update msg_out_fld set description = '",D19,"' where tab_name = 'MITARBEITER' and fld_name = 'BRTG_BERECHNENRISIKOPROFIL_CD';")</f>
        <v>0</v>
      </c>
    </row>
    <row r="20" spans="1:13">
      <c r="A20" t="s">
        <v>3102</v>
      </c>
      <c r="C20" t="s">
        <v>26</v>
      </c>
      <c r="D20" t="s">
        <v>3103</v>
      </c>
      <c r="E20" t="s">
        <v>28</v>
      </c>
      <c r="F20" t="s">
        <v>29</v>
      </c>
      <c r="G20" t="s">
        <v>30</v>
      </c>
      <c r="H20" t="s">
        <v>3101</v>
      </c>
      <c r="K20">
        <f t="array" ref="K20">CONCATENATE("update msg_out_fld_config set msg_fld_name = '",A20,"' where cd = '8B38F694B31A92F82445E6D4F4FEDA02';")</f>
        <v>0</v>
      </c>
      <c r="M20">
        <f t="array" ref="M20">CONCATENATE("update msg_out_fld set description = '",D20,"' where tab_name = 'MITARBEITER' and fld_name = 'BRTG_EDITADMIN_CD';")</f>
        <v>0</v>
      </c>
    </row>
    <row r="21" spans="1:13">
      <c r="A21" t="s">
        <v>3105</v>
      </c>
      <c r="C21" t="s">
        <v>26</v>
      </c>
      <c r="D21" t="s">
        <v>3106</v>
      </c>
      <c r="E21" t="s">
        <v>28</v>
      </c>
      <c r="F21" t="s">
        <v>29</v>
      </c>
      <c r="G21" t="s">
        <v>30</v>
      </c>
      <c r="H21" t="s">
        <v>3104</v>
      </c>
      <c r="K21">
        <f t="array" ref="K21">CONCATENATE("update msg_out_fld_config set msg_fld_name = '",A21,"' where cd = '6BE5E3B99BF5ADFBB56E0874DB134A09';")</f>
        <v>0</v>
      </c>
      <c r="M21">
        <f t="array" ref="M21">CONCATENATE("update msg_out_fld set description = '",D21,"' where tab_name = 'MITARBEITER' and fld_name = 'BRTG_EDITMITARBEITER_CD';")</f>
        <v>0</v>
      </c>
    </row>
    <row r="22" spans="1:13">
      <c r="A22" t="s">
        <v>3108</v>
      </c>
      <c r="C22" t="s">
        <v>26</v>
      </c>
      <c r="D22" t="s">
        <v>3109</v>
      </c>
      <c r="E22" t="s">
        <v>28</v>
      </c>
      <c r="F22" t="s">
        <v>29</v>
      </c>
      <c r="G22" t="s">
        <v>30</v>
      </c>
      <c r="H22" t="s">
        <v>3107</v>
      </c>
      <c r="K22">
        <f t="array" ref="K22">CONCATENATE("update msg_out_fld_config set msg_fld_name = '",A22,"' where cd = 'F7D0D7138BF9D94DD7E724CAC2873D2D';")</f>
        <v>0</v>
      </c>
      <c r="M22">
        <f t="array" ref="M22">CONCATENATE("update msg_out_fld set description = '",D22,"' where tab_name = 'MITARBEITER' and fld_name = 'BRTG_MANUELLEHITS_CD';")</f>
        <v>0</v>
      </c>
    </row>
    <row r="23" spans="1:13">
      <c r="A23" t="s">
        <v>3111</v>
      </c>
      <c r="C23" t="s">
        <v>26</v>
      </c>
      <c r="D23" t="s">
        <v>3112</v>
      </c>
      <c r="E23" t="s">
        <v>28</v>
      </c>
      <c r="F23" t="s">
        <v>29</v>
      </c>
      <c r="G23" t="s">
        <v>30</v>
      </c>
      <c r="H23" t="s">
        <v>3110</v>
      </c>
      <c r="K23">
        <f t="array" ref="K23">CONCATENATE("update msg_out_fld_config set msg_fld_name = '",A23,"' where cd = 'C9E3892910BE16D41122272A0CE5307F';")</f>
        <v>0</v>
      </c>
      <c r="M23">
        <f t="array" ref="M23">CONCATENATE("update msg_out_fld set description = '",D23,"' where tab_name = 'MITARBEITER' and fld_name = 'BRTG_ROLLE_CD';")</f>
        <v>0</v>
      </c>
    </row>
    <row r="24" spans="1:13">
      <c r="A24" t="s">
        <v>3114</v>
      </c>
      <c r="C24" t="s">
        <v>26</v>
      </c>
      <c r="D24" t="s">
        <v>3115</v>
      </c>
      <c r="E24" t="s">
        <v>28</v>
      </c>
      <c r="F24" t="s">
        <v>29</v>
      </c>
      <c r="G24" t="s">
        <v>30</v>
      </c>
      <c r="H24" t="s">
        <v>3113</v>
      </c>
      <c r="K24">
        <f t="array" ref="K24">CONCATENATE("update msg_out_fld_config set msg_fld_name = '",A24,"' where cd = 'D644EA72ABEB567C89BE2FF50F962AE2';")</f>
        <v>0</v>
      </c>
      <c r="M24">
        <f t="array" ref="M24">CONCATENATE("update msg_out_fld set description = '",D24,"' where tab_name = 'MITARBEITER' and fld_name = 'BRTG_RISIKOPROFIL_CD';")</f>
        <v>0</v>
      </c>
    </row>
    <row r="25" spans="1:13">
      <c r="A25" t="s">
        <v>3117</v>
      </c>
      <c r="C25" t="s">
        <v>26</v>
      </c>
      <c r="D25" t="s">
        <v>3118</v>
      </c>
      <c r="E25" t="s">
        <v>28</v>
      </c>
      <c r="F25" t="s">
        <v>29</v>
      </c>
      <c r="G25" t="s">
        <v>30</v>
      </c>
      <c r="H25" t="s">
        <v>3116</v>
      </c>
      <c r="K25">
        <f t="array" ref="K25">CONCATENATE("update msg_out_fld_config set msg_fld_name = '",A25,"' where cd = 'CCC1BBD6AFB62B3CB56E37F05DFEBE97';")</f>
        <v>0</v>
      </c>
      <c r="M25">
        <f t="array" ref="M25">CONCATENATE("update msg_out_fld set description = '",D25,"' where tab_name = 'MITARBEITER' and fld_name = 'BRTG_SCANARCHIVDOKUMENTE_CD';")</f>
        <v>0</v>
      </c>
    </row>
    <row r="26" spans="1:13">
      <c r="A26" t="s">
        <v>25</v>
      </c>
      <c r="C26" t="s">
        <v>26</v>
      </c>
      <c r="D26" t="s">
        <v>3119</v>
      </c>
      <c r="E26" t="s">
        <v>28</v>
      </c>
      <c r="F26" t="s">
        <v>29</v>
      </c>
      <c r="G26" t="s">
        <v>30</v>
      </c>
      <c r="H26" t="s">
        <v>24</v>
      </c>
      <c r="K26">
        <f t="array" ref="K26">CONCATENATE("update msg_out_fld_config set msg_fld_name = '",A26,"' where cd = '04343F621B932AE36D9800FF93DE8BF8';")</f>
        <v>0</v>
      </c>
      <c r="M26">
        <f t="array" ref="M26">CONCATENATE("update msg_out_fld set description = '",D26,"' where tab_name = 'MITARBEITER' and fld_name = 'LOESCH_CD';")</f>
        <v>0</v>
      </c>
    </row>
    <row r="27" spans="1:13">
      <c r="A27" t="s">
        <v>32</v>
      </c>
      <c r="C27" t="s">
        <v>33</v>
      </c>
      <c r="D27" t="s">
        <v>3120</v>
      </c>
      <c r="H27" t="s">
        <v>31</v>
      </c>
      <c r="K27">
        <f t="array" ref="K27">CONCATENATE("update msg_out_fld_config set msg_fld_name = '",A27,"' where cd = '23592175EC92116970B4371F4BE79B99';")</f>
        <v>0</v>
      </c>
      <c r="M27">
        <f t="array" ref="M27">CONCATENATE("update msg_out_fld set description = '",D27,"' where tab_name = 'MITARBEITER' and fld_name = 'LOESCHDATUM';")</f>
        <v>0</v>
      </c>
    </row>
    <row r="28" spans="1:13">
      <c r="A28" t="s">
        <v>45</v>
      </c>
      <c r="C28" t="s">
        <v>33</v>
      </c>
      <c r="D28" t="s">
        <v>3121</v>
      </c>
      <c r="H28" t="s">
        <v>44</v>
      </c>
      <c r="K28">
        <f t="array" ref="K28">CONCATENATE("update msg_out_fld_config set msg_fld_name = '",A28,"' where cd = '881CFE9888DC13E7AA000E71D73C7F62';")</f>
        <v>0</v>
      </c>
      <c r="M28">
        <f t="array" ref="M28">CONCATENATE("update msg_out_fld set description = '",D28,"' where tab_name = 'MITARBEITER' and fld_name = 'CRTDATUM';")</f>
        <v>0</v>
      </c>
    </row>
    <row r="29" spans="1:13">
      <c r="A29" t="s">
        <v>48</v>
      </c>
      <c r="C29" t="s">
        <v>37</v>
      </c>
      <c r="D29" t="s">
        <v>3122</v>
      </c>
      <c r="E29" t="s">
        <v>39</v>
      </c>
      <c r="F29" t="s">
        <v>23</v>
      </c>
      <c r="H29" t="s">
        <v>47</v>
      </c>
      <c r="K29">
        <f t="array" ref="K29">CONCATENATE("update msg_out_fld_config set msg_fld_name = '",A29,"' where cd = '96C60B7286F674D4EA6862FDDBB2C4E4';")</f>
        <v>0</v>
      </c>
      <c r="M29">
        <f t="array" ref="M29">CONCATENATE("update msg_out_fld set description = '",D29,"' where tab_name = 'MITARBEITER' and fld_name = 'CRTUSER';")</f>
        <v>0</v>
      </c>
    </row>
    <row r="30" spans="1:13">
      <c r="A30" t="s">
        <v>3124</v>
      </c>
      <c r="C30" t="s">
        <v>42</v>
      </c>
      <c r="D30" t="s">
        <v>3125</v>
      </c>
      <c r="H30" t="s">
        <v>3123</v>
      </c>
      <c r="K30">
        <f t="array" ref="K30">CONCATENATE("update msg_out_fld_config set msg_fld_name = '",A30,"' where cd = '16D4C4BC9C1B2793FCCA82741E99B20F';")</f>
        <v>0</v>
      </c>
      <c r="M30">
        <f t="array" ref="M30">CONCATENATE("update msg_out_fld set description = '",D30,"' where tab_name = 'MITARBEITER' and fld_name = 'EMAIL';")</f>
        <v>0</v>
      </c>
    </row>
    <row r="31" spans="1:13">
      <c r="A31" t="s">
        <v>3127</v>
      </c>
      <c r="C31" t="s">
        <v>68</v>
      </c>
      <c r="D31" t="s">
        <v>3128</v>
      </c>
      <c r="E31" t="s">
        <v>3129</v>
      </c>
      <c r="F31" t="s">
        <v>23</v>
      </c>
      <c r="H31" t="s">
        <v>3126</v>
      </c>
      <c r="K31">
        <f t="array" ref="K31">CONCATENATE("update msg_out_fld_config set msg_fld_name = '",A31,"' where cd = '2358A652BD0A5C5CD0F0A27075DBAB5D';")</f>
        <v>0</v>
      </c>
      <c r="M31">
        <f t="array" ref="M31">CONCATENATE("update msg_out_fld set description = '",D31,"' where tab_name = 'MITARBEITER' and fld_name = 'GRUPPEID';")</f>
        <v>0</v>
      </c>
    </row>
    <row r="32" spans="1:13">
      <c r="A32" t="s">
        <v>3131</v>
      </c>
      <c r="C32" t="s">
        <v>26</v>
      </c>
      <c r="D32" t="s">
        <v>3132</v>
      </c>
      <c r="E32" t="s">
        <v>28</v>
      </c>
      <c r="F32" t="s">
        <v>29</v>
      </c>
      <c r="G32" t="s">
        <v>30</v>
      </c>
      <c r="H32" t="s">
        <v>3130</v>
      </c>
      <c r="K32">
        <f t="array" ref="K32">CONCATENATE("update msg_out_fld_config set msg_fld_name = '",A32,"' where cd = '94422C68DF53F7C14A76C59F5B809296';")</f>
        <v>0</v>
      </c>
      <c r="M32">
        <f t="array" ref="M32">CONCATENATE("update msg_out_fld set description = '",D32,"' where tab_name = 'MITARBEITER' and fld_name = 'AML_KONTROLLSTELLE_CD';")</f>
        <v>0</v>
      </c>
    </row>
    <row r="33" spans="1:13">
      <c r="A33" t="s">
        <v>3134</v>
      </c>
      <c r="C33" t="s">
        <v>26</v>
      </c>
      <c r="D33" t="s">
        <v>3135</v>
      </c>
      <c r="E33" t="s">
        <v>28</v>
      </c>
      <c r="F33" t="s">
        <v>29</v>
      </c>
      <c r="G33" t="s">
        <v>30</v>
      </c>
      <c r="H33" t="s">
        <v>3133</v>
      </c>
      <c r="K33">
        <f t="array" ref="K33">CONCATENATE("update msg_out_fld_config set msg_fld_name = '",A33,"' where cd = '89CDC8408DB94E41835E9E9557BAA6CF';")</f>
        <v>0</v>
      </c>
      <c r="M33">
        <f t="array" ref="M33">CONCATENATE("update msg_out_fld set description = '",D33,"' where tab_name = 'MITARBEITER' and fld_name = 'WC_KONTROLLSTELLE_CD';")</f>
        <v>0</v>
      </c>
    </row>
    <row r="34" spans="1:13">
      <c r="A34" t="s">
        <v>3137</v>
      </c>
      <c r="C34" t="s">
        <v>171</v>
      </c>
      <c r="D34" t="s">
        <v>3138</v>
      </c>
      <c r="H34" t="s">
        <v>3136</v>
      </c>
      <c r="K34">
        <f t="array" ref="K34">CONCATENATE("update msg_out_fld_config set msg_fld_name = '",A34,"' where cd = '9840C90E04C090D3DF3A499EF169197E';")</f>
        <v>0</v>
      </c>
      <c r="M34">
        <f t="array" ref="M34">CONCATENATE("update msg_out_fld set description = '",D34,"' where tab_name = 'MITARBEITER' and fld_name = 'LDAP_USERID';")</f>
        <v>0</v>
      </c>
    </row>
    <row r="35" spans="1:13">
      <c r="A35" t="s">
        <v>58</v>
      </c>
      <c r="C35" t="s">
        <v>33</v>
      </c>
      <c r="D35" t="s">
        <v>3139</v>
      </c>
      <c r="H35" t="s">
        <v>57</v>
      </c>
      <c r="K35">
        <f t="array" ref="K35">CONCATENATE("update msg_out_fld_config set msg_fld_name = '",A35,"' where cd = '3A03910DE94486E38F9A6FBD7AE07C0B';")</f>
        <v>0</v>
      </c>
      <c r="M35">
        <f t="array" ref="M35">CONCATENATE("update msg_out_fld set description = '",D35,"' where tab_name = 'MITARBEITER' and fld_name = 'MUTDATUM';")</f>
        <v>0</v>
      </c>
    </row>
    <row r="36" spans="1:13">
      <c r="A36" t="s">
        <v>61</v>
      </c>
      <c r="C36" t="s">
        <v>37</v>
      </c>
      <c r="D36" t="s">
        <v>3140</v>
      </c>
      <c r="E36" t="s">
        <v>39</v>
      </c>
      <c r="F36" t="s">
        <v>23</v>
      </c>
      <c r="H36" t="s">
        <v>60</v>
      </c>
      <c r="K36">
        <f t="array" ref="K36">CONCATENATE("update msg_out_fld_config set msg_fld_name = '",A36,"' where cd = '81AAD5CCB9D0FFDFD5B6799DAF463FF3';")</f>
        <v>0</v>
      </c>
      <c r="M36">
        <f t="array" ref="M36">CONCATENATE("update msg_out_fld set description = '",D36,"' where tab_name = 'MITARBEITER' and fld_name = 'MUTUSER';")</f>
        <v>0</v>
      </c>
    </row>
    <row r="37" spans="1:13">
      <c r="A37" t="s">
        <v>167</v>
      </c>
      <c r="C37" t="s">
        <v>37</v>
      </c>
      <c r="D37" t="s">
        <v>3141</v>
      </c>
      <c r="H37" t="s">
        <v>166</v>
      </c>
      <c r="K37">
        <f t="array" ref="K37">CONCATENATE("update msg_out_fld_config set msg_fld_name = '",A37,"' where cd = 'A6E3F9C0E11CB832E503E04FED00EC4E';")</f>
        <v>0</v>
      </c>
      <c r="M37">
        <f t="array" ref="M37">CONCATENATE("update msg_out_fld set description = '",D37,"' where tab_name = 'MITARBEITER' and fld_name = 'NAME';")</f>
        <v>0</v>
      </c>
    </row>
    <row r="38" spans="1:13">
      <c r="A38" t="s">
        <v>3143</v>
      </c>
      <c r="C38" t="s">
        <v>68</v>
      </c>
      <c r="D38" t="s">
        <v>3144</v>
      </c>
      <c r="E38" t="s">
        <v>3145</v>
      </c>
      <c r="F38" t="s">
        <v>23</v>
      </c>
      <c r="H38" t="s">
        <v>3142</v>
      </c>
      <c r="K38">
        <f t="array" ref="K38">CONCATENATE("update msg_out_fld_config set msg_fld_name = '",A38,"' where cd = 'E139009425D7F575E24E14642DDB45FA';")</f>
        <v>0</v>
      </c>
      <c r="M38">
        <f t="array" ref="M38">CONCATENATE("update msg_out_fld set description = '",D38,"' where tab_name = 'MITARBEITER' and fld_name = 'SUBGROUP_ID';")</f>
        <v>0</v>
      </c>
    </row>
    <row r="39" spans="1:13">
      <c r="A39" t="s">
        <v>3147</v>
      </c>
      <c r="C39" t="s">
        <v>90</v>
      </c>
      <c r="D39" t="s">
        <v>3148</v>
      </c>
      <c r="E39" t="s">
        <v>3149</v>
      </c>
      <c r="F39" t="s">
        <v>29</v>
      </c>
      <c r="G39" t="s">
        <v>742</v>
      </c>
      <c r="H39" t="s">
        <v>3146</v>
      </c>
      <c r="K39">
        <f t="array" ref="K39">CONCATENATE("update msg_out_fld_config set msg_fld_name = '",A39,"' where cd = '22CD81E35395DE66BA82169E62011E1D';")</f>
        <v>0</v>
      </c>
      <c r="M39">
        <f t="array" ref="M39">CONCATENATE("update msg_out_fld set description = '",D39,"' where tab_name = 'MITARBEITER' and fld_name = 'APPROVAL_CD';")</f>
        <v>0</v>
      </c>
    </row>
    <row r="40" spans="1:13">
      <c r="A40" t="s">
        <v>193</v>
      </c>
      <c r="C40" t="s">
        <v>26</v>
      </c>
      <c r="D40" t="s">
        <v>194</v>
      </c>
      <c r="E40" t="s">
        <v>195</v>
      </c>
      <c r="F40" t="s">
        <v>29</v>
      </c>
      <c r="G40" t="s">
        <v>196</v>
      </c>
      <c r="H40" t="s">
        <v>192</v>
      </c>
      <c r="K40">
        <f t="array" ref="K40">CONCATENATE("update msg_out_fld_config set msg_fld_name = '",A40,"' where cd = 'A0BCF8CAFECF3763318B5FA1ED187BC9';")</f>
        <v>0</v>
      </c>
      <c r="M40">
        <f t="array" ref="M40">CONCATENATE("update msg_out_fld set description = '",D40,"' where tab_name = 'MITARBEITER' and fld_name = 'VALID_CD';")</f>
        <v>0</v>
      </c>
    </row>
    <row r="41" spans="1:13">
      <c r="A41" t="s">
        <v>201</v>
      </c>
      <c r="C41" t="s">
        <v>37</v>
      </c>
      <c r="D41" t="s">
        <v>202</v>
      </c>
      <c r="H41" t="s">
        <v>200</v>
      </c>
      <c r="K41">
        <f t="array" ref="K41">CONCATENATE("update msg_out_fld_config set msg_fld_name = '",A41,"' where cd = '72BE71BB5BA9AA45851495A510D41A3A';")</f>
        <v>0</v>
      </c>
      <c r="M41">
        <f t="array" ref="M41">CONCATENATE("update msg_out_fld set description = '",D41,"' where tab_name = 'MITARBEITER' and fld_name = 'VALIDID';")</f>
        <v>0</v>
      </c>
    </row>
    <row r="42" spans="1:13">
      <c r="A42" t="s">
        <v>207</v>
      </c>
      <c r="C42" t="s">
        <v>37</v>
      </c>
      <c r="D42" t="s">
        <v>208</v>
      </c>
      <c r="E42" t="s">
        <v>39</v>
      </c>
      <c r="F42" t="s">
        <v>23</v>
      </c>
      <c r="H42" t="s">
        <v>206</v>
      </c>
      <c r="K42">
        <f t="array" ref="K42">CONCATENATE("update msg_out_fld_config set msg_fld_name = '",A42,"' where cd = '9E9DA053E76412E00C2341F070DE6B02';")</f>
        <v>0</v>
      </c>
      <c r="M42">
        <f t="array" ref="M42">CONCATENATE("update msg_out_fld set description = '",D42,"' where tab_name = 'MITARBEITER' and fld_name = 'VALIDUSER';")</f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126"/>
  <sheetViews>
    <sheetView workbookViewId="0"/>
  </sheetViews>
  <sheetFormatPr defaultRowHeight="15"/>
  <cols>
    <col min="1" max="1" width="41.5703125" customWidth="1"/>
    <col min="2" max="2" width="4.28515625" customWidth="1"/>
    <col min="3" max="3" width="16.28515625" customWidth="1"/>
    <col min="4" max="4" width="76.28515625" customWidth="1"/>
    <col min="5" max="5" width="36.7109375" customWidth="1"/>
    <col min="6" max="6" width="10.28515625" customWidth="1"/>
    <col min="7" max="7" width="29.5703125" customWidth="1"/>
    <col min="8" max="8" width="36.7109375" customWidth="1"/>
    <col min="9" max="9" width="1.85546875" customWidth="1"/>
    <col min="10" max="10" width="1.85546875" customWidth="1"/>
    <col min="11" max="11" width="144.7109375" customWidth="1"/>
    <col min="12" max="12" width="1.85546875" customWidth="1"/>
    <col min="13" max="13" width="181.8554687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3150</v>
      </c>
    </row>
    <row r="2" spans="1:13">
      <c r="A2" s="1" t="s">
        <v>3151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68</v>
      </c>
      <c r="D6" t="s">
        <v>3152</v>
      </c>
      <c r="H6" t="s">
        <v>3126</v>
      </c>
      <c r="K6">
        <f t="array" ref="K6">CONCATENATE("update msg_out_fld_config set msg_fld_name = '",A6,"' where cd = '95F6EC4807424873D01E8C7A64956C1A';")</f>
        <v>0</v>
      </c>
      <c r="M6">
        <f t="array" ref="M6">CONCATENATE("update msg_out_fld set description = '",D6,"' where tab_name = 'MITARBEITER_GRUPPE' and fld_name = 'GRUPPEID';")</f>
        <v>0</v>
      </c>
    </row>
    <row r="7" spans="1:13">
      <c r="A7" t="s">
        <v>93</v>
      </c>
      <c r="C7" t="s">
        <v>90</v>
      </c>
      <c r="D7" t="s">
        <v>94</v>
      </c>
      <c r="H7" t="s">
        <v>92</v>
      </c>
      <c r="K7">
        <f t="array" ref="K7">CONCATENATE("update msg_out_fld_config set msg_fld_name = '",A7,"' where cd = '2F1B539F179C47DDDAC76FD87D677DB1';")</f>
        <v>0</v>
      </c>
      <c r="M7">
        <f t="array" ref="M7">CONCATENATE("update msg_out_fld set description = '",D7,"' where tab_name = 'MITARBEITER_GRUPPE' and fld_name = 'AKTID';")</f>
        <v>0</v>
      </c>
    </row>
    <row r="8" spans="1:13">
      <c r="A8" t="s">
        <v>3153</v>
      </c>
      <c r="C8" t="s">
        <v>33</v>
      </c>
      <c r="D8" t="s">
        <v>3072</v>
      </c>
      <c r="H8" t="s">
        <v>3070</v>
      </c>
      <c r="K8">
        <f t="array" ref="K8">CONCATENATE("update msg_out_fld_config set msg_fld_name = '",A8,"' where cd = '6A231DF26CE973C31CF68C1194BBB303';")</f>
        <v>0</v>
      </c>
      <c r="M8">
        <f t="array" ref="M8">CONCATENATE("update msg_out_fld set description = '",D8,"' where tab_name = 'MITARBEITER_GRUPPE' and fld_name = 'APPROVAL_DATE';")</f>
        <v>0</v>
      </c>
    </row>
    <row r="9" spans="1:13">
      <c r="A9" t="s">
        <v>3068</v>
      </c>
      <c r="C9" t="s">
        <v>37</v>
      </c>
      <c r="D9" t="s">
        <v>3069</v>
      </c>
      <c r="E9" t="s">
        <v>39</v>
      </c>
      <c r="F9" t="s">
        <v>23</v>
      </c>
      <c r="H9" t="s">
        <v>3067</v>
      </c>
      <c r="K9">
        <f t="array" ref="K9">CONCATENATE("update msg_out_fld_config set msg_fld_name = '",A9,"' where cd = 'FD34728593F0166857DC30D28356DB67';")</f>
        <v>0</v>
      </c>
      <c r="M9">
        <f t="array" ref="M9">CONCATENATE("update msg_out_fld set description = '",D9,"' where tab_name = 'MITARBEITER_GRUPPE' and fld_name = 'APPROVAL_USER';")</f>
        <v>0</v>
      </c>
    </row>
    <row r="10" spans="1:13">
      <c r="A10" t="s">
        <v>3074</v>
      </c>
      <c r="C10" t="s">
        <v>90</v>
      </c>
      <c r="D10" t="s">
        <v>3075</v>
      </c>
      <c r="E10" t="s">
        <v>3076</v>
      </c>
      <c r="H10" t="s">
        <v>3073</v>
      </c>
      <c r="K10">
        <f t="array" ref="K10">CONCATENATE("update msg_out_fld_config set msg_fld_name = '",A10,"' where cd = '26DDBE0300EB747B5350DDCB3EE0D7B6';")</f>
        <v>0</v>
      </c>
      <c r="M10">
        <f t="array" ref="M10">CONCATENATE("update msg_out_fld set description = '",D10,"' where tab_name = 'MITARBEITER_GRUPPE' and fld_name = 'APPROVAL_DOCUMENTNR';")</f>
        <v>0</v>
      </c>
    </row>
    <row r="11" spans="1:13">
      <c r="A11" t="s">
        <v>3078</v>
      </c>
      <c r="C11" t="s">
        <v>90</v>
      </c>
      <c r="D11" t="s">
        <v>3079</v>
      </c>
      <c r="H11" t="s">
        <v>3077</v>
      </c>
      <c r="K11">
        <f t="array" ref="K11">CONCATENATE("update msg_out_fld_config set msg_fld_name = '",A11,"' where cd = '6BD3E72B3D461409E6BCCD1498188DD6';")</f>
        <v>0</v>
      </c>
      <c r="M11">
        <f t="array" ref="M11">CONCATENATE("update msg_out_fld set description = '",D11,"' where tab_name = 'MITARBEITER_GRUPPE' and fld_name = 'APPROVALNR';")</f>
        <v>0</v>
      </c>
    </row>
    <row r="12" spans="1:13">
      <c r="A12" t="s">
        <v>3155</v>
      </c>
      <c r="C12" t="s">
        <v>26</v>
      </c>
      <c r="D12" t="s">
        <v>3156</v>
      </c>
      <c r="E12" t="s">
        <v>28</v>
      </c>
      <c r="F12" t="s">
        <v>29</v>
      </c>
      <c r="G12" t="s">
        <v>30</v>
      </c>
      <c r="H12" t="s">
        <v>3154</v>
      </c>
      <c r="K12">
        <f t="array" ref="K12">CONCATENATE("update msg_out_fld_config set msg_fld_name = '",A12,"' where cd = '193D4ACFFEF05B6BBE67C246755C5DD1';")</f>
        <v>0</v>
      </c>
      <c r="M12">
        <f t="array" ref="M12">CONCATENATE("update msg_out_fld set description = '",D12,"' where tab_name = 'MITARBEITER_GRUPPE' and fld_name = 'BRTG_ADMIN_CERT_CD';")</f>
        <v>0</v>
      </c>
    </row>
    <row r="13" spans="1:13">
      <c r="A13" t="s">
        <v>3158</v>
      </c>
      <c r="C13" t="s">
        <v>26</v>
      </c>
      <c r="D13" t="s">
        <v>3159</v>
      </c>
      <c r="E13" t="s">
        <v>28</v>
      </c>
      <c r="F13" t="s">
        <v>29</v>
      </c>
      <c r="G13" t="s">
        <v>30</v>
      </c>
      <c r="H13" t="s">
        <v>3157</v>
      </c>
      <c r="K13">
        <f t="array" ref="K13">CONCATENATE("update msg_out_fld_config set msg_fld_name = '",A13,"' where cd = 'CDE26989C522C798FD0AA78D7C204813';")</f>
        <v>0</v>
      </c>
      <c r="M13">
        <f t="array" ref="M13">CONCATENATE("update msg_out_fld set description = '",D13,"' where tab_name = 'MITARBEITER_GRUPPE' and fld_name = 'BRTG_CRYPTO_ADMIN_CD';")</f>
        <v>0</v>
      </c>
    </row>
    <row r="14" spans="1:13">
      <c r="A14" t="s">
        <v>3161</v>
      </c>
      <c r="C14" t="s">
        <v>26</v>
      </c>
      <c r="D14" t="s">
        <v>3162</v>
      </c>
      <c r="E14" t="s">
        <v>28</v>
      </c>
      <c r="F14" t="s">
        <v>29</v>
      </c>
      <c r="G14" t="s">
        <v>30</v>
      </c>
      <c r="H14" t="s">
        <v>3160</v>
      </c>
      <c r="K14">
        <f t="array" ref="K14">CONCATENATE("update msg_out_fld_config set msg_fld_name = '",A14,"' where cd = '36BF088F68B1B75153A5BF8B9F2E905F';")</f>
        <v>0</v>
      </c>
      <c r="M14">
        <f t="array" ref="M14">CONCATENATE("update msg_out_fld set description = '",D14,"' where tab_name = 'MITARBEITER_GRUPPE' and fld_name = 'BRTG_ADMINJAVASERVICES_CD';")</f>
        <v>0</v>
      </c>
    </row>
    <row r="15" spans="1:13">
      <c r="A15" t="s">
        <v>3164</v>
      </c>
      <c r="C15" t="s">
        <v>26</v>
      </c>
      <c r="D15" t="s">
        <v>3165</v>
      </c>
      <c r="E15" t="s">
        <v>28</v>
      </c>
      <c r="F15" t="s">
        <v>29</v>
      </c>
      <c r="G15" t="s">
        <v>30</v>
      </c>
      <c r="H15" t="s">
        <v>3163</v>
      </c>
      <c r="K15">
        <f t="array" ref="K15">CONCATENATE("update msg_out_fld_config set msg_fld_name = '",A15,"' where cd = '0C7D9685429D64D79762AA9D02481063';")</f>
        <v>0</v>
      </c>
      <c r="M15">
        <f t="array" ref="M15">CONCATENATE("update msg_out_fld set description = '",D15,"' where tab_name = 'MITARBEITER_GRUPPE' and fld_name = 'BRTG_SIGN_SETUP_CD';")</f>
        <v>0</v>
      </c>
    </row>
    <row r="16" spans="1:13">
      <c r="A16" t="s">
        <v>3099</v>
      </c>
      <c r="C16" t="s">
        <v>26</v>
      </c>
      <c r="D16" t="s">
        <v>3166</v>
      </c>
      <c r="E16" t="s">
        <v>28</v>
      </c>
      <c r="F16" t="s">
        <v>29</v>
      </c>
      <c r="G16" t="s">
        <v>30</v>
      </c>
      <c r="H16" t="s">
        <v>3098</v>
      </c>
      <c r="K16">
        <f t="array" ref="K16">CONCATENATE("update msg_out_fld_config set msg_fld_name = '",A16,"' where cd = '4ECF7271DFFD162C6265D96878E076B6';")</f>
        <v>0</v>
      </c>
      <c r="M16">
        <f t="array" ref="M16">CONCATENATE("update msg_out_fld set description = '",D16,"' where tab_name = 'MITARBEITER_GRUPPE' and fld_name = 'BRTG_BERECHNENRISIKOPROFIL_CD';")</f>
        <v>0</v>
      </c>
    </row>
    <row r="17" spans="1:13">
      <c r="A17" t="s">
        <v>3168</v>
      </c>
      <c r="C17" t="s">
        <v>26</v>
      </c>
      <c r="D17" t="s">
        <v>3169</v>
      </c>
      <c r="E17" t="s">
        <v>28</v>
      </c>
      <c r="F17" t="s">
        <v>29</v>
      </c>
      <c r="G17" t="s">
        <v>30</v>
      </c>
      <c r="H17" t="s">
        <v>3167</v>
      </c>
      <c r="K17">
        <f t="array" ref="K17">CONCATENATE("update msg_out_fld_config set msg_fld_name = '",A17,"' where cd = '9C75DA01ADFCE884CBAE5A88380650C5';")</f>
        <v>0</v>
      </c>
      <c r="M17">
        <f t="array" ref="M17">CONCATENATE("update msg_out_fld set description = '",D17,"' where tab_name = 'MITARBEITER_GRUPPE' and fld_name = 'BRTG_PRTSCR_CD';")</f>
        <v>0</v>
      </c>
    </row>
    <row r="18" spans="1:13">
      <c r="A18" t="s">
        <v>3171</v>
      </c>
      <c r="C18" t="s">
        <v>26</v>
      </c>
      <c r="D18" t="s">
        <v>3172</v>
      </c>
      <c r="E18" t="s">
        <v>28</v>
      </c>
      <c r="F18" t="s">
        <v>29</v>
      </c>
      <c r="G18" t="s">
        <v>30</v>
      </c>
      <c r="H18" t="s">
        <v>3170</v>
      </c>
      <c r="K18">
        <f t="array" ref="K18">CONCATENATE("update msg_out_fld_config set msg_fld_name = '",A18,"' where cd = 'A9BEE9098BBDD2F806D9655441E976D2';")</f>
        <v>0</v>
      </c>
      <c r="M18">
        <f t="array" ref="M18">CONCATENATE("update msg_out_fld set description = '",D18,"' where tab_name = 'MITARBEITER_GRUPPE' and fld_name = 'BRTG_SALDIEREN_CD';")</f>
        <v>0</v>
      </c>
    </row>
    <row r="19" spans="1:13">
      <c r="A19" t="s">
        <v>3174</v>
      </c>
      <c r="C19" t="s">
        <v>26</v>
      </c>
      <c r="D19" t="s">
        <v>3175</v>
      </c>
      <c r="E19" t="s">
        <v>28</v>
      </c>
      <c r="F19" t="s">
        <v>29</v>
      </c>
      <c r="G19" t="s">
        <v>30</v>
      </c>
      <c r="H19" t="s">
        <v>3173</v>
      </c>
      <c r="K19">
        <f t="array" ref="K19">CONCATENATE("update msg_out_fld_config set msg_fld_name = '",A19,"' where cd = '18F2F967ABE6DBEA5897D7E23BE02A61';")</f>
        <v>0</v>
      </c>
      <c r="M19">
        <f t="array" ref="M19">CONCATENATE("update msg_out_fld set description = '",D19,"' where tab_name = 'MITARBEITER_GRUPPE' and fld_name = 'BRTG_DELETECLOSEOPENING_CD';")</f>
        <v>0</v>
      </c>
    </row>
    <row r="20" spans="1:13">
      <c r="A20" t="s">
        <v>3177</v>
      </c>
      <c r="C20" t="s">
        <v>26</v>
      </c>
      <c r="D20" t="s">
        <v>3178</v>
      </c>
      <c r="E20" t="s">
        <v>28</v>
      </c>
      <c r="F20" t="s">
        <v>29</v>
      </c>
      <c r="G20" t="s">
        <v>30</v>
      </c>
      <c r="H20" t="s">
        <v>3176</v>
      </c>
      <c r="K20">
        <f t="array" ref="K20">CONCATENATE("update msg_out_fld_config set msg_fld_name = '",A20,"' where cd = '361B8207A81FA3D8350C964FBC26FB96';")</f>
        <v>0</v>
      </c>
      <c r="M20">
        <f t="array" ref="M20">CONCATENATE("update msg_out_fld set description = '",D20,"' where tab_name = 'MITARBEITER_GRUPPE' and fld_name = 'BRTG_BESTAETIGENAEOIHITS_CD';")</f>
        <v>0</v>
      </c>
    </row>
    <row r="21" spans="1:13">
      <c r="A21" t="s">
        <v>3180</v>
      </c>
      <c r="C21" t="s">
        <v>26</v>
      </c>
      <c r="D21" t="s">
        <v>3181</v>
      </c>
      <c r="E21" t="s">
        <v>28</v>
      </c>
      <c r="F21" t="s">
        <v>29</v>
      </c>
      <c r="G21" t="s">
        <v>30</v>
      </c>
      <c r="H21" t="s">
        <v>3179</v>
      </c>
      <c r="K21">
        <f t="array" ref="K21">CONCATENATE("update msg_out_fld_config set msg_fld_name = '",A21,"' where cd = '7ECD4EF4E87AB37FBA3A2AD07349FD1C';")</f>
        <v>0</v>
      </c>
      <c r="M21">
        <f t="array" ref="M21">CONCATENATE("update msg_out_fld set description = '",D21,"' where tab_name = 'MITARBEITER_GRUPPE' and fld_name = 'BRTG_BESTAETIGENHITS_CD';")</f>
        <v>0</v>
      </c>
    </row>
    <row r="22" spans="1:13">
      <c r="A22" t="s">
        <v>3183</v>
      </c>
      <c r="C22" t="s">
        <v>26</v>
      </c>
      <c r="D22" t="s">
        <v>3184</v>
      </c>
      <c r="E22" t="s">
        <v>28</v>
      </c>
      <c r="F22" t="s">
        <v>29</v>
      </c>
      <c r="G22" t="s">
        <v>30</v>
      </c>
      <c r="H22" t="s">
        <v>3182</v>
      </c>
      <c r="K22">
        <f t="array" ref="K22">CONCATENATE("update msg_out_fld_config set msg_fld_name = '",A22,"' where cd = '1ACC3C3F2544B9D8E28CD57F08D497C8';")</f>
        <v>0</v>
      </c>
      <c r="M22">
        <f t="array" ref="M22">CONCATENATE("update msg_out_fld set description = '",D22,"' where tab_name = 'MITARBEITER_GRUPPE' and fld_name = 'BRTG_BESTAETIGENFATCAHITS_CD';")</f>
        <v>0</v>
      </c>
    </row>
    <row r="23" spans="1:13">
      <c r="A23" t="s">
        <v>3186</v>
      </c>
      <c r="C23" t="s">
        <v>26</v>
      </c>
      <c r="D23" t="s">
        <v>3187</v>
      </c>
      <c r="E23" t="s">
        <v>28</v>
      </c>
      <c r="F23" t="s">
        <v>29</v>
      </c>
      <c r="G23" t="s">
        <v>30</v>
      </c>
      <c r="H23" t="s">
        <v>3185</v>
      </c>
      <c r="K23">
        <f t="array" ref="K23">CONCATENATE("update msg_out_fld_config set msg_fld_name = '",A23,"' where cd = '75B25BE4E45DA6A36911FFC267DD4B3A';")</f>
        <v>0</v>
      </c>
      <c r="M23">
        <f t="array" ref="M23">CONCATENATE("update msg_out_fld set description = '",D23,"' where tab_name = 'MITARBEITER_GRUPPE' and fld_name = 'BRTG_BEST_MAN_AEOIHITS_CD';")</f>
        <v>0</v>
      </c>
    </row>
    <row r="24" spans="1:13">
      <c r="A24" t="s">
        <v>3189</v>
      </c>
      <c r="C24" t="s">
        <v>26</v>
      </c>
      <c r="D24" t="s">
        <v>3190</v>
      </c>
      <c r="E24" t="s">
        <v>28</v>
      </c>
      <c r="F24" t="s">
        <v>29</v>
      </c>
      <c r="G24" t="s">
        <v>30</v>
      </c>
      <c r="H24" t="s">
        <v>3188</v>
      </c>
      <c r="K24">
        <f t="array" ref="K24">CONCATENATE("update msg_out_fld_config set msg_fld_name = '",A24,"' where cd = '00C292C70088EB7A74EB12F42BCF8168';")</f>
        <v>0</v>
      </c>
      <c r="M24">
        <f t="array" ref="M24">CONCATENATE("update msg_out_fld set description = '",D24,"' where tab_name = 'MITARBEITER_GRUPPE' and fld_name = 'BRTG_BESTAETIGENWCHITS_CD';")</f>
        <v>0</v>
      </c>
    </row>
    <row r="25" spans="1:13">
      <c r="A25" t="s">
        <v>3192</v>
      </c>
      <c r="C25" t="s">
        <v>26</v>
      </c>
      <c r="D25" t="s">
        <v>3193</v>
      </c>
      <c r="E25" t="s">
        <v>28</v>
      </c>
      <c r="F25" t="s">
        <v>29</v>
      </c>
      <c r="G25" t="s">
        <v>30</v>
      </c>
      <c r="H25" t="s">
        <v>3191</v>
      </c>
      <c r="K25">
        <f t="array" ref="K25">CONCATENATE("update msg_out_fld_config set msg_fld_name = '",A25,"' where cd = '9B87ECE22F83E24D7F6F7EB5FCB76035';")</f>
        <v>0</v>
      </c>
      <c r="M25">
        <f t="array" ref="M25">CONCATENATE("update msg_out_fld set description = '",D25,"' where tab_name = 'MITARBEITER_GRUPPE' and fld_name = 'BRTG_TAGESVERSAND_CD';")</f>
        <v>0</v>
      </c>
    </row>
    <row r="26" spans="1:13">
      <c r="A26" t="s">
        <v>3195</v>
      </c>
      <c r="C26" t="s">
        <v>26</v>
      </c>
      <c r="D26" t="s">
        <v>3196</v>
      </c>
      <c r="E26" t="s">
        <v>28</v>
      </c>
      <c r="F26" t="s">
        <v>29</v>
      </c>
      <c r="G26" t="s">
        <v>30</v>
      </c>
      <c r="H26" t="s">
        <v>3194</v>
      </c>
      <c r="K26">
        <f t="array" ref="K26">CONCATENATE("update msg_out_fld_config set msg_fld_name = '",A26,"' where cd = 'D56411705ECDE39605CF19C7006D091A';")</f>
        <v>0</v>
      </c>
      <c r="M26">
        <f t="array" ref="M26">CONCATENATE("update msg_out_fld set description = '",D26,"' where tab_name = 'MITARBEITER_GRUPPE' and fld_name = 'BRTG_DEFICIENCES_LIST_CD';")</f>
        <v>0</v>
      </c>
    </row>
    <row r="27" spans="1:13">
      <c r="A27" t="s">
        <v>3198</v>
      </c>
      <c r="C27" t="s">
        <v>26</v>
      </c>
      <c r="D27" t="s">
        <v>3199</v>
      </c>
      <c r="E27" t="s">
        <v>28</v>
      </c>
      <c r="F27" t="s">
        <v>29</v>
      </c>
      <c r="G27" t="s">
        <v>30</v>
      </c>
      <c r="H27" t="s">
        <v>3197</v>
      </c>
      <c r="K27">
        <f t="array" ref="K27">CONCATENATE("update msg_out_fld_config set msg_fld_name = '",A27,"' where cd = '02E112B7D8B4C3708D013EA02DC03574';")</f>
        <v>0</v>
      </c>
      <c r="M27">
        <f t="array" ref="M27">CONCATENATE("update msg_out_fld set description = '",D27,"' where tab_name = 'MITARBEITER_GRUPPE' and fld_name = 'BRTG_DIF_REC_FINAL_STATUS_CD';")</f>
        <v>0</v>
      </c>
    </row>
    <row r="28" spans="1:13">
      <c r="A28" t="s">
        <v>3201</v>
      </c>
      <c r="C28" t="s">
        <v>26</v>
      </c>
      <c r="D28" t="s">
        <v>3202</v>
      </c>
      <c r="E28" t="s">
        <v>28</v>
      </c>
      <c r="F28" t="s">
        <v>29</v>
      </c>
      <c r="G28" t="s">
        <v>30</v>
      </c>
      <c r="H28" t="s">
        <v>3200</v>
      </c>
      <c r="K28">
        <f t="array" ref="K28">CONCATENATE("update msg_out_fld_config set msg_fld_name = '",A28,"' where cd = '2E108CC92F67BED15E3546E8AAA88729';")</f>
        <v>0</v>
      </c>
      <c r="M28">
        <f t="array" ref="M28">CONCATENATE("update msg_out_fld set description = '",D28,"' where tab_name = 'MITARBEITER_GRUPPE' and fld_name = 'BRTG_ADRESSE_CD';")</f>
        <v>0</v>
      </c>
    </row>
    <row r="29" spans="1:13">
      <c r="A29" t="s">
        <v>3204</v>
      </c>
      <c r="C29" t="s">
        <v>26</v>
      </c>
      <c r="D29" t="s">
        <v>3205</v>
      </c>
      <c r="E29" t="s">
        <v>28</v>
      </c>
      <c r="F29" t="s">
        <v>29</v>
      </c>
      <c r="G29" t="s">
        <v>30</v>
      </c>
      <c r="H29" t="s">
        <v>3203</v>
      </c>
      <c r="K29">
        <f t="array" ref="K29">CONCATENATE("update msg_out_fld_config set msg_fld_name = '",A29,"' where cd = '9A480A3473154CCEA1B4E1D5AF4F8CCF';")</f>
        <v>0</v>
      </c>
      <c r="M29">
        <f t="array" ref="M29">CONCATENATE("update msg_out_fld set description = '",D29,"' where tab_name = 'MITARBEITER_GRUPPE' and fld_name = 'BRTG_EDTADMIN_CD';")</f>
        <v>0</v>
      </c>
    </row>
    <row r="30" spans="1:13">
      <c r="A30" t="s">
        <v>3207</v>
      </c>
      <c r="C30" t="s">
        <v>26</v>
      </c>
      <c r="D30" t="s">
        <v>3208</v>
      </c>
      <c r="E30" t="s">
        <v>28</v>
      </c>
      <c r="F30" t="s">
        <v>29</v>
      </c>
      <c r="G30" t="s">
        <v>30</v>
      </c>
      <c r="H30" t="s">
        <v>3206</v>
      </c>
      <c r="K30">
        <f t="array" ref="K30">CONCATENATE("update msg_out_fld_config set msg_fld_name = '",A30,"' where cd = '81F8D927381625B2B59108F355725329';")</f>
        <v>0</v>
      </c>
      <c r="M30">
        <f t="array" ref="M30">CONCATENATE("update msg_out_fld set description = '",D30,"' where tab_name = 'MITARBEITER_GRUPPE' and fld_name = 'BRTG_EDIT_AEOI_STATUS_CD';")</f>
        <v>0</v>
      </c>
    </row>
    <row r="31" spans="1:13">
      <c r="A31" t="s">
        <v>3210</v>
      </c>
      <c r="C31" t="s">
        <v>26</v>
      </c>
      <c r="D31" t="s">
        <v>3211</v>
      </c>
      <c r="E31" t="s">
        <v>28</v>
      </c>
      <c r="F31" t="s">
        <v>29</v>
      </c>
      <c r="G31" t="s">
        <v>30</v>
      </c>
      <c r="H31" t="s">
        <v>3209</v>
      </c>
      <c r="K31">
        <f t="array" ref="K31">CONCATENATE("update msg_out_fld_config set msg_fld_name = '",A31,"' where cd = '9F42070BAE07FA90B0BC4D98C51CE559';")</f>
        <v>0</v>
      </c>
      <c r="M31">
        <f t="array" ref="M31">CONCATENATE("update msg_out_fld set description = '",D31,"' where tab_name = 'MITARBEITER_GRUPPE' and fld_name = 'BRTG_EDTKUNDE_CD';")</f>
        <v>0</v>
      </c>
    </row>
    <row r="32" spans="1:13">
      <c r="A32" t="s">
        <v>3213</v>
      </c>
      <c r="C32" t="s">
        <v>26</v>
      </c>
      <c r="D32" t="s">
        <v>3214</v>
      </c>
      <c r="E32" t="s">
        <v>28</v>
      </c>
      <c r="F32" t="s">
        <v>29</v>
      </c>
      <c r="G32" t="s">
        <v>30</v>
      </c>
      <c r="H32" t="s">
        <v>3212</v>
      </c>
      <c r="K32">
        <f t="array" ref="K32">CONCATENATE("update msg_out_fld_config set msg_fld_name = '",A32,"' where cd = '48796340DFAFB46D0E2C6FB222C0336E';")</f>
        <v>0</v>
      </c>
      <c r="M32">
        <f t="array" ref="M32">CONCATENATE("update msg_out_fld set description = '",D32,"' where tab_name = 'MITARBEITER_GRUPPE' and fld_name = 'BRTG_KUNDENSTICHWORT_CD';")</f>
        <v>0</v>
      </c>
    </row>
    <row r="33" spans="1:13">
      <c r="A33" t="s">
        <v>3216</v>
      </c>
      <c r="C33" t="s">
        <v>26</v>
      </c>
      <c r="D33" t="s">
        <v>3217</v>
      </c>
      <c r="E33" t="s">
        <v>28</v>
      </c>
      <c r="F33" t="s">
        <v>29</v>
      </c>
      <c r="G33" t="s">
        <v>30</v>
      </c>
      <c r="H33" t="s">
        <v>3215</v>
      </c>
      <c r="K33">
        <f t="array" ref="K33">CONCATENATE("update msg_out_fld_config set msg_fld_name = '",A33,"' where cd = 'D8D1CB977D53DE215B5FBFA80ED8DA84';")</f>
        <v>0</v>
      </c>
      <c r="M33">
        <f t="array" ref="M33">CONCATENATE("update msg_out_fld set description = '",D33,"' where tab_name = 'MITARBEITER_GRUPPE' and fld_name = 'BRTG_CONFIGACCLISTE_CD';")</f>
        <v>0</v>
      </c>
    </row>
    <row r="34" spans="1:13">
      <c r="A34" t="s">
        <v>3219</v>
      </c>
      <c r="C34" t="s">
        <v>26</v>
      </c>
      <c r="D34" t="s">
        <v>3220</v>
      </c>
      <c r="E34" t="s">
        <v>28</v>
      </c>
      <c r="F34" t="s">
        <v>29</v>
      </c>
      <c r="G34" t="s">
        <v>30</v>
      </c>
      <c r="H34" t="s">
        <v>3218</v>
      </c>
      <c r="K34">
        <f t="array" ref="K34">CONCATENATE("update msg_out_fld_config set msg_fld_name = '",A34,"' where cd = '4A632BEBD7EFDBD76BE211C6B7715F06';")</f>
        <v>0</v>
      </c>
      <c r="M34">
        <f t="array" ref="M34">CONCATENATE("update msg_out_fld set description = '",D34,"' where tab_name = 'MITARBEITER_GRUPPE' and fld_name = 'BRTG_KAKTENNOTIZEN_CD';")</f>
        <v>0</v>
      </c>
    </row>
    <row r="35" spans="1:13">
      <c r="A35" t="s">
        <v>3222</v>
      </c>
      <c r="C35" t="s">
        <v>26</v>
      </c>
      <c r="D35" t="s">
        <v>3223</v>
      </c>
      <c r="E35" t="s">
        <v>28</v>
      </c>
      <c r="F35" t="s">
        <v>29</v>
      </c>
      <c r="G35" t="s">
        <v>30</v>
      </c>
      <c r="H35" t="s">
        <v>3221</v>
      </c>
      <c r="K35">
        <f t="array" ref="K35">CONCATENATE("update msg_out_fld_config set msg_fld_name = '",A35,"' where cd = 'C8848327D8BB39E678E83E2B3F16962F';")</f>
        <v>0</v>
      </c>
      <c r="M35">
        <f t="array" ref="M35">CONCATENATE("update msg_out_fld set description = '",D35,"' where tab_name = 'MITARBEITER_GRUPPE' and fld_name = 'BRTG_ERFASSEN_KTOE_CD';")</f>
        <v>0</v>
      </c>
    </row>
    <row r="36" spans="1:13">
      <c r="A36" t="s">
        <v>3225</v>
      </c>
      <c r="C36" t="s">
        <v>26</v>
      </c>
      <c r="D36" t="s">
        <v>3226</v>
      </c>
      <c r="E36" t="s">
        <v>28</v>
      </c>
      <c r="F36" t="s">
        <v>29</v>
      </c>
      <c r="G36" t="s">
        <v>30</v>
      </c>
      <c r="H36" t="s">
        <v>3224</v>
      </c>
      <c r="K36">
        <f t="array" ref="K36">CONCATENATE("update msg_out_fld_config set msg_fld_name = '",A36,"' where cd = '5004448165F8AD5E577C0677BD588F86';")</f>
        <v>0</v>
      </c>
      <c r="M36">
        <f t="array" ref="M36">CONCATENATE("update msg_out_fld set description = '",D36,"' where tab_name = 'MITARBEITER_GRUPPE' and fld_name = 'BRTG_EDTKPROFIL_CD';")</f>
        <v>0</v>
      </c>
    </row>
    <row r="37" spans="1:13">
      <c r="A37" t="s">
        <v>3228</v>
      </c>
      <c r="C37" t="s">
        <v>26</v>
      </c>
      <c r="D37" t="s">
        <v>3229</v>
      </c>
      <c r="E37" t="s">
        <v>28</v>
      </c>
      <c r="F37" t="s">
        <v>29</v>
      </c>
      <c r="G37" t="s">
        <v>30</v>
      </c>
      <c r="H37" t="s">
        <v>3227</v>
      </c>
      <c r="K37">
        <f t="array" ref="K37">CONCATENATE("update msg_out_fld_config set msg_fld_name = '",A37,"' where cd = '369DE8197A8F98387D8B137E0D060A32';")</f>
        <v>0</v>
      </c>
      <c r="M37">
        <f t="array" ref="M37">CONCATENATE("update msg_out_fld set description = '",D37,"' where tab_name = 'MITARBEITER_GRUPPE' and fld_name = 'BRTG_KOMMUNIKATION_CD';")</f>
        <v>0</v>
      </c>
    </row>
    <row r="38" spans="1:13">
      <c r="A38" t="s">
        <v>3231</v>
      </c>
      <c r="C38" t="s">
        <v>26</v>
      </c>
      <c r="D38" t="s">
        <v>3232</v>
      </c>
      <c r="E38" t="s">
        <v>28</v>
      </c>
      <c r="F38" t="s">
        <v>29</v>
      </c>
      <c r="G38" t="s">
        <v>30</v>
      </c>
      <c r="H38" t="s">
        <v>3230</v>
      </c>
      <c r="K38">
        <f t="array" ref="K38">CONCATENATE("update msg_out_fld_config set msg_fld_name = '",A38,"' where cd = '61886410A2310F4150BE7BFDE52FF2A2';")</f>
        <v>0</v>
      </c>
      <c r="M38">
        <f t="array" ref="M38">CONCATENATE("update msg_out_fld set description = '",D38,"' where tab_name = 'MITARBEITER_GRUPPE' and fld_name = 'BRTG_KORRESPONDENZ_CD';")</f>
        <v>0</v>
      </c>
    </row>
    <row r="39" spans="1:13">
      <c r="A39" t="s">
        <v>3234</v>
      </c>
      <c r="C39" t="s">
        <v>26</v>
      </c>
      <c r="D39" t="s">
        <v>3235</v>
      </c>
      <c r="E39" t="s">
        <v>28</v>
      </c>
      <c r="F39" t="s">
        <v>29</v>
      </c>
      <c r="G39" t="s">
        <v>30</v>
      </c>
      <c r="H39" t="s">
        <v>3233</v>
      </c>
      <c r="K39">
        <f t="array" ref="K39">CONCATENATE("update msg_out_fld_config set msg_fld_name = '",A39,"' where cd = '0FE0438DFC2A4E9D0797AAA008DF7BDB';")</f>
        <v>0</v>
      </c>
      <c r="M39">
        <f t="array" ref="M39">CONCATENATE("update msg_out_fld set description = '",D39,"' where tab_name = 'MITARBEITER_GRUPPE' and fld_name = 'BRTG_PARTNERDATEN_CD';")</f>
        <v>0</v>
      </c>
    </row>
    <row r="40" spans="1:13">
      <c r="A40" t="s">
        <v>3237</v>
      </c>
      <c r="C40" t="s">
        <v>26</v>
      </c>
      <c r="D40" t="s">
        <v>3238</v>
      </c>
      <c r="E40" t="s">
        <v>28</v>
      </c>
      <c r="F40" t="s">
        <v>29</v>
      </c>
      <c r="G40" t="s">
        <v>30</v>
      </c>
      <c r="H40" t="s">
        <v>3236</v>
      </c>
      <c r="K40">
        <f t="array" ref="K40">CONCATENATE("update msg_out_fld_config set msg_fld_name = '",A40,"' where cd = '3C0734553F1DC5161D60C7D68DB4B729';")</f>
        <v>0</v>
      </c>
      <c r="M40">
        <f t="array" ref="M40">CONCATENATE("update msg_out_fld set description = '",D40,"' where tab_name = 'MITARBEITER_GRUPPE' and fld_name = 'BRTG_PARTNERDOKUMENTE_CD';")</f>
        <v>0</v>
      </c>
    </row>
    <row r="41" spans="1:13">
      <c r="A41" t="s">
        <v>3240</v>
      </c>
      <c r="C41" t="s">
        <v>26</v>
      </c>
      <c r="D41" t="s">
        <v>3241</v>
      </c>
      <c r="E41" t="s">
        <v>28</v>
      </c>
      <c r="F41" t="s">
        <v>29</v>
      </c>
      <c r="G41" t="s">
        <v>30</v>
      </c>
      <c r="H41" t="s">
        <v>3239</v>
      </c>
      <c r="K41">
        <f t="array" ref="K41">CONCATENATE("update msg_out_fld_config set msg_fld_name = '",A41,"' where cd = '53D7AD9E0333DC2467B6586E74E2970B';")</f>
        <v>0</v>
      </c>
      <c r="M41">
        <f t="array" ref="M41">CONCATENATE("update msg_out_fld set description = '",D41,"' where tab_name = 'MITARBEITER_GRUPPE' and fld_name = 'BRTG_PARTNERSTICHWORT_CD';")</f>
        <v>0</v>
      </c>
    </row>
    <row r="42" spans="1:13">
      <c r="A42" t="s">
        <v>3243</v>
      </c>
      <c r="C42" t="s">
        <v>26</v>
      </c>
      <c r="D42" t="s">
        <v>3244</v>
      </c>
      <c r="E42" t="s">
        <v>28</v>
      </c>
      <c r="F42" t="s">
        <v>29</v>
      </c>
      <c r="G42" t="s">
        <v>30</v>
      </c>
      <c r="H42" t="s">
        <v>3242</v>
      </c>
      <c r="K42">
        <f t="array" ref="K42">CONCATENATE("update msg_out_fld_config set msg_fld_name = '",A42,"' where cd = '2853BAF6930E1715A0F07A23DC23C351';")</f>
        <v>0</v>
      </c>
      <c r="M42">
        <f t="array" ref="M42">CONCATENATE("update msg_out_fld set description = '",D42,"' where tab_name = 'MITARBEITER_GRUPPE' and fld_name = 'BRTG_CONFIGPARLISTE_CD';")</f>
        <v>0</v>
      </c>
    </row>
    <row r="43" spans="1:13">
      <c r="A43" t="s">
        <v>3246</v>
      </c>
      <c r="C43" t="s">
        <v>26</v>
      </c>
      <c r="D43" t="s">
        <v>3247</v>
      </c>
      <c r="E43" t="s">
        <v>28</v>
      </c>
      <c r="F43" t="s">
        <v>29</v>
      </c>
      <c r="G43" t="s">
        <v>30</v>
      </c>
      <c r="H43" t="s">
        <v>3245</v>
      </c>
      <c r="K43">
        <f t="array" ref="K43">CONCATENATE("update msg_out_fld_config set msg_fld_name = '",A43,"' where cd = '351D1030DA949DA7477CE0F09512F1CC';")</f>
        <v>0</v>
      </c>
      <c r="M43">
        <f t="array" ref="M43">CONCATENATE("update msg_out_fld set description = '",D43,"' where tab_name = 'MITARBEITER_GRUPPE' and fld_name = 'BRTG_PAKTENNOTIZEN_CD';")</f>
        <v>0</v>
      </c>
    </row>
    <row r="44" spans="1:13">
      <c r="A44" t="s">
        <v>3249</v>
      </c>
      <c r="C44" t="s">
        <v>26</v>
      </c>
      <c r="D44" t="s">
        <v>3250</v>
      </c>
      <c r="E44" t="s">
        <v>28</v>
      </c>
      <c r="F44" t="s">
        <v>29</v>
      </c>
      <c r="G44" t="s">
        <v>30</v>
      </c>
      <c r="H44" t="s">
        <v>3248</v>
      </c>
      <c r="K44">
        <f t="array" ref="K44">CONCATENATE("update msg_out_fld_config set msg_fld_name = '",A44,"' where cd = '92F3EF59AF2585B1A2294746CD97988F';")</f>
        <v>0</v>
      </c>
      <c r="M44">
        <f t="array" ref="M44">CONCATENATE("update msg_out_fld set description = '",D44,"' where tab_name = 'MITARBEITER_GRUPPE' and fld_name = 'BRTG_PARTNERPROFIL_CD';")</f>
        <v>0</v>
      </c>
    </row>
    <row r="45" spans="1:13">
      <c r="A45" t="s">
        <v>3252</v>
      </c>
      <c r="C45" t="s">
        <v>26</v>
      </c>
      <c r="D45" t="s">
        <v>3253</v>
      </c>
      <c r="E45" t="s">
        <v>28</v>
      </c>
      <c r="F45" t="s">
        <v>29</v>
      </c>
      <c r="G45" t="s">
        <v>30</v>
      </c>
      <c r="H45" t="s">
        <v>3251</v>
      </c>
      <c r="K45">
        <f t="array" ref="K45">CONCATENATE("update msg_out_fld_config set msg_fld_name = '",A45,"' where cd = '8615B944605D06B414E72FCC8F205EB4';")</f>
        <v>0</v>
      </c>
      <c r="M45">
        <f t="array" ref="M45">CONCATENATE("update msg_out_fld set description = '",D45,"' where tab_name = 'MITARBEITER_GRUPPE' and fld_name = 'BRTG_PBEZIEHUNGEN_CD';")</f>
        <v>0</v>
      </c>
    </row>
    <row r="46" spans="1:13">
      <c r="A46" t="s">
        <v>3255</v>
      </c>
      <c r="C46" t="s">
        <v>26</v>
      </c>
      <c r="D46" t="s">
        <v>3256</v>
      </c>
      <c r="E46" t="s">
        <v>28</v>
      </c>
      <c r="F46" t="s">
        <v>29</v>
      </c>
      <c r="G46" t="s">
        <v>30</v>
      </c>
      <c r="H46" t="s">
        <v>3254</v>
      </c>
      <c r="K46">
        <f t="array" ref="K46">CONCATENATE("update msg_out_fld_config set msg_fld_name = '",A46,"' where cd = '66857FEB5E1E7F252DDA0427A0424310';")</f>
        <v>0</v>
      </c>
      <c r="M46">
        <f t="array" ref="M46">CONCATENATE("update msg_out_fld set description = '",D46,"' where tab_name = 'MITARBEITER_GRUPPE' and fld_name = 'BRTG_KDOKUMENTE_CD';")</f>
        <v>0</v>
      </c>
    </row>
    <row r="47" spans="1:13">
      <c r="A47" t="s">
        <v>3258</v>
      </c>
      <c r="C47" t="s">
        <v>26</v>
      </c>
      <c r="D47" t="s">
        <v>3259</v>
      </c>
      <c r="E47" t="s">
        <v>28</v>
      </c>
      <c r="F47" t="s">
        <v>29</v>
      </c>
      <c r="G47" t="s">
        <v>30</v>
      </c>
      <c r="H47" t="s">
        <v>3257</v>
      </c>
      <c r="K47">
        <f t="array" ref="K47">CONCATENATE("update msg_out_fld_config set msg_fld_name = '",A47,"' where cd = '5D7486A695C8BB57D2F9DCF8B4AACD7C';")</f>
        <v>0</v>
      </c>
      <c r="M47">
        <f t="array" ref="M47">CONCATENATE("update msg_out_fld set description = '",D47,"' where tab_name = 'MITARBEITER_GRUPPE' and fld_name = 'BRTG_VERSANDINSTR_CD';")</f>
        <v>0</v>
      </c>
    </row>
    <row r="48" spans="1:13">
      <c r="A48" t="s">
        <v>3261</v>
      </c>
      <c r="C48" t="s">
        <v>26</v>
      </c>
      <c r="D48" t="s">
        <v>3262</v>
      </c>
      <c r="E48" t="s">
        <v>28</v>
      </c>
      <c r="F48" t="s">
        <v>29</v>
      </c>
      <c r="G48" t="s">
        <v>30</v>
      </c>
      <c r="H48" t="s">
        <v>3260</v>
      </c>
      <c r="K48">
        <f t="array" ref="K48">CONCATENATE("update msg_out_fld_config set msg_fld_name = '",A48,"' where cd = '2FBB989580BDD58A0FA6EBED371466A8';")</f>
        <v>0</v>
      </c>
      <c r="M48">
        <f t="array" ref="M48">CONCATENATE("update msg_out_fld set description = '",D48,"' where tab_name = 'MITARBEITER_GRUPPE' and fld_name = 'BRTG_EDIT_MISLISTE_CD';")</f>
        <v>0</v>
      </c>
    </row>
    <row r="49" spans="1:13">
      <c r="A49" t="s">
        <v>3264</v>
      </c>
      <c r="C49" t="s">
        <v>26</v>
      </c>
      <c r="D49" t="s">
        <v>3265</v>
      </c>
      <c r="E49" t="s">
        <v>28</v>
      </c>
      <c r="F49" t="s">
        <v>29</v>
      </c>
      <c r="G49" t="s">
        <v>30</v>
      </c>
      <c r="H49" t="s">
        <v>3263</v>
      </c>
      <c r="K49">
        <f t="array" ref="K49">CONCATENATE("update msg_out_fld_config set msg_fld_name = '",A49,"' where cd = '17AB112AC4664E20BC2600AA5D940F0E';")</f>
        <v>0</v>
      </c>
      <c r="M49">
        <f t="array" ref="M49">CONCATENATE("update msg_out_fld set description = '",D49,"' where tab_name = 'MITARBEITER_GRUPPE' and fld_name = 'BRTG_PORTFSPERREN_CD';")</f>
        <v>0</v>
      </c>
    </row>
    <row r="50" spans="1:13">
      <c r="A50" t="s">
        <v>3267</v>
      </c>
      <c r="C50" t="s">
        <v>26</v>
      </c>
      <c r="D50" t="s">
        <v>3268</v>
      </c>
      <c r="E50" t="s">
        <v>28</v>
      </c>
      <c r="F50" t="s">
        <v>29</v>
      </c>
      <c r="G50" t="s">
        <v>30</v>
      </c>
      <c r="H50" t="s">
        <v>3266</v>
      </c>
      <c r="K50">
        <f t="array" ref="K50">CONCATENATE("update msg_out_fld_config set msg_fld_name = '",A50,"' where cd = 'F89A0444380E5D213287B952D30D06FF';")</f>
        <v>0</v>
      </c>
      <c r="M50">
        <f t="array" ref="M50">CONCATENATE("update msg_out_fld set description = '",D50,"' where tab_name = 'MITARBEITER_GRUPPE' and fld_name = 'BRTG_KUNDENBEZIEHUNGEN_CD';")</f>
        <v>0</v>
      </c>
    </row>
    <row r="51" spans="1:13">
      <c r="A51" t="s">
        <v>3269</v>
      </c>
      <c r="C51" t="s">
        <v>26</v>
      </c>
      <c r="D51" t="s">
        <v>3270</v>
      </c>
      <c r="E51" t="s">
        <v>28</v>
      </c>
      <c r="F51" t="s">
        <v>29</v>
      </c>
      <c r="G51" t="s">
        <v>30</v>
      </c>
      <c r="H51" t="s">
        <v>3113</v>
      </c>
      <c r="K51">
        <f t="array" ref="K51">CONCATENATE("update msg_out_fld_config set msg_fld_name = '",A51,"' where cd = 'E83EDA789DB4281531A4345D5C97B237';")</f>
        <v>0</v>
      </c>
      <c r="M51">
        <f t="array" ref="M51">CONCATENATE("update msg_out_fld set description = '",D51,"' where tab_name = 'MITARBEITER_GRUPPE' and fld_name = 'BRTG_RISIKOPROFIL_CD';")</f>
        <v>0</v>
      </c>
    </row>
    <row r="52" spans="1:13">
      <c r="A52" t="s">
        <v>3272</v>
      </c>
      <c r="C52" t="s">
        <v>26</v>
      </c>
      <c r="D52" t="s">
        <v>3273</v>
      </c>
      <c r="E52" t="s">
        <v>28</v>
      </c>
      <c r="F52" t="s">
        <v>29</v>
      </c>
      <c r="G52" t="s">
        <v>30</v>
      </c>
      <c r="H52" t="s">
        <v>3271</v>
      </c>
      <c r="K52">
        <f t="array" ref="K52">CONCATENATE("update msg_out_fld_config set msg_fld_name = '",A52,"' where cd = 'DBC5E2146BB1CBF16B1D33CFB47CDC7E';")</f>
        <v>0</v>
      </c>
      <c r="M52">
        <f t="array" ref="M52">CONCATENATE("update msg_out_fld set description = '",D52,"' where tab_name = 'MITARBEITER_GRUPPE' and fld_name = 'BRTG_SCHLIESSFACH_CD';")</f>
        <v>0</v>
      </c>
    </row>
    <row r="53" spans="1:13">
      <c r="A53" t="s">
        <v>3275</v>
      </c>
      <c r="C53" t="s">
        <v>26</v>
      </c>
      <c r="D53" t="s">
        <v>3276</v>
      </c>
      <c r="E53" t="s">
        <v>28</v>
      </c>
      <c r="F53" t="s">
        <v>29</v>
      </c>
      <c r="G53" t="s">
        <v>30</v>
      </c>
      <c r="H53" t="s">
        <v>3274</v>
      </c>
      <c r="K53">
        <f t="array" ref="K53">CONCATENATE("update msg_out_fld_config set msg_fld_name = '",A53,"' where cd = '42A1C3EC9A5A134E558ECD927F8B8510';")</f>
        <v>0</v>
      </c>
      <c r="M53">
        <f t="array" ref="M53">CONCATENATE("update msg_out_fld set description = '",D53,"' where tab_name = 'MITARBEITER_GRUPPE' and fld_name = 'BRTG_MODIFYSPECIALINST_CD';")</f>
        <v>0</v>
      </c>
    </row>
    <row r="54" spans="1:13">
      <c r="A54" t="s">
        <v>3278</v>
      </c>
      <c r="C54" t="s">
        <v>26</v>
      </c>
      <c r="D54" t="s">
        <v>3279</v>
      </c>
      <c r="E54" t="s">
        <v>28</v>
      </c>
      <c r="F54" t="s">
        <v>29</v>
      </c>
      <c r="G54" t="s">
        <v>30</v>
      </c>
      <c r="H54" t="s">
        <v>3277</v>
      </c>
      <c r="K54">
        <f t="array" ref="K54">CONCATENATE("update msg_out_fld_config set msg_fld_name = '",A54,"' where cd = '240360E638211DD0EABDE89F6C097795';")</f>
        <v>0</v>
      </c>
      <c r="M54">
        <f t="array" ref="M54">CONCATENATE("update msg_out_fld set description = '",D54,"' where tab_name = 'MITARBEITER_GRUPPE' and fld_name = 'BRTG_EDIT_SUPERSQL_MISLISTE_CD';")</f>
        <v>0</v>
      </c>
    </row>
    <row r="55" spans="1:13">
      <c r="A55" t="s">
        <v>3281</v>
      </c>
      <c r="C55" t="s">
        <v>26</v>
      </c>
      <c r="D55" t="s">
        <v>3282</v>
      </c>
      <c r="E55" t="s">
        <v>28</v>
      </c>
      <c r="F55" t="s">
        <v>29</v>
      </c>
      <c r="G55" t="s">
        <v>30</v>
      </c>
      <c r="H55" t="s">
        <v>3280</v>
      </c>
      <c r="K55">
        <f t="array" ref="K55">CONCATENATE("update msg_out_fld_config set msg_fld_name = '",A55,"' where cd = '5D1EF288EC12C5CDADB880555C27F00C';")</f>
        <v>0</v>
      </c>
      <c r="M55">
        <f t="array" ref="M55">CONCATENATE("update msg_out_fld set description = '",D55,"' where tab_name = 'MITARBEITER_GRUPPE' and fld_name = 'BRTG_EDTMITARBEITER_GRUPPE_CD';")</f>
        <v>0</v>
      </c>
    </row>
    <row r="56" spans="1:13">
      <c r="A56" t="s">
        <v>3284</v>
      </c>
      <c r="C56" t="s">
        <v>26</v>
      </c>
      <c r="D56" t="s">
        <v>3285</v>
      </c>
      <c r="E56" t="s">
        <v>28</v>
      </c>
      <c r="F56" t="s">
        <v>29</v>
      </c>
      <c r="G56" t="s">
        <v>30</v>
      </c>
      <c r="H56" t="s">
        <v>3283</v>
      </c>
      <c r="K56">
        <f t="array" ref="K56">CONCATENATE("update msg_out_fld_config set msg_fld_name = '",A56,"' where cd = '21890BC484E446A2A3542C8BAD6FE361';")</f>
        <v>0</v>
      </c>
      <c r="M56">
        <f t="array" ref="M56">CONCATENATE("update msg_out_fld set description = '",D56,"' where tab_name = 'MITARBEITER_GRUPPE' and fld_name = 'BRTG_EDIT_WORLDCHECK_CD';")</f>
        <v>0</v>
      </c>
    </row>
    <row r="57" spans="1:13">
      <c r="A57" t="s">
        <v>3287</v>
      </c>
      <c r="C57" t="s">
        <v>26</v>
      </c>
      <c r="D57" t="s">
        <v>3288</v>
      </c>
      <c r="E57" t="s">
        <v>28</v>
      </c>
      <c r="F57" t="s">
        <v>29</v>
      </c>
      <c r="G57" t="s">
        <v>30</v>
      </c>
      <c r="H57" t="s">
        <v>3286</v>
      </c>
      <c r="K57">
        <f t="array" ref="K57">CONCATENATE("update msg_out_fld_config set msg_fld_name = '",A57,"' where cd = '487717CC385A1F5D2F8651D4ED46BB3F';")</f>
        <v>0</v>
      </c>
      <c r="M57">
        <f t="array" ref="M57">CONCATENATE("update msg_out_fld set description = '",D57,"' where tab_name = 'MITARBEITER_GRUPPE' and fld_name = 'BRTG_SCHLIESSENHITS_CD';")</f>
        <v>0</v>
      </c>
    </row>
    <row r="58" spans="1:13">
      <c r="A58" t="s">
        <v>3290</v>
      </c>
      <c r="C58" t="s">
        <v>26</v>
      </c>
      <c r="D58" t="s">
        <v>3291</v>
      </c>
      <c r="E58" t="s">
        <v>28</v>
      </c>
      <c r="F58" t="s">
        <v>29</v>
      </c>
      <c r="G58" t="s">
        <v>30</v>
      </c>
      <c r="H58" t="s">
        <v>3289</v>
      </c>
      <c r="K58">
        <f t="array" ref="K58">CONCATENATE("update msg_out_fld_config set msg_fld_name = '",A58,"' where cd = '944EF5470428BEC032350062DE22C192';")</f>
        <v>0</v>
      </c>
      <c r="M58">
        <f t="array" ref="M58">CONCATENATE("update msg_out_fld set description = '",D58,"' where tab_name = 'MITARBEITER_GRUPPE' and fld_name = 'BRTG_USE_GXRULES_CD';")</f>
        <v>0</v>
      </c>
    </row>
    <row r="59" spans="1:13">
      <c r="A59" t="s">
        <v>3293</v>
      </c>
      <c r="C59" t="s">
        <v>26</v>
      </c>
      <c r="D59" t="s">
        <v>3294</v>
      </c>
      <c r="E59" t="s">
        <v>28</v>
      </c>
      <c r="F59" t="s">
        <v>29</v>
      </c>
      <c r="G59" t="s">
        <v>30</v>
      </c>
      <c r="H59" t="s">
        <v>3292</v>
      </c>
      <c r="K59">
        <f t="array" ref="K59">CONCATENATE("update msg_out_fld_config set msg_fld_name = '",A59,"' where cd = 'A8A0C07B832E0F713201D990671ABAB6';")</f>
        <v>0</v>
      </c>
      <c r="M59">
        <f t="array" ref="M59">CONCATENATE("update msg_out_fld set description = '",D59,"' where tab_name = 'MITARBEITER_GRUPPE' and fld_name = 'BRTG_GEN_AEOIHITS_CD';")</f>
        <v>0</v>
      </c>
    </row>
    <row r="60" spans="1:13">
      <c r="A60" t="s">
        <v>3296</v>
      </c>
      <c r="C60" t="s">
        <v>26</v>
      </c>
      <c r="D60" t="s">
        <v>3297</v>
      </c>
      <c r="E60" t="s">
        <v>28</v>
      </c>
      <c r="F60" t="s">
        <v>29</v>
      </c>
      <c r="G60" t="s">
        <v>30</v>
      </c>
      <c r="H60" t="s">
        <v>3295</v>
      </c>
      <c r="K60">
        <f t="array" ref="K60">CONCATENATE("update msg_out_fld_config set msg_fld_name = '",A60,"' where cd = '10CC4BA0DE901879921061D213E7283A';")</f>
        <v>0</v>
      </c>
      <c r="M60">
        <f t="array" ref="M60">CONCATENATE("update msg_out_fld set description = '",D60,"' where tab_name = 'MITARBEITER_GRUPPE' and fld_name = 'BRTG_GEN_FATCAHITS_CD';")</f>
        <v>0</v>
      </c>
    </row>
    <row r="61" spans="1:13">
      <c r="A61" t="s">
        <v>3299</v>
      </c>
      <c r="C61" t="s">
        <v>26</v>
      </c>
      <c r="D61" t="s">
        <v>3300</v>
      </c>
      <c r="E61" t="s">
        <v>28</v>
      </c>
      <c r="F61" t="s">
        <v>29</v>
      </c>
      <c r="G61" t="s">
        <v>30</v>
      </c>
      <c r="H61" t="s">
        <v>3298</v>
      </c>
      <c r="K61">
        <f t="array" ref="K61">CONCATENATE("update msg_out_fld_config set msg_fld_name = '",A61,"' where cd = 'A931BE73517C167A0E4AB2013CC57967';")</f>
        <v>0</v>
      </c>
      <c r="M61">
        <f t="array" ref="M61">CONCATENATE("update msg_out_fld set description = '",D61,"' where tab_name = 'MITARBEITER_GRUPPE' and fld_name = 'BRTG_BEGRUENDENAEOIHITS_CD';")</f>
        <v>0</v>
      </c>
    </row>
    <row r="62" spans="1:13">
      <c r="A62" t="s">
        <v>3302</v>
      </c>
      <c r="C62" t="s">
        <v>26</v>
      </c>
      <c r="D62" t="s">
        <v>3303</v>
      </c>
      <c r="E62" t="s">
        <v>28</v>
      </c>
      <c r="F62" t="s">
        <v>29</v>
      </c>
      <c r="G62" t="s">
        <v>30</v>
      </c>
      <c r="H62" t="s">
        <v>3301</v>
      </c>
      <c r="K62">
        <f t="array" ref="K62">CONCATENATE("update msg_out_fld_config set msg_fld_name = '",A62,"' where cd = '4A7E4F9F3692AAFD3988C6B901F2C596';")</f>
        <v>0</v>
      </c>
      <c r="M62">
        <f t="array" ref="M62">CONCATENATE("update msg_out_fld set description = '",D62,"' where tab_name = 'MITARBEITER_GRUPPE' and fld_name = 'BRTG_BEGRUENDENHITS_CD';")</f>
        <v>0</v>
      </c>
    </row>
    <row r="63" spans="1:13">
      <c r="A63" t="s">
        <v>3305</v>
      </c>
      <c r="C63" t="s">
        <v>26</v>
      </c>
      <c r="D63" t="s">
        <v>3306</v>
      </c>
      <c r="E63" t="s">
        <v>28</v>
      </c>
      <c r="F63" t="s">
        <v>29</v>
      </c>
      <c r="G63" t="s">
        <v>30</v>
      </c>
      <c r="H63" t="s">
        <v>3304</v>
      </c>
      <c r="K63">
        <f t="array" ref="K63">CONCATENATE("update msg_out_fld_config set msg_fld_name = '",A63,"' where cd = '2CD2BAE2B818A51F89917A4F32F2BC49';")</f>
        <v>0</v>
      </c>
      <c r="M63">
        <f t="array" ref="M63">CONCATENATE("update msg_out_fld set description = '",D63,"' where tab_name = 'MITARBEITER_GRUPPE' and fld_name = 'BRTG_BEG_MAN_FATCAHITS_CD';")</f>
        <v>0</v>
      </c>
    </row>
    <row r="64" spans="1:13">
      <c r="A64" t="s">
        <v>3308</v>
      </c>
      <c r="C64" t="s">
        <v>26</v>
      </c>
      <c r="D64" t="s">
        <v>3309</v>
      </c>
      <c r="E64" t="s">
        <v>28</v>
      </c>
      <c r="F64" t="s">
        <v>29</v>
      </c>
      <c r="G64" t="s">
        <v>30</v>
      </c>
      <c r="H64" t="s">
        <v>3307</v>
      </c>
      <c r="K64">
        <f t="array" ref="K64">CONCATENATE("update msg_out_fld_config set msg_fld_name = '",A64,"' where cd = '9FE631165D1D0B83EF00F4000EFF6C55';")</f>
        <v>0</v>
      </c>
      <c r="M64">
        <f t="array" ref="M64">CONCATENATE("update msg_out_fld set description = '",D64,"' where tab_name = 'MITARBEITER_GRUPPE' and fld_name = 'BRTG_BEGRUENDENFATCAHITS_CD';")</f>
        <v>0</v>
      </c>
    </row>
    <row r="65" spans="1:13">
      <c r="A65" t="s">
        <v>3311</v>
      </c>
      <c r="C65" t="s">
        <v>26</v>
      </c>
      <c r="D65" t="s">
        <v>3312</v>
      </c>
      <c r="E65" t="s">
        <v>28</v>
      </c>
      <c r="F65" t="s">
        <v>29</v>
      </c>
      <c r="G65" t="s">
        <v>30</v>
      </c>
      <c r="H65" t="s">
        <v>3310</v>
      </c>
      <c r="K65">
        <f t="array" ref="K65">CONCATENATE("update msg_out_fld_config set msg_fld_name = '",A65,"' where cd = 'FB58BA9C7D348E290A851B6DDC91F6AC';")</f>
        <v>0</v>
      </c>
      <c r="M65">
        <f t="array" ref="M65">CONCATENATE("update msg_out_fld set description = '",D65,"' where tab_name = 'MITARBEITER_GRUPPE' and fld_name = 'BRTG_BEG_MAN_AEOIHITS_CD';")</f>
        <v>0</v>
      </c>
    </row>
    <row r="66" spans="1:13">
      <c r="A66" t="s">
        <v>3314</v>
      </c>
      <c r="C66" t="s">
        <v>26</v>
      </c>
      <c r="D66" t="s">
        <v>3315</v>
      </c>
      <c r="E66" t="s">
        <v>28</v>
      </c>
      <c r="F66" t="s">
        <v>29</v>
      </c>
      <c r="G66" t="s">
        <v>30</v>
      </c>
      <c r="H66" t="s">
        <v>3313</v>
      </c>
      <c r="K66">
        <f t="array" ref="K66">CONCATENATE("update msg_out_fld_config set msg_fld_name = '",A66,"' where cd = 'C2291FBA581DF4E688AC5753F2A85187';")</f>
        <v>0</v>
      </c>
      <c r="M66">
        <f t="array" ref="M66">CONCATENATE("update msg_out_fld set description = '",D66,"' where tab_name = 'MITARBEITER_GRUPPE' and fld_name = 'BRTG_BEGRUENDENWCHITS_CD';")</f>
        <v>0</v>
      </c>
    </row>
    <row r="67" spans="1:13">
      <c r="A67" t="s">
        <v>3317</v>
      </c>
      <c r="C67" t="s">
        <v>26</v>
      </c>
      <c r="D67" t="s">
        <v>3315</v>
      </c>
      <c r="E67" t="s">
        <v>28</v>
      </c>
      <c r="F67" t="s">
        <v>29</v>
      </c>
      <c r="G67" t="s">
        <v>30</v>
      </c>
      <c r="H67" t="s">
        <v>3316</v>
      </c>
      <c r="K67">
        <f t="array" ref="K67">CONCATENATE("update msg_out_fld_config set msg_fld_name = '",A67,"' where cd = 'BCE8C7B74C768DDB63BC9AB5017BF684';")</f>
        <v>0</v>
      </c>
      <c r="M67">
        <f t="array" ref="M67">CONCATENATE("update msg_out_fld set description = '",D67,"' where tab_name = 'MITARBEITER_GRUPPE' and fld_name = 'BRTG_ABGELEHNTWCHITS_CD';")</f>
        <v>0</v>
      </c>
    </row>
    <row r="68" spans="1:13">
      <c r="A68" t="s">
        <v>3319</v>
      </c>
      <c r="C68" t="s">
        <v>26</v>
      </c>
      <c r="D68" t="s">
        <v>3320</v>
      </c>
      <c r="E68" t="s">
        <v>28</v>
      </c>
      <c r="F68" t="s">
        <v>29</v>
      </c>
      <c r="G68" t="s">
        <v>30</v>
      </c>
      <c r="H68" t="s">
        <v>3318</v>
      </c>
      <c r="K68">
        <f t="array" ref="K68">CONCATENATE("update msg_out_fld_config set msg_fld_name = '",A68,"' where cd = '468899CCDB114E796BA7AB794D05BC1A';")</f>
        <v>0</v>
      </c>
      <c r="M68">
        <f t="array" ref="M68">CONCATENATE("update msg_out_fld set description = '",D68,"' where tab_name = 'MITARBEITER_GRUPPE' and fld_name = 'BRTG_EUTAXREPORTING_CD';")</f>
        <v>0</v>
      </c>
    </row>
    <row r="69" spans="1:13">
      <c r="A69" t="s">
        <v>3322</v>
      </c>
      <c r="C69" t="s">
        <v>26</v>
      </c>
      <c r="D69" t="s">
        <v>3323</v>
      </c>
      <c r="E69" t="s">
        <v>28</v>
      </c>
      <c r="F69" t="s">
        <v>29</v>
      </c>
      <c r="G69" t="s">
        <v>30</v>
      </c>
      <c r="H69" t="s">
        <v>3321</v>
      </c>
      <c r="K69">
        <f t="array" ref="K69">CONCATENATE("update msg_out_fld_config set msg_fld_name = '",A69,"' where cd = 'A55A2809920FC643231DDE2930160699';")</f>
        <v>0</v>
      </c>
      <c r="M69">
        <f t="array" ref="M69">CONCATENATE("update msg_out_fld set description = '",D69,"' where tab_name = 'MITARBEITER_GRUPPE' and fld_name = 'BRTG_SERIENBRIEF_CD';")</f>
        <v>0</v>
      </c>
    </row>
    <row r="70" spans="1:13">
      <c r="A70" t="s">
        <v>3325</v>
      </c>
      <c r="C70" t="s">
        <v>26</v>
      </c>
      <c r="D70" t="s">
        <v>3326</v>
      </c>
      <c r="E70" t="s">
        <v>28</v>
      </c>
      <c r="F70" t="s">
        <v>29</v>
      </c>
      <c r="G70" t="s">
        <v>30</v>
      </c>
      <c r="H70" t="s">
        <v>3324</v>
      </c>
      <c r="K70">
        <f t="array" ref="K70">CONCATENATE("update msg_out_fld_config set msg_fld_name = '",A70,"' where cd = '2CD11823908B8A1F77CC31B50462EC9D';")</f>
        <v>0</v>
      </c>
      <c r="M70">
        <f t="array" ref="M70">CONCATENATE("update msg_out_fld set description = '",D70,"' where tab_name = 'MITARBEITER_GRUPPE' and fld_name = 'BRTG_MGMT_DEFICIENCES_CR_CD';")</f>
        <v>0</v>
      </c>
    </row>
    <row r="71" spans="1:13">
      <c r="A71" t="s">
        <v>3328</v>
      </c>
      <c r="C71" t="s">
        <v>26</v>
      </c>
      <c r="D71" t="s">
        <v>3329</v>
      </c>
      <c r="E71" t="s">
        <v>28</v>
      </c>
      <c r="F71" t="s">
        <v>29</v>
      </c>
      <c r="G71" t="s">
        <v>30</v>
      </c>
      <c r="H71" t="s">
        <v>3327</v>
      </c>
      <c r="K71">
        <f t="array" ref="K71">CONCATENATE("update msg_out_fld_config set msg_fld_name = '",A71,"' where cd = '1ED2FE9A347C0E5A2900BFBE23972988';")</f>
        <v>0</v>
      </c>
      <c r="M71">
        <f t="array" ref="M71">CONCATENATE("update msg_out_fld set description = '",D71,"' where tab_name = 'MITARBEITER_GRUPPE' and fld_name = 'BRTG_MGMT_DEFICIENCES_CP_CD';")</f>
        <v>0</v>
      </c>
    </row>
    <row r="72" spans="1:13">
      <c r="A72" t="s">
        <v>3331</v>
      </c>
      <c r="C72" t="s">
        <v>26</v>
      </c>
      <c r="D72" t="s">
        <v>3332</v>
      </c>
      <c r="E72" t="s">
        <v>28</v>
      </c>
      <c r="F72" t="s">
        <v>29</v>
      </c>
      <c r="G72" t="s">
        <v>30</v>
      </c>
      <c r="H72" t="s">
        <v>3330</v>
      </c>
      <c r="K72">
        <f t="array" ref="K72">CONCATENATE("update msg_out_fld_config set msg_fld_name = '",A72,"' where cd = '4BC80CFA4EBAAF130F69F5B7934A1264';")</f>
        <v>0</v>
      </c>
      <c r="M72">
        <f t="array" ref="M72">CONCATENATE("update msg_out_fld set description = '",D72,"' where tab_name = 'MITARBEITER_GRUPPE' and fld_name = 'BRTG_MGMT_DEFICIENCES_RM_CD';")</f>
        <v>0</v>
      </c>
    </row>
    <row r="73" spans="1:13">
      <c r="A73" t="s">
        <v>3334</v>
      </c>
      <c r="C73" t="s">
        <v>26</v>
      </c>
      <c r="D73" t="s">
        <v>3335</v>
      </c>
      <c r="E73" t="s">
        <v>28</v>
      </c>
      <c r="F73" t="s">
        <v>29</v>
      </c>
      <c r="G73" t="s">
        <v>30</v>
      </c>
      <c r="H73" t="s">
        <v>3333</v>
      </c>
      <c r="K73">
        <f t="array" ref="K73">CONCATENATE("update msg_out_fld_config set msg_fld_name = '",A73,"' where cd = 'C419BBC39F029539DA62E2DB97B3F572';")</f>
        <v>0</v>
      </c>
      <c r="M73">
        <f t="array" ref="M73">CONCATENATE("update msg_out_fld set description = '",D73,"' where tab_name = 'MITARBEITER_GRUPPE' and fld_name = 'BRTG_EDIT_PORTFOLIONO_CD';")</f>
        <v>0</v>
      </c>
    </row>
    <row r="74" spans="1:13">
      <c r="A74" t="s">
        <v>3337</v>
      </c>
      <c r="C74" t="s">
        <v>26</v>
      </c>
      <c r="D74" t="s">
        <v>3338</v>
      </c>
      <c r="E74" t="s">
        <v>28</v>
      </c>
      <c r="F74" t="s">
        <v>29</v>
      </c>
      <c r="G74" t="s">
        <v>30</v>
      </c>
      <c r="H74" t="s">
        <v>3336</v>
      </c>
      <c r="K74">
        <f t="array" ref="K74">CONCATENATE("update msg_out_fld_config set msg_fld_name = '",A74,"' where cd = '0D0CD6CAB6DC8516A4823D9F1CE0EA92';")</f>
        <v>0</v>
      </c>
      <c r="M74">
        <f t="array" ref="M74">CONCATENATE("update msg_out_fld set description = '",D74,"' where tab_name = 'MITARBEITER_GRUPPE' and fld_name = 'BRTG_WORLDCHECK_CD';")</f>
        <v>0</v>
      </c>
    </row>
    <row r="75" spans="1:13">
      <c r="A75" t="s">
        <v>3340</v>
      </c>
      <c r="C75" t="s">
        <v>26</v>
      </c>
      <c r="D75" t="s">
        <v>3341</v>
      </c>
      <c r="E75" t="s">
        <v>28</v>
      </c>
      <c r="F75" t="s">
        <v>29</v>
      </c>
      <c r="G75" t="s">
        <v>30</v>
      </c>
      <c r="H75" t="s">
        <v>3339</v>
      </c>
      <c r="K75">
        <f t="array" ref="K75">CONCATENATE("update msg_out_fld_config set msg_fld_name = '",A75,"' where cd = '2C48430E0BD8D2DB3614AE7E1E667A17';")</f>
        <v>0</v>
      </c>
      <c r="M75">
        <f t="array" ref="M75">CONCATENATE("update msg_out_fld set description = '",D75,"' where tab_name = 'MITARBEITER_GRUPPE' and fld_name = 'BRTG_MANUELLEKTOE_CD';")</f>
        <v>0</v>
      </c>
    </row>
    <row r="76" spans="1:13">
      <c r="A76" t="s">
        <v>3343</v>
      </c>
      <c r="C76" t="s">
        <v>26</v>
      </c>
      <c r="D76" t="s">
        <v>3344</v>
      </c>
      <c r="E76" t="s">
        <v>28</v>
      </c>
      <c r="F76" t="s">
        <v>29</v>
      </c>
      <c r="G76" t="s">
        <v>30</v>
      </c>
      <c r="H76" t="s">
        <v>3342</v>
      </c>
      <c r="K76">
        <f t="array" ref="K76">CONCATENATE("update msg_out_fld_config set msg_fld_name = '",A76,"' where cd = '0BD915DF27DEF1E646FD6E77F311C674';")</f>
        <v>0</v>
      </c>
      <c r="M76">
        <f t="array" ref="M76">CONCATENATE("update msg_out_fld set description = '",D76,"' where tab_name = 'MITARBEITER_GRUPPE' and fld_name = 'BRTG_EROE_MAN_AEOIHITS_CD';")</f>
        <v>0</v>
      </c>
    </row>
    <row r="77" spans="1:13">
      <c r="A77" t="s">
        <v>3108</v>
      </c>
      <c r="C77" t="s">
        <v>26</v>
      </c>
      <c r="D77" t="s">
        <v>3345</v>
      </c>
      <c r="E77" t="s">
        <v>28</v>
      </c>
      <c r="F77" t="s">
        <v>29</v>
      </c>
      <c r="G77" t="s">
        <v>30</v>
      </c>
      <c r="H77" t="s">
        <v>3107</v>
      </c>
      <c r="K77">
        <f t="array" ref="K77">CONCATENATE("update msg_out_fld_config set msg_fld_name = '",A77,"' where cd = '15120D09056B08463C6F1EEA5C378867';")</f>
        <v>0</v>
      </c>
      <c r="M77">
        <f t="array" ref="M77">CONCATENATE("update msg_out_fld set description = '",D77,"' where tab_name = 'MITARBEITER_GRUPPE' and fld_name = 'BRTG_MANUELLEHITS_CD';")</f>
        <v>0</v>
      </c>
    </row>
    <row r="78" spans="1:13">
      <c r="A78" t="s">
        <v>3347</v>
      </c>
      <c r="C78" t="s">
        <v>26</v>
      </c>
      <c r="D78" t="s">
        <v>3348</v>
      </c>
      <c r="E78" t="s">
        <v>28</v>
      </c>
      <c r="F78" t="s">
        <v>29</v>
      </c>
      <c r="G78" t="s">
        <v>30</v>
      </c>
      <c r="H78" t="s">
        <v>3346</v>
      </c>
      <c r="K78">
        <f t="array" ref="K78">CONCATENATE("update msg_out_fld_config set msg_fld_name = '",A78,"' where cd = '5531A5F05F0C2DCC69217D191C37C7F2';")</f>
        <v>0</v>
      </c>
      <c r="M78">
        <f t="array" ref="M78">CONCATENATE("update msg_out_fld set description = '",D78,"' where tab_name = 'MITARBEITER_GRUPPE' and fld_name = 'BRTG_EROE_MAN_FATCAHITS_CD';")</f>
        <v>0</v>
      </c>
    </row>
    <row r="79" spans="1:13">
      <c r="A79" t="s">
        <v>3350</v>
      </c>
      <c r="C79" t="s">
        <v>26</v>
      </c>
      <c r="D79" t="s">
        <v>3351</v>
      </c>
      <c r="E79" t="s">
        <v>28</v>
      </c>
      <c r="F79" t="s">
        <v>29</v>
      </c>
      <c r="G79" t="s">
        <v>30</v>
      </c>
      <c r="H79" t="s">
        <v>3349</v>
      </c>
      <c r="K79">
        <f t="array" ref="K79">CONCATENATE("update msg_out_fld_config set msg_fld_name = '",A79,"' where cd = '15CBA7A10BBDDF95215763D1CE21A458';")</f>
        <v>0</v>
      </c>
      <c r="M79">
        <f t="array" ref="M79">CONCATENATE("update msg_out_fld set description = '",D79,"' where tab_name = 'MITARBEITER_GRUPPE' and fld_name = 'BRTG_ERFASSEN_PROSPECT_CD';")</f>
        <v>0</v>
      </c>
    </row>
    <row r="80" spans="1:13">
      <c r="A80" t="s">
        <v>3353</v>
      </c>
      <c r="C80" t="s">
        <v>26</v>
      </c>
      <c r="D80" t="s">
        <v>3354</v>
      </c>
      <c r="E80" t="s">
        <v>28</v>
      </c>
      <c r="F80" t="s">
        <v>29</v>
      </c>
      <c r="G80" t="s">
        <v>30</v>
      </c>
      <c r="H80" t="s">
        <v>3352</v>
      </c>
      <c r="K80">
        <f t="array" ref="K80">CONCATENATE("update msg_out_fld_config set msg_fld_name = '",A80,"' where cd = '406B4712E707672DE10ED527E7EEB485';")</f>
        <v>0</v>
      </c>
      <c r="M80">
        <f t="array" ref="M80">CONCATENATE("update msg_out_fld set description = '",D80,"' where tab_name = 'MITARBEITER_GRUPPE' and fld_name = 'BRTG_BANKPOST_CD';")</f>
        <v>0</v>
      </c>
    </row>
    <row r="81" spans="1:13">
      <c r="A81" t="s">
        <v>3356</v>
      </c>
      <c r="C81" t="s">
        <v>26</v>
      </c>
      <c r="D81" t="s">
        <v>3357</v>
      </c>
      <c r="E81" t="s">
        <v>28</v>
      </c>
      <c r="F81" t="s">
        <v>29</v>
      </c>
      <c r="G81" t="s">
        <v>30</v>
      </c>
      <c r="H81" t="s">
        <v>3355</v>
      </c>
      <c r="K81">
        <f t="array" ref="K81">CONCATENATE("update msg_out_fld_config set msg_fld_name = '",A81,"' where cd = '6A3E82E5E127286734A99D9703363877';")</f>
        <v>0</v>
      </c>
      <c r="M81">
        <f t="array" ref="M81">CONCATENATE("update msg_out_fld set description = '",D81,"' where tab_name = 'MITARBEITER_GRUPPE' and fld_name = 'BRTG_BESTELLEN_WEB_CD';")</f>
        <v>0</v>
      </c>
    </row>
    <row r="82" spans="1:13">
      <c r="A82" t="s">
        <v>3359</v>
      </c>
      <c r="C82" t="s">
        <v>26</v>
      </c>
      <c r="D82" t="s">
        <v>3360</v>
      </c>
      <c r="E82" t="s">
        <v>28</v>
      </c>
      <c r="F82" t="s">
        <v>29</v>
      </c>
      <c r="G82" t="s">
        <v>30</v>
      </c>
      <c r="H82" t="s">
        <v>3358</v>
      </c>
      <c r="K82">
        <f t="array" ref="K82">CONCATENATE("update msg_out_fld_config set msg_fld_name = '",A82,"' where cd = '210632A9A780298241E2567D4B64B9E2';")</f>
        <v>0</v>
      </c>
      <c r="M82">
        <f t="array" ref="M82">CONCATENATE("update msg_out_fld set description = '",D82,"' where tab_name = 'MITARBEITER_GRUPPE' and fld_name = 'BRTG_DRUCKENADRESSEN_CD';")</f>
        <v>0</v>
      </c>
    </row>
    <row r="83" spans="1:13">
      <c r="A83" t="s">
        <v>3362</v>
      </c>
      <c r="C83" t="s">
        <v>26</v>
      </c>
      <c r="D83" t="s">
        <v>3363</v>
      </c>
      <c r="E83" t="s">
        <v>28</v>
      </c>
      <c r="F83" t="s">
        <v>29</v>
      </c>
      <c r="G83" t="s">
        <v>30</v>
      </c>
      <c r="H83" t="s">
        <v>3361</v>
      </c>
      <c r="K83">
        <f t="array" ref="K83">CONCATENATE("update msg_out_fld_config set msg_fld_name = '",A83,"' where cd = '8CBAC79A3B0F74CF8FF49D2D647790C0';")</f>
        <v>0</v>
      </c>
      <c r="M83">
        <f t="array" ref="M83">CONCATENATE("update msg_out_fld set description = '",D83,"' where tab_name = 'MITARBEITER_GRUPPE' and fld_name = 'BRTG_DRUCKEN_CD';")</f>
        <v>0</v>
      </c>
    </row>
    <row r="84" spans="1:13">
      <c r="A84" t="s">
        <v>3365</v>
      </c>
      <c r="C84" t="s">
        <v>26</v>
      </c>
      <c r="D84" t="s">
        <v>3366</v>
      </c>
      <c r="E84" t="s">
        <v>28</v>
      </c>
      <c r="F84" t="s">
        <v>29</v>
      </c>
      <c r="G84" t="s">
        <v>30</v>
      </c>
      <c r="H84" t="s">
        <v>3364</v>
      </c>
      <c r="K84">
        <f t="array" ref="K84">CONCATENATE("update msg_out_fld_config set msg_fld_name = '",A84,"' where cd = '1E9DE16451CE93F08521DE6E95388675';")</f>
        <v>0</v>
      </c>
      <c r="M84">
        <f t="array" ref="M84">CONCATENATE("update msg_out_fld set description = '",D84,"' where tab_name = 'MITARBEITER_GRUPPE' and fld_name = 'BRTG_DRUCKENBELEG_CD';")</f>
        <v>0</v>
      </c>
    </row>
    <row r="85" spans="1:13">
      <c r="A85" t="s">
        <v>3368</v>
      </c>
      <c r="C85" t="s">
        <v>26</v>
      </c>
      <c r="D85" t="s">
        <v>3369</v>
      </c>
      <c r="E85" t="s">
        <v>28</v>
      </c>
      <c r="F85" t="s">
        <v>29</v>
      </c>
      <c r="G85" t="s">
        <v>30</v>
      </c>
      <c r="H85" t="s">
        <v>3367</v>
      </c>
      <c r="K85">
        <f t="array" ref="K85">CONCATENATE("update msg_out_fld_config set msg_fld_name = '",A85,"' where cd = '168F0B58153FC73F0132D5C7E517BD56';")</f>
        <v>0</v>
      </c>
      <c r="M85">
        <f t="array" ref="M85">CONCATENATE("update msg_out_fld set description = '",D85,"' where tab_name = 'MITARBEITER_GRUPPE' and fld_name = 'BRTG_DRUCKENBELEGPDF_CD';")</f>
        <v>0</v>
      </c>
    </row>
    <row r="86" spans="1:13">
      <c r="A86" t="s">
        <v>3371</v>
      </c>
      <c r="C86" t="s">
        <v>26</v>
      </c>
      <c r="D86" t="s">
        <v>3372</v>
      </c>
      <c r="E86" t="s">
        <v>28</v>
      </c>
      <c r="F86" t="s">
        <v>29</v>
      </c>
      <c r="G86" t="s">
        <v>30</v>
      </c>
      <c r="H86" t="s">
        <v>3370</v>
      </c>
      <c r="K86">
        <f t="array" ref="K86">CONCATENATE("update msg_out_fld_config set msg_fld_name = '",A86,"' where cd = '7DF6D6B063BCAB2D11210461C8DE5EA1';")</f>
        <v>0</v>
      </c>
      <c r="M86">
        <f t="array" ref="M86">CONCATENATE("update msg_out_fld set description = '",D86,"' where tab_name = 'MITARBEITER_GRUPPE' and fld_name = 'BRTG_DRUCKEN_KLISTE_CD';")</f>
        <v>0</v>
      </c>
    </row>
    <row r="87" spans="1:13">
      <c r="A87" t="s">
        <v>3374</v>
      </c>
      <c r="C87" t="s">
        <v>26</v>
      </c>
      <c r="D87" t="s">
        <v>3375</v>
      </c>
      <c r="E87" t="s">
        <v>28</v>
      </c>
      <c r="F87" t="s">
        <v>29</v>
      </c>
      <c r="G87" t="s">
        <v>30</v>
      </c>
      <c r="H87" t="s">
        <v>3373</v>
      </c>
      <c r="K87">
        <f t="array" ref="K87">CONCATENATE("update msg_out_fld_config set msg_fld_name = '",A87,"' where cd = '3F32D7D968C00F8EB0B7E36434E4A59B';")</f>
        <v>0</v>
      </c>
      <c r="M87">
        <f t="array" ref="M87">CONCATENATE("update msg_out_fld set description = '",D87,"' where tab_name = 'MITARBEITER_GRUPPE' and fld_name = 'BRTG_DRUCKENKAKTENNOTIZEN_CD';")</f>
        <v>0</v>
      </c>
    </row>
    <row r="88" spans="1:13">
      <c r="A88" t="s">
        <v>3377</v>
      </c>
      <c r="C88" t="s">
        <v>26</v>
      </c>
      <c r="D88" t="s">
        <v>3378</v>
      </c>
      <c r="E88" t="s">
        <v>28</v>
      </c>
      <c r="F88" t="s">
        <v>29</v>
      </c>
      <c r="G88" t="s">
        <v>30</v>
      </c>
      <c r="H88" t="s">
        <v>3376</v>
      </c>
      <c r="K88">
        <f t="array" ref="K88">CONCATENATE("update msg_out_fld_config set msg_fld_name = '",A88,"' where cd = 'C70E79B912F2ADFF9B65F491B1B25E5B';")</f>
        <v>0</v>
      </c>
      <c r="M88">
        <f t="array" ref="M88">CONCATENATE("update msg_out_fld set description = '",D88,"' where tab_name = 'MITARBEITER_GRUPPE' and fld_name = 'BRTG_DRUCKEN_KTOE_CD';")</f>
        <v>0</v>
      </c>
    </row>
    <row r="89" spans="1:13">
      <c r="A89" t="s">
        <v>3380</v>
      </c>
      <c r="C89" t="s">
        <v>26</v>
      </c>
      <c r="D89" t="s">
        <v>3381</v>
      </c>
      <c r="E89" t="s">
        <v>28</v>
      </c>
      <c r="F89" t="s">
        <v>29</v>
      </c>
      <c r="G89" t="s">
        <v>30</v>
      </c>
      <c r="H89" t="s">
        <v>3379</v>
      </c>
      <c r="K89">
        <f t="array" ref="K89">CONCATENATE("update msg_out_fld_config set msg_fld_name = '",A89,"' where cd = '66858E93BF75C093C53B25762B3CDC96';")</f>
        <v>0</v>
      </c>
      <c r="M89">
        <f t="array" ref="M89">CONCATENATE("update msg_out_fld set description = '",D89,"' where tab_name = 'MITARBEITER_GRUPPE' and fld_name = 'BRTG_DRUCKENKPROFIL_CD';")</f>
        <v>0</v>
      </c>
    </row>
    <row r="90" spans="1:13">
      <c r="A90" t="s">
        <v>3383</v>
      </c>
      <c r="C90" t="s">
        <v>26</v>
      </c>
      <c r="D90" t="s">
        <v>3384</v>
      </c>
      <c r="E90" t="s">
        <v>28</v>
      </c>
      <c r="F90" t="s">
        <v>29</v>
      </c>
      <c r="G90" t="s">
        <v>30</v>
      </c>
      <c r="H90" t="s">
        <v>3382</v>
      </c>
      <c r="K90">
        <f t="array" ref="K90">CONCATENATE("update msg_out_fld_config set msg_fld_name = '",A90,"' where cd = 'BA0BCC657BCC2775FE084521237B37C6';")</f>
        <v>0</v>
      </c>
      <c r="M90">
        <f t="array" ref="M90">CONCATENATE("update msg_out_fld set description = '",D90,"' where tab_name = 'MITARBEITER_GRUPPE' and fld_name = 'BRTG_DPARTNERDOKUMENTE_CD';")</f>
        <v>0</v>
      </c>
    </row>
    <row r="91" spans="1:13">
      <c r="A91" t="s">
        <v>3386</v>
      </c>
      <c r="C91" t="s">
        <v>26</v>
      </c>
      <c r="D91" t="s">
        <v>3387</v>
      </c>
      <c r="E91" t="s">
        <v>28</v>
      </c>
      <c r="F91" t="s">
        <v>29</v>
      </c>
      <c r="G91" t="s">
        <v>30</v>
      </c>
      <c r="H91" t="s">
        <v>3385</v>
      </c>
      <c r="K91">
        <f t="array" ref="K91">CONCATENATE("update msg_out_fld_config set msg_fld_name = '",A91,"' where cd = 'E8D2A73ACE1DAB38A707B982F638C12F';")</f>
        <v>0</v>
      </c>
      <c r="M91">
        <f t="array" ref="M91">CONCATENATE("update msg_out_fld set description = '",D91,"' where tab_name = 'MITARBEITER_GRUPPE' and fld_name = 'BRTG_DRUCKEN_PLISTE_CD';")</f>
        <v>0</v>
      </c>
    </row>
    <row r="92" spans="1:13">
      <c r="A92" t="s">
        <v>3389</v>
      </c>
      <c r="C92" t="s">
        <v>26</v>
      </c>
      <c r="D92" t="s">
        <v>3390</v>
      </c>
      <c r="E92" t="s">
        <v>28</v>
      </c>
      <c r="F92" t="s">
        <v>29</v>
      </c>
      <c r="G92" t="s">
        <v>30</v>
      </c>
      <c r="H92" t="s">
        <v>3388</v>
      </c>
      <c r="K92">
        <f t="array" ref="K92">CONCATENATE("update msg_out_fld_config set msg_fld_name = '",A92,"' where cd = 'ED7DC03AC612A5B97A8D996F50664CB6';")</f>
        <v>0</v>
      </c>
      <c r="M92">
        <f t="array" ref="M92">CONCATENATE("update msg_out_fld set description = '",D92,"' where tab_name = 'MITARBEITER_GRUPPE' and fld_name = 'BRTG_DRUCKENPAKTENNOTIZEN_CD';")</f>
        <v>0</v>
      </c>
    </row>
    <row r="93" spans="1:13">
      <c r="A93" t="s">
        <v>3392</v>
      </c>
      <c r="C93" t="s">
        <v>26</v>
      </c>
      <c r="D93" t="s">
        <v>3393</v>
      </c>
      <c r="E93" t="s">
        <v>28</v>
      </c>
      <c r="F93" t="s">
        <v>29</v>
      </c>
      <c r="G93" t="s">
        <v>30</v>
      </c>
      <c r="H93" t="s">
        <v>3391</v>
      </c>
      <c r="K93">
        <f t="array" ref="K93">CONCATENATE("update msg_out_fld_config set msg_fld_name = '",A93,"' where cd = 'C78B6FC1E304BC12289BF821248B78C0';")</f>
        <v>0</v>
      </c>
      <c r="M93">
        <f t="array" ref="M93">CONCATENATE("update msg_out_fld set description = '",D93,"' where tab_name = 'MITARBEITER_GRUPPE' and fld_name = 'BRTG_DKDOKUMENTE_CD';")</f>
        <v>0</v>
      </c>
    </row>
    <row r="94" spans="1:13">
      <c r="A94" t="s">
        <v>3395</v>
      </c>
      <c r="C94" t="s">
        <v>26</v>
      </c>
      <c r="D94" t="s">
        <v>3396</v>
      </c>
      <c r="E94" t="s">
        <v>28</v>
      </c>
      <c r="F94" t="s">
        <v>29</v>
      </c>
      <c r="G94" t="s">
        <v>30</v>
      </c>
      <c r="H94" t="s">
        <v>3394</v>
      </c>
      <c r="K94">
        <f t="array" ref="K94">CONCATENATE("update msg_out_fld_config set msg_fld_name = '",A94,"' where cd = '93BD87A4127B11986B30E2F6E0A66187';")</f>
        <v>0</v>
      </c>
      <c r="M94">
        <f t="array" ref="M94">CONCATENATE("update msg_out_fld set description = '",D94,"' where tab_name = 'MITARBEITER_GRUPPE' and fld_name = 'BRTG_DKSCANNINGDECKBLATT_CD';")</f>
        <v>0</v>
      </c>
    </row>
    <row r="95" spans="1:13">
      <c r="A95" t="s">
        <v>3398</v>
      </c>
      <c r="C95" t="s">
        <v>26</v>
      </c>
      <c r="D95" t="s">
        <v>3399</v>
      </c>
      <c r="E95" t="s">
        <v>28</v>
      </c>
      <c r="F95" t="s">
        <v>29</v>
      </c>
      <c r="G95" t="s">
        <v>30</v>
      </c>
      <c r="H95" t="s">
        <v>3397</v>
      </c>
      <c r="K95">
        <f t="array" ref="K95">CONCATENATE("update msg_out_fld_config set msg_fld_name = '",A95,"' where cd = '34109CBC750403AB5B47A821D61A0569';")</f>
        <v>0</v>
      </c>
      <c r="M95">
        <f t="array" ref="M95">CONCATENATE("update msg_out_fld set description = '",D95,"' where tab_name = 'MITARBEITER_GRUPPE' and fld_name = 'BRTG_PRINT_SENSITIVE_DATA_CD';")</f>
        <v>0</v>
      </c>
    </row>
    <row r="96" spans="1:13">
      <c r="A96" t="s">
        <v>3401</v>
      </c>
      <c r="C96" t="s">
        <v>26</v>
      </c>
      <c r="D96" t="s">
        <v>3402</v>
      </c>
      <c r="E96" t="s">
        <v>28</v>
      </c>
      <c r="F96" t="s">
        <v>29</v>
      </c>
      <c r="G96" t="s">
        <v>30</v>
      </c>
      <c r="H96" t="s">
        <v>3400</v>
      </c>
      <c r="K96">
        <f t="array" ref="K96">CONCATENATE("update msg_out_fld_config set msg_fld_name = '",A96,"' where cd = '07F11EA3564C7238245E7AE2B68D7351';")</f>
        <v>0</v>
      </c>
      <c r="M96">
        <f t="array" ref="M96">CONCATENATE("update msg_out_fld set description = '",D96,"' where tab_name = 'MITARBEITER_GRUPPE' and fld_name = 'BRTG_SPARTNERDOKUMENTE_CD';")</f>
        <v>0</v>
      </c>
    </row>
    <row r="97" spans="1:13">
      <c r="A97" t="s">
        <v>3404</v>
      </c>
      <c r="C97" t="s">
        <v>26</v>
      </c>
      <c r="D97" t="s">
        <v>3405</v>
      </c>
      <c r="E97" t="s">
        <v>28</v>
      </c>
      <c r="F97" t="s">
        <v>29</v>
      </c>
      <c r="G97" t="s">
        <v>30</v>
      </c>
      <c r="H97" t="s">
        <v>3403</v>
      </c>
      <c r="K97">
        <f t="array" ref="K97">CONCATENATE("update msg_out_fld_config set msg_fld_name = '",A97,"' where cd = '077363B4C0B283606F41673A6DA976F5';")</f>
        <v>0</v>
      </c>
      <c r="M97">
        <f t="array" ref="M97">CONCATENATE("update msg_out_fld set description = '",D97,"' where tab_name = 'MITARBEITER_GRUPPE' and fld_name = 'BRTG_SKDOKUMENTE_CD';")</f>
        <v>0</v>
      </c>
    </row>
    <row r="98" spans="1:13">
      <c r="A98" t="s">
        <v>3117</v>
      </c>
      <c r="C98" t="s">
        <v>26</v>
      </c>
      <c r="D98" t="s">
        <v>3118</v>
      </c>
      <c r="E98" t="s">
        <v>28</v>
      </c>
      <c r="F98" t="s">
        <v>29</v>
      </c>
      <c r="G98" t="s">
        <v>30</v>
      </c>
      <c r="H98" t="s">
        <v>3116</v>
      </c>
      <c r="K98">
        <f t="array" ref="K98">CONCATENATE("update msg_out_fld_config set msg_fld_name = '",A98,"' where cd = 'A661BEC9BDF20BDF10EDE96E3DEBEA86';")</f>
        <v>0</v>
      </c>
      <c r="M98">
        <f t="array" ref="M98">CONCATENATE("update msg_out_fld set description = '",D98,"' where tab_name = 'MITARBEITER_GRUPPE' and fld_name = 'BRTG_SCANARCHIVDOKUMENTE_CD';")</f>
        <v>0</v>
      </c>
    </row>
    <row r="99" spans="1:13">
      <c r="A99" t="s">
        <v>3407</v>
      </c>
      <c r="C99" t="s">
        <v>26</v>
      </c>
      <c r="D99" t="s">
        <v>3408</v>
      </c>
      <c r="E99" t="s">
        <v>28</v>
      </c>
      <c r="F99" t="s">
        <v>29</v>
      </c>
      <c r="G99" t="s">
        <v>30</v>
      </c>
      <c r="H99" t="s">
        <v>3406</v>
      </c>
      <c r="K99">
        <f t="array" ref="K99">CONCATENATE("update msg_out_fld_config set msg_fld_name = '",A99,"' where cd = '893702EE46AC33473249AC6E519025E4';")</f>
        <v>0</v>
      </c>
      <c r="M99">
        <f t="array" ref="M99">CONCATENATE("update msg_out_fld set description = '",D99,"' where tab_name = 'MITARBEITER_GRUPPE' and fld_name = 'BRTG_UNTERSCHRIFT_CD';")</f>
        <v>0</v>
      </c>
    </row>
    <row r="100" spans="1:13">
      <c r="A100" t="s">
        <v>3410</v>
      </c>
      <c r="C100" t="s">
        <v>26</v>
      </c>
      <c r="D100" t="s">
        <v>3411</v>
      </c>
      <c r="E100" t="s">
        <v>28</v>
      </c>
      <c r="F100" t="s">
        <v>29</v>
      </c>
      <c r="G100" t="s">
        <v>30</v>
      </c>
      <c r="H100" t="s">
        <v>3409</v>
      </c>
      <c r="K100">
        <f t="array" ref="K100">CONCATENATE("update msg_out_fld_config set msg_fld_name = '",A100,"' where cd = 'A9ABE3D5BF38D443084C369F6C7650A3';")</f>
        <v>0</v>
      </c>
      <c r="M100">
        <f t="array" ref="M100">CONCATENATE("update msg_out_fld set description = '",D100,"' where tab_name = 'MITARBEITER_GRUPPE' and fld_name = 'BRTG_ENC_SETUP_CD';")</f>
        <v>0</v>
      </c>
    </row>
    <row r="101" spans="1:13">
      <c r="A101" t="s">
        <v>3413</v>
      </c>
      <c r="C101" t="s">
        <v>26</v>
      </c>
      <c r="D101" t="s">
        <v>3414</v>
      </c>
      <c r="E101" t="s">
        <v>28</v>
      </c>
      <c r="F101" t="s">
        <v>29</v>
      </c>
      <c r="G101" t="s">
        <v>30</v>
      </c>
      <c r="H101" t="s">
        <v>3412</v>
      </c>
      <c r="K101">
        <f t="array" ref="K101">CONCATENATE("update msg_out_fld_config set msg_fld_name = '",A101,"' where cd = '4573D138EA521C58EC33825D62E0788E';")</f>
        <v>0</v>
      </c>
      <c r="M101">
        <f t="array" ref="M101">CONCATENATE("update msg_out_fld set description = '",D101,"' where tab_name = 'MITARBEITER_GRUPPE' and fld_name = 'BRTG_EMAILBELEG_CD';")</f>
        <v>0</v>
      </c>
    </row>
    <row r="102" spans="1:13">
      <c r="A102" t="s">
        <v>3416</v>
      </c>
      <c r="C102" t="s">
        <v>26</v>
      </c>
      <c r="D102" t="s">
        <v>3417</v>
      </c>
      <c r="E102" t="s">
        <v>28</v>
      </c>
      <c r="F102" t="s">
        <v>29</v>
      </c>
      <c r="G102" t="s">
        <v>30</v>
      </c>
      <c r="H102" t="s">
        <v>3415</v>
      </c>
      <c r="K102">
        <f t="array" ref="K102">CONCATENATE("update msg_out_fld_config set msg_fld_name = '",A102,"' where cd = '47D7E9275AA6FF43502B9481B4BBDDED';")</f>
        <v>0</v>
      </c>
      <c r="M102">
        <f t="array" ref="M102">CONCATENATE("update msg_out_fld set description = '",D102,"' where tab_name = 'MITARBEITER_GRUPPE' and fld_name = 'BRTG_VERSANDAUSARCHIV_CD';")</f>
        <v>0</v>
      </c>
    </row>
    <row r="103" spans="1:13">
      <c r="A103" t="s">
        <v>3419</v>
      </c>
      <c r="C103" t="s">
        <v>26</v>
      </c>
      <c r="D103" t="s">
        <v>3420</v>
      </c>
      <c r="E103" t="s">
        <v>28</v>
      </c>
      <c r="F103" t="s">
        <v>29</v>
      </c>
      <c r="G103" t="s">
        <v>30</v>
      </c>
      <c r="H103" t="s">
        <v>3418</v>
      </c>
      <c r="K103">
        <f t="array" ref="K103">CONCATENATE("update msg_out_fld_config set msg_fld_name = '",A103,"' where cd = '2FFC3750DD51C7C583C7CAFC8B31BD81';")</f>
        <v>0</v>
      </c>
      <c r="M103">
        <f t="array" ref="M103">CONCATENATE("update msg_out_fld set description = '",D103,"' where tab_name = 'MITARBEITER_GRUPPE' and fld_name = 'BRTG_ENCRYPT_FIELD_CD';")</f>
        <v>0</v>
      </c>
    </row>
    <row r="104" spans="1:13">
      <c r="A104" t="s">
        <v>3422</v>
      </c>
      <c r="C104" t="s">
        <v>26</v>
      </c>
      <c r="D104" t="s">
        <v>3423</v>
      </c>
      <c r="E104" t="s">
        <v>28</v>
      </c>
      <c r="F104" t="s">
        <v>29</v>
      </c>
      <c r="G104" t="s">
        <v>30</v>
      </c>
      <c r="H104" t="s">
        <v>3421</v>
      </c>
      <c r="K104">
        <f t="array" ref="K104">CONCATENATE("update msg_out_fld_config set msg_fld_name = '",A104,"' where cd = '13CB8717D3D04420B67BED6028122EE9';")</f>
        <v>0</v>
      </c>
      <c r="M104">
        <f t="array" ref="M104">CONCATENATE("update msg_out_fld set description = '",D104,"' where tab_name = 'MITARBEITER_GRUPPE' and fld_name = 'BRTG_TRANSFEROUT_CD';")</f>
        <v>0</v>
      </c>
    </row>
    <row r="105" spans="1:13">
      <c r="A105" t="s">
        <v>3425</v>
      </c>
      <c r="C105" t="s">
        <v>26</v>
      </c>
      <c r="D105" t="s">
        <v>3426</v>
      </c>
      <c r="E105" t="s">
        <v>28</v>
      </c>
      <c r="F105" t="s">
        <v>29</v>
      </c>
      <c r="G105" t="s">
        <v>30</v>
      </c>
      <c r="H105" t="s">
        <v>3424</v>
      </c>
      <c r="K105">
        <f t="array" ref="K105">CONCATENATE("update msg_out_fld_config set msg_fld_name = '",A105,"' where cd = '5FCA65C8B9F25B8F34F4D636D110CF91';")</f>
        <v>0</v>
      </c>
      <c r="M105">
        <f t="array" ref="M105">CONCATENATE("update msg_out_fld set description = '",D105,"' where tab_name = 'MITARBEITER_GRUPPE' and fld_name = 'BRTG_USE_ACROBAT_READER_CD';")</f>
        <v>0</v>
      </c>
    </row>
    <row r="106" spans="1:13">
      <c r="A106" t="s">
        <v>3428</v>
      </c>
      <c r="C106" t="s">
        <v>26</v>
      </c>
      <c r="D106" t="s">
        <v>3429</v>
      </c>
      <c r="E106" t="s">
        <v>28</v>
      </c>
      <c r="F106" t="s">
        <v>29</v>
      </c>
      <c r="G106" t="s">
        <v>30</v>
      </c>
      <c r="H106" t="s">
        <v>3427</v>
      </c>
      <c r="K106">
        <f t="array" ref="K106">CONCATENATE("update msg_out_fld_config set msg_fld_name = '",A106,"' where cd = 'B6084B2CBC571CEE1A2D50E0B8AFED37';")</f>
        <v>0</v>
      </c>
      <c r="M106">
        <f t="array" ref="M106">CONCATENATE("update msg_out_fld set description = '",D106,"' where tab_name = 'MITARBEITER_GRUPPE' and fld_name = 'BRTG_PARTNERDUBLETTEN_CD';")</f>
        <v>0</v>
      </c>
    </row>
    <row r="107" spans="1:13">
      <c r="A107" t="s">
        <v>3431</v>
      </c>
      <c r="C107" t="s">
        <v>26</v>
      </c>
      <c r="D107" t="s">
        <v>3432</v>
      </c>
      <c r="E107" t="s">
        <v>28</v>
      </c>
      <c r="F107" t="s">
        <v>29</v>
      </c>
      <c r="G107" t="s">
        <v>30</v>
      </c>
      <c r="H107" t="s">
        <v>3430</v>
      </c>
      <c r="K107">
        <f t="array" ref="K107">CONCATENATE("update msg_out_fld_config set msg_fld_name = '",A107,"' where cd = '75830CA2E54FAA9F1294756A7D6F59C3';")</f>
        <v>0</v>
      </c>
      <c r="M107">
        <f t="array" ref="M107">CONCATENATE("update msg_out_fld set description = '",D107,"' where tab_name = 'MITARBEITER_GRUPPE' and fld_name = 'BRTG_USE_INTERNER_VIEWER_CD';")</f>
        <v>0</v>
      </c>
    </row>
    <row r="108" spans="1:13">
      <c r="A108" t="s">
        <v>3434</v>
      </c>
      <c r="C108" t="s">
        <v>26</v>
      </c>
      <c r="D108" t="s">
        <v>3435</v>
      </c>
      <c r="E108" t="s">
        <v>28</v>
      </c>
      <c r="F108" t="s">
        <v>29</v>
      </c>
      <c r="G108" t="s">
        <v>30</v>
      </c>
      <c r="H108" t="s">
        <v>3433</v>
      </c>
      <c r="K108">
        <f t="array" ref="K108">CONCATENATE("update msg_out_fld_config set msg_fld_name = '",A108,"' where cd = 'FFA03B3BE1AD4C3021DE2FC83658AF65';")</f>
        <v>0</v>
      </c>
      <c r="M108">
        <f t="array" ref="M108">CONCATENATE("update msg_out_fld set description = '",D108,"' where tab_name = 'MITARBEITER_GRUPPE' and fld_name = 'BRTG_VALIDIEREN_CD';")</f>
        <v>0</v>
      </c>
    </row>
    <row r="109" spans="1:13">
      <c r="A109" t="s">
        <v>3437</v>
      </c>
      <c r="C109" t="s">
        <v>26</v>
      </c>
      <c r="D109" t="s">
        <v>3438</v>
      </c>
      <c r="E109" t="s">
        <v>28</v>
      </c>
      <c r="F109" t="s">
        <v>29</v>
      </c>
      <c r="G109" t="s">
        <v>30</v>
      </c>
      <c r="H109" t="s">
        <v>3436</v>
      </c>
      <c r="K109">
        <f t="array" ref="K109">CONCATENATE("update msg_out_fld_config set msg_fld_name = '",A109,"' where cd = '1D05DF577E087D30214490E47AACE2AB';")</f>
        <v>0</v>
      </c>
      <c r="M109">
        <f t="array" ref="M109">CONCATENATE("update msg_out_fld set description = '",D109,"' where tab_name = 'MITARBEITER_GRUPPE' and fld_name = 'BRTG_VERIFIKATION_CD';")</f>
        <v>0</v>
      </c>
    </row>
    <row r="110" spans="1:13">
      <c r="A110" t="s">
        <v>3440</v>
      </c>
      <c r="C110" t="s">
        <v>26</v>
      </c>
      <c r="D110" t="s">
        <v>3441</v>
      </c>
      <c r="E110" t="s">
        <v>28</v>
      </c>
      <c r="F110" t="s">
        <v>29</v>
      </c>
      <c r="G110" t="s">
        <v>30</v>
      </c>
      <c r="H110" t="s">
        <v>3439</v>
      </c>
      <c r="K110">
        <f t="array" ref="K110">CONCATENATE("update msg_out_fld_config set msg_fld_name = '",A110,"' where cd = '521103CA721DD5ECA96C4DA67162F66B';")</f>
        <v>0</v>
      </c>
      <c r="M110">
        <f t="array" ref="M110">CONCATENATE("update msg_out_fld set description = '",D110,"' where tab_name = 'MITARBEITER_GRUPPE' and fld_name = 'BRTG_ALLTABLES_CD';")</f>
        <v>0</v>
      </c>
    </row>
    <row r="111" spans="1:13">
      <c r="A111" t="s">
        <v>25</v>
      </c>
      <c r="C111" t="s">
        <v>26</v>
      </c>
      <c r="D111" t="s">
        <v>3442</v>
      </c>
      <c r="E111" t="s">
        <v>28</v>
      </c>
      <c r="F111" t="s">
        <v>29</v>
      </c>
      <c r="G111" t="s">
        <v>30</v>
      </c>
      <c r="H111" t="s">
        <v>24</v>
      </c>
      <c r="K111">
        <f t="array" ref="K111">CONCATENATE("update msg_out_fld_config set msg_fld_name = '",A111,"' where cd = '0AA6A7586876B61E6E6F397706A390D3';")</f>
        <v>0</v>
      </c>
      <c r="M111">
        <f t="array" ref="M111">CONCATENATE("update msg_out_fld set description = '",D111,"' where tab_name = 'MITARBEITER_GRUPPE' and fld_name = 'LOESCH_CD';")</f>
        <v>0</v>
      </c>
    </row>
    <row r="112" spans="1:13">
      <c r="A112" t="s">
        <v>32</v>
      </c>
      <c r="C112" t="s">
        <v>33</v>
      </c>
      <c r="D112" t="s">
        <v>3443</v>
      </c>
      <c r="H112" t="s">
        <v>31</v>
      </c>
      <c r="K112">
        <f t="array" ref="K112">CONCATENATE("update msg_out_fld_config set msg_fld_name = '",A112,"' where cd = '8B8745140FB0FC137FB964D776FCC82E';")</f>
        <v>0</v>
      </c>
      <c r="M112">
        <f t="array" ref="M112">CONCATENATE("update msg_out_fld set description = '",D112,"' where tab_name = 'MITARBEITER_GRUPPE' and fld_name = 'LOESCHDATUM';")</f>
        <v>0</v>
      </c>
    </row>
    <row r="113" spans="1:13">
      <c r="A113" t="s">
        <v>36</v>
      </c>
      <c r="C113" t="s">
        <v>37</v>
      </c>
      <c r="D113" t="s">
        <v>3444</v>
      </c>
      <c r="E113" t="s">
        <v>39</v>
      </c>
      <c r="F113" t="s">
        <v>23</v>
      </c>
      <c r="H113" t="s">
        <v>35</v>
      </c>
      <c r="K113">
        <f t="array" ref="K113">CONCATENATE("update msg_out_fld_config set msg_fld_name = '",A113,"' where cd = '9935DCBF5BDCA8157C86FB22EA0E0A7A';")</f>
        <v>0</v>
      </c>
      <c r="M113">
        <f t="array" ref="M113">CONCATENATE("update msg_out_fld set description = '",D113,"' where tab_name = 'MITARBEITER_GRUPPE' and fld_name = 'LOESCHUSER';")</f>
        <v>0</v>
      </c>
    </row>
    <row r="114" spans="1:13">
      <c r="A114" t="s">
        <v>45</v>
      </c>
      <c r="C114" t="s">
        <v>33</v>
      </c>
      <c r="D114" t="s">
        <v>3445</v>
      </c>
      <c r="H114" t="s">
        <v>44</v>
      </c>
      <c r="K114">
        <f t="array" ref="K114">CONCATENATE("update msg_out_fld_config set msg_fld_name = '",A114,"' where cd = 'C728559464D4DE282AC6B1396E6FEE60';")</f>
        <v>0</v>
      </c>
      <c r="M114">
        <f t="array" ref="M114">CONCATENATE("update msg_out_fld set description = '",D114,"' where tab_name = 'MITARBEITER_GRUPPE' and fld_name = 'CRTDATUM';")</f>
        <v>0</v>
      </c>
    </row>
    <row r="115" spans="1:13">
      <c r="A115" t="s">
        <v>48</v>
      </c>
      <c r="C115" t="s">
        <v>37</v>
      </c>
      <c r="D115" t="s">
        <v>3446</v>
      </c>
      <c r="E115" t="s">
        <v>39</v>
      </c>
      <c r="F115" t="s">
        <v>23</v>
      </c>
      <c r="H115" t="s">
        <v>47</v>
      </c>
      <c r="K115">
        <f t="array" ref="K115">CONCATENATE("update msg_out_fld_config set msg_fld_name = '",A115,"' where cd = '4834FC0271925AA24A7D2F227457AB3D';")</f>
        <v>0</v>
      </c>
      <c r="M115">
        <f t="array" ref="M115">CONCATENATE("update msg_out_fld set description = '",D115,"' where tab_name = 'MITARBEITER_GRUPPE' and fld_name = 'CRTUSER';")</f>
        <v>0</v>
      </c>
    </row>
    <row r="116" spans="1:13">
      <c r="A116" t="s">
        <v>3448</v>
      </c>
      <c r="C116" t="s">
        <v>26</v>
      </c>
      <c r="D116" t="s">
        <v>3449</v>
      </c>
      <c r="E116" t="s">
        <v>28</v>
      </c>
      <c r="F116" t="s">
        <v>29</v>
      </c>
      <c r="G116" t="s">
        <v>30</v>
      </c>
      <c r="H116" t="s">
        <v>3447</v>
      </c>
      <c r="K116">
        <f t="array" ref="K116">CONCATENATE("update msg_out_fld_config set msg_fld_name = '",A116,"' where cd = '2698BE1D51829B1552762EE12A060837';")</f>
        <v>0</v>
      </c>
      <c r="M116">
        <f t="array" ref="M116">CONCATENATE("update msg_out_fld set description = '",D116,"' where tab_name = 'MITARBEITER_GRUPPE' and fld_name = 'BRTG_PARTNERPARTNER_CD';")</f>
        <v>0</v>
      </c>
    </row>
    <row r="117" spans="1:13">
      <c r="A117" t="s">
        <v>3451</v>
      </c>
      <c r="C117" t="s">
        <v>26</v>
      </c>
      <c r="D117" t="s">
        <v>3452</v>
      </c>
      <c r="E117" t="s">
        <v>28</v>
      </c>
      <c r="F117" t="s">
        <v>29</v>
      </c>
      <c r="G117" t="s">
        <v>30</v>
      </c>
      <c r="H117" t="s">
        <v>3450</v>
      </c>
      <c r="K117">
        <f t="array" ref="K117">CONCATENATE("update msg_out_fld_config set msg_fld_name = '",A117,"' where cd = 'F4D3E8B2F0EE28C1B2A02B0E101026F1';")</f>
        <v>0</v>
      </c>
      <c r="M117">
        <f t="array" ref="M117">CONCATENATE("update msg_out_fld set description = '",D117,"' where tab_name = 'MITARBEITER_GRUPPE' and fld_name = 'BACKOFFICEUSER_CD';")</f>
        <v>0</v>
      </c>
    </row>
    <row r="118" spans="1:13">
      <c r="A118" t="s">
        <v>3454</v>
      </c>
      <c r="C118" t="s">
        <v>26</v>
      </c>
      <c r="D118" t="s">
        <v>3455</v>
      </c>
      <c r="E118" t="s">
        <v>28</v>
      </c>
      <c r="F118" t="s">
        <v>29</v>
      </c>
      <c r="G118" t="s">
        <v>30</v>
      </c>
      <c r="H118" t="s">
        <v>3453</v>
      </c>
      <c r="K118">
        <f t="array" ref="K118">CONCATENATE("update msg_out_fld_config set msg_fld_name = '",A118,"' where cd = 'C10C10A540FB3A7943E5BA44395E9EED';")</f>
        <v>0</v>
      </c>
      <c r="M118">
        <f t="array" ref="M118">CONCATENATE("update msg_out_fld set description = '",D118,"' where tab_name = 'MITARBEITER_GRUPPE' and fld_name = 'SUPERUSER_CD';")</f>
        <v>0</v>
      </c>
    </row>
    <row r="119" spans="1:13">
      <c r="A119" t="s">
        <v>58</v>
      </c>
      <c r="C119" t="s">
        <v>33</v>
      </c>
      <c r="D119" t="s">
        <v>3456</v>
      </c>
      <c r="H119" t="s">
        <v>57</v>
      </c>
      <c r="K119">
        <f t="array" ref="K119">CONCATENATE("update msg_out_fld_config set msg_fld_name = '",A119,"' where cd = '7173D9F11B7883653B492A987CFCEC46';")</f>
        <v>0</v>
      </c>
      <c r="M119">
        <f t="array" ref="M119">CONCATENATE("update msg_out_fld set description = '",D119,"' where tab_name = 'MITARBEITER_GRUPPE' and fld_name = 'MUTDATUM';")</f>
        <v>0</v>
      </c>
    </row>
    <row r="120" spans="1:13">
      <c r="A120" t="s">
        <v>61</v>
      </c>
      <c r="C120" t="s">
        <v>37</v>
      </c>
      <c r="D120" t="s">
        <v>3457</v>
      </c>
      <c r="E120" t="s">
        <v>39</v>
      </c>
      <c r="F120" t="s">
        <v>23</v>
      </c>
      <c r="H120" t="s">
        <v>60</v>
      </c>
      <c r="K120">
        <f t="array" ref="K120">CONCATENATE("update msg_out_fld_config set msg_fld_name = '",A120,"' where cd = '1B12647D8D7DB06FAB6FD3AC573D062F';")</f>
        <v>0</v>
      </c>
      <c r="M120">
        <f t="array" ref="M120">CONCATENATE("update msg_out_fld set description = '",D120,"' where tab_name = 'MITARBEITER_GRUPPE' and fld_name = 'MUTUSER';")</f>
        <v>0</v>
      </c>
    </row>
    <row r="121" spans="1:13">
      <c r="A121" t="s">
        <v>167</v>
      </c>
      <c r="C121" t="s">
        <v>37</v>
      </c>
      <c r="D121" t="s">
        <v>3128</v>
      </c>
      <c r="H121" t="s">
        <v>3458</v>
      </c>
      <c r="K121">
        <f t="array" ref="K121">CONCATENATE("update msg_out_fld_config set msg_fld_name = '",A121,"' where cd = '9B255E1FC8B90150C189E0741CD4EF79';")</f>
        <v>0</v>
      </c>
      <c r="M121">
        <f t="array" ref="M121">CONCATENATE("update msg_out_fld set description = '",D121,"' where tab_name = 'MITARBEITER_GRUPPE' and fld_name = 'GRUPPE_NAME';")</f>
        <v>0</v>
      </c>
    </row>
    <row r="122" spans="1:13">
      <c r="A122" t="s">
        <v>1511</v>
      </c>
      <c r="C122" t="s">
        <v>68</v>
      </c>
      <c r="D122" t="s">
        <v>1512</v>
      </c>
      <c r="E122" t="s">
        <v>1513</v>
      </c>
      <c r="F122" t="s">
        <v>23</v>
      </c>
      <c r="H122" t="s">
        <v>1510</v>
      </c>
      <c r="K122">
        <f t="array" ref="K122">CONCATENATE("update msg_out_fld_config set msg_fld_name = '",A122,"' where cd = '15B5696AAA7B405E517C415BE6AD2554';")</f>
        <v>0</v>
      </c>
      <c r="M122">
        <f t="array" ref="M122">CONCATENATE("update msg_out_fld set description = '",D122,"' where tab_name = 'MITARBEITER_GRUPPE' and fld_name = 'VERTRAULICHKEIT_CD';")</f>
        <v>0</v>
      </c>
    </row>
    <row r="123" spans="1:13">
      <c r="A123" t="s">
        <v>3147</v>
      </c>
      <c r="C123" t="s">
        <v>90</v>
      </c>
      <c r="D123" t="s">
        <v>3148</v>
      </c>
      <c r="E123" t="s">
        <v>3149</v>
      </c>
      <c r="F123" t="s">
        <v>29</v>
      </c>
      <c r="G123" t="s">
        <v>742</v>
      </c>
      <c r="H123" t="s">
        <v>3146</v>
      </c>
      <c r="K123">
        <f t="array" ref="K123">CONCATENATE("update msg_out_fld_config set msg_fld_name = '",A123,"' where cd = 'FCB8CE00290E366EB9947428A3A7D06C';")</f>
        <v>0</v>
      </c>
      <c r="M123">
        <f t="array" ref="M123">CONCATENATE("update msg_out_fld set description = '",D123,"' where tab_name = 'MITARBEITER_GRUPPE' and fld_name = 'APPROVAL_CD';")</f>
        <v>0</v>
      </c>
    </row>
    <row r="124" spans="1:13">
      <c r="A124" t="s">
        <v>193</v>
      </c>
      <c r="C124" t="s">
        <v>26</v>
      </c>
      <c r="D124" t="s">
        <v>194</v>
      </c>
      <c r="E124" t="s">
        <v>195</v>
      </c>
      <c r="F124" t="s">
        <v>29</v>
      </c>
      <c r="G124" t="s">
        <v>196</v>
      </c>
      <c r="H124" t="s">
        <v>192</v>
      </c>
      <c r="K124">
        <f t="array" ref="K124">CONCATENATE("update msg_out_fld_config set msg_fld_name = '",A124,"' where cd = '27E6A5D3C810993B8C2336948ABE89E4';")</f>
        <v>0</v>
      </c>
      <c r="M124">
        <f t="array" ref="M124">CONCATENATE("update msg_out_fld set description = '",D124,"' where tab_name = 'MITARBEITER_GRUPPE' and fld_name = 'VALID_CD';")</f>
        <v>0</v>
      </c>
    </row>
    <row r="125" spans="1:13">
      <c r="A125" t="s">
        <v>201</v>
      </c>
      <c r="C125" t="s">
        <v>90</v>
      </c>
      <c r="D125" t="s">
        <v>202</v>
      </c>
      <c r="H125" t="s">
        <v>200</v>
      </c>
      <c r="K125">
        <f t="array" ref="K125">CONCATENATE("update msg_out_fld_config set msg_fld_name = '",A125,"' where cd = '08AD5B8369024CD03D81319B135F469D';")</f>
        <v>0</v>
      </c>
      <c r="M125">
        <f t="array" ref="M125">CONCATENATE("update msg_out_fld set description = '",D125,"' where tab_name = 'MITARBEITER_GRUPPE' and fld_name = 'VALIDID';")</f>
        <v>0</v>
      </c>
    </row>
    <row r="126" spans="1:13">
      <c r="A126" t="s">
        <v>207</v>
      </c>
      <c r="C126" t="s">
        <v>37</v>
      </c>
      <c r="D126" t="s">
        <v>208</v>
      </c>
      <c r="E126" t="s">
        <v>39</v>
      </c>
      <c r="F126" t="s">
        <v>23</v>
      </c>
      <c r="H126" t="s">
        <v>206</v>
      </c>
      <c r="K126">
        <f t="array" ref="K126">CONCATENATE("update msg_out_fld_config set msg_fld_name = '",A126,"' where cd = 'C83A6A498C01D5CBD0E34D441555472C';")</f>
        <v>0</v>
      </c>
      <c r="M126">
        <f t="array" ref="M126">CONCATENATE("update msg_out_fld set description = '",D126,"' where tab_name = 'MITARBEITER_GRUPPE' and fld_name = 'VALIDUSER';")</f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16.28515625" customWidth="1"/>
    <col min="2" max="2" width="4.28515625" customWidth="1"/>
    <col min="3" max="3" width="16.28515625" customWidth="1"/>
    <col min="4" max="4" width="24.7109375" customWidth="1"/>
    <col min="5" max="5" width="34.28515625" customWidth="1"/>
    <col min="6" max="6" width="10.28515625" customWidth="1"/>
    <col min="7" max="7" width="29.5703125" customWidth="1"/>
    <col min="8" max="8" width="13.8554687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61.57031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3459</v>
      </c>
    </row>
    <row r="2" spans="1:13">
      <c r="A2" s="1" t="s">
        <v>3460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89</v>
      </c>
      <c r="B6" t="s">
        <v>15</v>
      </c>
      <c r="C6" t="s">
        <v>68</v>
      </c>
      <c r="D6" t="s">
        <v>3461</v>
      </c>
      <c r="H6" t="s">
        <v>3142</v>
      </c>
      <c r="K6">
        <f t="array" ref="K6">CONCATENATE("update msg_out_fld_config set msg_fld_name = '",A6,"' where cd = '43D40CDB5493AAD896A6419B5C023794';")</f>
        <v>0</v>
      </c>
      <c r="M6">
        <f t="array" ref="M6">CONCATENATE("update msg_out_fld set description = '",D6,"' where tab_name = 'MITARBEITER_SUBGROUP' and fld_name = 'SUBGROUP_ID';")</f>
        <v>0</v>
      </c>
    </row>
    <row r="7" spans="1:13">
      <c r="A7" t="s">
        <v>93</v>
      </c>
      <c r="C7" t="s">
        <v>90</v>
      </c>
      <c r="D7" t="s">
        <v>94</v>
      </c>
      <c r="H7" t="s">
        <v>92</v>
      </c>
      <c r="K7">
        <f t="array" ref="K7">CONCATENATE("update msg_out_fld_config set msg_fld_name = '",A7,"' where cd = 'D220E008562E0846F81BD43B9CC81374';")</f>
        <v>0</v>
      </c>
      <c r="M7">
        <f t="array" ref="M7">CONCATENATE("update msg_out_fld set description = '",D7,"' where tab_name = 'MITARBEITER_SUBGROUP' and fld_name = 'AKTID';")</f>
        <v>0</v>
      </c>
    </row>
    <row r="8" spans="1:13">
      <c r="A8" t="s">
        <v>25</v>
      </c>
      <c r="C8" t="s">
        <v>26</v>
      </c>
      <c r="D8" t="s">
        <v>3462</v>
      </c>
      <c r="E8" t="s">
        <v>28</v>
      </c>
      <c r="F8" t="s">
        <v>29</v>
      </c>
      <c r="G8" t="s">
        <v>30</v>
      </c>
      <c r="H8" t="s">
        <v>24</v>
      </c>
      <c r="K8">
        <f t="array" ref="K8">CONCATENATE("update msg_out_fld_config set msg_fld_name = '",A8,"' where cd = '0140E0B1FB1252CDF3CAF0520D929387';")</f>
        <v>0</v>
      </c>
      <c r="M8">
        <f t="array" ref="M8">CONCATENATE("update msg_out_fld set description = '",D8,"' where tab_name = 'MITARBEITER_SUBGROUP' and fld_name = 'LOESCH_CD';")</f>
        <v>0</v>
      </c>
    </row>
    <row r="9" spans="1:13">
      <c r="A9" t="s">
        <v>32</v>
      </c>
      <c r="C9" t="s">
        <v>33</v>
      </c>
      <c r="D9" t="s">
        <v>3463</v>
      </c>
      <c r="H9" t="s">
        <v>31</v>
      </c>
      <c r="K9">
        <f t="array" ref="K9">CONCATENATE("update msg_out_fld_config set msg_fld_name = '",A9,"' where cd = 'D2F2157C221B3044705ABC47A41C9BD1';")</f>
        <v>0</v>
      </c>
      <c r="M9">
        <f t="array" ref="M9">CONCATENATE("update msg_out_fld set description = '",D9,"' where tab_name = 'MITARBEITER_SUBGROUP' and fld_name = 'LOESCHDATUM';")</f>
        <v>0</v>
      </c>
    </row>
    <row r="10" spans="1:13">
      <c r="A10" t="s">
        <v>36</v>
      </c>
      <c r="C10" t="s">
        <v>37</v>
      </c>
      <c r="D10" t="s">
        <v>3464</v>
      </c>
      <c r="E10" t="s">
        <v>39</v>
      </c>
      <c r="F10" t="s">
        <v>23</v>
      </c>
      <c r="H10" t="s">
        <v>35</v>
      </c>
      <c r="K10">
        <f t="array" ref="K10">CONCATENATE("update msg_out_fld_config set msg_fld_name = '",A10,"' where cd = 'C97FB71D8F02BE708C66343BD2886848';")</f>
        <v>0</v>
      </c>
      <c r="M10">
        <f t="array" ref="M10">CONCATENATE("update msg_out_fld set description = '",D10,"' where tab_name = 'MITARBEITER_SUBGROUP' and fld_name = 'LOESCHUSER';")</f>
        <v>0</v>
      </c>
    </row>
    <row r="11" spans="1:13">
      <c r="A11" t="s">
        <v>45</v>
      </c>
      <c r="C11" t="s">
        <v>33</v>
      </c>
      <c r="D11" t="s">
        <v>3465</v>
      </c>
      <c r="H11" t="s">
        <v>44</v>
      </c>
      <c r="K11">
        <f t="array" ref="K11">CONCATENATE("update msg_out_fld_config set msg_fld_name = '",A11,"' where cd = 'CDB61DE708A7C46CBF0C1C0280F6CF52';")</f>
        <v>0</v>
      </c>
      <c r="M11">
        <f t="array" ref="M11">CONCATENATE("update msg_out_fld set description = '",D11,"' where tab_name = 'MITARBEITER_SUBGROUP' and fld_name = 'CRTDATUM';")</f>
        <v>0</v>
      </c>
    </row>
    <row r="12" spans="1:13">
      <c r="A12" t="s">
        <v>48</v>
      </c>
      <c r="C12" t="s">
        <v>37</v>
      </c>
      <c r="D12" t="s">
        <v>3466</v>
      </c>
      <c r="E12" t="s">
        <v>39</v>
      </c>
      <c r="F12" t="s">
        <v>23</v>
      </c>
      <c r="H12" t="s">
        <v>47</v>
      </c>
      <c r="K12">
        <f t="array" ref="K12">CONCATENATE("update msg_out_fld_config set msg_fld_name = '",A12,"' where cd = '27ACDBBBE7A36BFF4C2C10FEE350938F';")</f>
        <v>0</v>
      </c>
      <c r="M12">
        <f t="array" ref="M12">CONCATENATE("update msg_out_fld set description = '",D12,"' where tab_name = 'MITARBEITER_SUBGROUP' and fld_name = 'CRTUSER';")</f>
        <v>0</v>
      </c>
    </row>
    <row r="13" spans="1:13">
      <c r="A13" t="s">
        <v>55</v>
      </c>
      <c r="C13" t="s">
        <v>37</v>
      </c>
      <c r="D13" t="s">
        <v>3144</v>
      </c>
      <c r="H13" t="s">
        <v>229</v>
      </c>
      <c r="K13">
        <f t="array" ref="K13">CONCATENATE("update msg_out_fld_config set msg_fld_name = '",A13,"' where cd = '829124A49E228A85C5AABFF9719D93DA';")</f>
        <v>0</v>
      </c>
      <c r="M13">
        <f t="array" ref="M13">CONCATENATE("update msg_out_fld set description = '",D13,"' where tab_name = 'MITARBEITER_SUBGROUP' and fld_name = 'DESCRIPTION';")</f>
        <v>0</v>
      </c>
    </row>
    <row r="14" spans="1:13">
      <c r="A14" t="s">
        <v>3127</v>
      </c>
      <c r="C14" t="s">
        <v>68</v>
      </c>
      <c r="D14" t="s">
        <v>3467</v>
      </c>
      <c r="E14" t="s">
        <v>3129</v>
      </c>
      <c r="F14" t="s">
        <v>23</v>
      </c>
      <c r="H14" t="s">
        <v>3126</v>
      </c>
      <c r="K14">
        <f t="array" ref="K14">CONCATENATE("update msg_out_fld_config set msg_fld_name = '",A14,"' where cd = '7961536C9214ABCC02FF945B9E75DC5F';")</f>
        <v>0</v>
      </c>
      <c r="M14">
        <f t="array" ref="M14">CONCATENATE("update msg_out_fld set description = '",D14,"' where tab_name = 'MITARBEITER_SUBGROUP' and fld_name = 'GRUPPEID';")</f>
        <v>0</v>
      </c>
    </row>
    <row r="15" spans="1:13">
      <c r="A15" t="s">
        <v>1475</v>
      </c>
      <c r="C15" t="s">
        <v>26</v>
      </c>
      <c r="D15" t="s">
        <v>3469</v>
      </c>
      <c r="E15" t="s">
        <v>28</v>
      </c>
      <c r="F15" t="s">
        <v>29</v>
      </c>
      <c r="G15" t="s">
        <v>30</v>
      </c>
      <c r="H15" t="s">
        <v>3468</v>
      </c>
      <c r="K15">
        <f t="array" ref="K15">CONCATENATE("update msg_out_fld_config set msg_fld_name = '",A15,"' where cd = '1CBAD1DD5B5C8CF463248F54D808AFF1';")</f>
        <v>0</v>
      </c>
      <c r="M15">
        <f t="array" ref="M15">CONCATENATE("update msg_out_fld set description = '",D15,"' where tab_name = 'MITARBEITER_SUBGROUP' and fld_name = 'IS_DEFAULT';")</f>
        <v>0</v>
      </c>
    </row>
    <row r="16" spans="1:13">
      <c r="A16" t="s">
        <v>58</v>
      </c>
      <c r="C16" t="s">
        <v>33</v>
      </c>
      <c r="D16" t="s">
        <v>3470</v>
      </c>
      <c r="H16" t="s">
        <v>57</v>
      </c>
      <c r="K16">
        <f t="array" ref="K16">CONCATENATE("update msg_out_fld_config set msg_fld_name = '",A16,"' where cd = 'B17B0E5B5888991A8DD92D3006A87E82';")</f>
        <v>0</v>
      </c>
      <c r="M16">
        <f t="array" ref="M16">CONCATENATE("update msg_out_fld set description = '",D16,"' where tab_name = 'MITARBEITER_SUBGROUP' and fld_name = 'MUTDATUM';")</f>
        <v>0</v>
      </c>
    </row>
    <row r="17" spans="1:13">
      <c r="A17" t="s">
        <v>61</v>
      </c>
      <c r="C17" t="s">
        <v>37</v>
      </c>
      <c r="D17" t="s">
        <v>3471</v>
      </c>
      <c r="E17" t="s">
        <v>39</v>
      </c>
      <c r="F17" t="s">
        <v>23</v>
      </c>
      <c r="H17" t="s">
        <v>60</v>
      </c>
      <c r="K17">
        <f t="array" ref="K17">CONCATENATE("update msg_out_fld_config set msg_fld_name = '",A17,"' where cd = '1E69E4C2B9B325951B7EEBA74DBB930A';")</f>
        <v>0</v>
      </c>
      <c r="M17">
        <f t="array" ref="M17">CONCATENATE("update msg_out_fld set description = '",D17,"' where tab_name = 'MITARBEITER_SUBGROUP' and fld_name = 'MUTUSER';")</f>
        <v>0</v>
      </c>
    </row>
    <row r="18" spans="1:13">
      <c r="A18" t="s">
        <v>193</v>
      </c>
      <c r="C18" t="s">
        <v>26</v>
      </c>
      <c r="D18" t="s">
        <v>194</v>
      </c>
      <c r="E18" t="s">
        <v>195</v>
      </c>
      <c r="F18" t="s">
        <v>29</v>
      </c>
      <c r="G18" t="s">
        <v>196</v>
      </c>
      <c r="H18" t="s">
        <v>192</v>
      </c>
      <c r="K18">
        <f t="array" ref="K18">CONCATENATE("update msg_out_fld_config set msg_fld_name = '",A18,"' where cd = '040FDE1527219F7450C6FB9F71429080';")</f>
        <v>0</v>
      </c>
      <c r="M18">
        <f t="array" ref="M18">CONCATENATE("update msg_out_fld set description = '",D18,"' where tab_name = 'MITARBEITER_SUBGROUP' and fld_name = 'VALID_CD';")</f>
        <v>0</v>
      </c>
    </row>
    <row r="19" spans="1:13">
      <c r="A19" t="s">
        <v>201</v>
      </c>
      <c r="C19" t="s">
        <v>90</v>
      </c>
      <c r="D19" t="s">
        <v>202</v>
      </c>
      <c r="H19" t="s">
        <v>200</v>
      </c>
      <c r="K19">
        <f t="array" ref="K19">CONCATENATE("update msg_out_fld_config set msg_fld_name = '",A19,"' where cd = '535ED84CAD3E71B7650F602AA8D4FD4F';")</f>
        <v>0</v>
      </c>
      <c r="M19">
        <f t="array" ref="M19">CONCATENATE("update msg_out_fld set description = '",D19,"' where tab_name = 'MITARBEITER_SUBGROUP' and fld_name = 'VALIDID';")</f>
        <v>0</v>
      </c>
    </row>
    <row r="20" spans="1:13">
      <c r="A20" t="s">
        <v>207</v>
      </c>
      <c r="C20" t="s">
        <v>37</v>
      </c>
      <c r="D20" t="s">
        <v>208</v>
      </c>
      <c r="E20" t="s">
        <v>39</v>
      </c>
      <c r="F20" t="s">
        <v>23</v>
      </c>
      <c r="H20" t="s">
        <v>206</v>
      </c>
      <c r="K20">
        <f t="array" ref="K20">CONCATENATE("update msg_out_fld_config set msg_fld_name = '",A20,"' where cd = 'D65A4B570A108FFDBD6AD5E2F0D41363';")</f>
        <v>0</v>
      </c>
      <c r="M20">
        <f t="array" ref="M20">CONCATENATE("update msg_out_fld set description = '",D20,"' where tab_name = 'MITARBEITER_SUBGROUP' and fld_name = 'VALIDUSER';")</f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4.28515625" customWidth="1"/>
    <col min="3" max="3" width="12.7109375" customWidth="1"/>
    <col min="4" max="4" width="13.85546875" customWidth="1"/>
    <col min="5" max="5" width="34.28515625" customWidth="1"/>
    <col min="6" max="6" width="10.28515625" customWidth="1"/>
    <col min="7" max="7" width="15.140625" customWidth="1"/>
    <col min="8" max="8" width="15.140625" customWidth="1"/>
    <col min="9" max="9" width="1.85546875" customWidth="1"/>
    <col min="10" max="10" width="1.85546875" customWidth="1"/>
    <col min="11" max="11" width="143.5703125" customWidth="1"/>
    <col min="12" max="12" width="1.85546875" customWidth="1"/>
    <col min="13" max="13" width="148.28515625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3472</v>
      </c>
    </row>
    <row r="2" spans="1:13">
      <c r="A2" s="1" t="s">
        <v>3473</v>
      </c>
    </row>
    <row r="3" spans="1:13">
      <c r="A3" s="1" t="s">
        <v>2</v>
      </c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3</v>
      </c>
      <c r="K5" s="1" t="s">
        <v>11</v>
      </c>
      <c r="M5" s="1" t="s">
        <v>12</v>
      </c>
    </row>
    <row r="6" spans="1:13">
      <c r="A6" t="s">
        <v>14</v>
      </c>
      <c r="B6" t="s">
        <v>15</v>
      </c>
      <c r="C6" t="s">
        <v>20</v>
      </c>
      <c r="D6" t="s">
        <v>17</v>
      </c>
      <c r="H6" t="s">
        <v>2040</v>
      </c>
      <c r="K6">
        <f t="array" ref="K6">CONCATENATE("update msg_out_fld_config set msg_fld_name = '",A6,"' where cd = '525258C227D16FBD9E08A7E2F7459D4B';")</f>
        <v>0</v>
      </c>
      <c r="M6">
        <f t="array" ref="M6">CONCATENATE("update msg_out_fld set description = '",D6,"' where tab_name = 'USWBASKET' and fld_name = 'USWBASKET_CD';")</f>
        <v>0</v>
      </c>
    </row>
    <row r="7" spans="1:13">
      <c r="A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K7">
        <f t="array" ref="K7">CONCATENATE("update msg_out_fld_config set msg_fld_name = '",A7,"' where cd = '2DB7D681CF694DF7FCF387AEE22A7093';")</f>
        <v>0</v>
      </c>
      <c r="M7">
        <f t="array" ref="M7">CONCATENATE("update msg_out_fld set description = '",D7,"' where tab_name = 'USWBASKET' and fld_name = 'LOESCH_CD';")</f>
        <v>0</v>
      </c>
    </row>
    <row r="8" spans="1:13">
      <c r="A8" t="s">
        <v>32</v>
      </c>
      <c r="C8" t="s">
        <v>33</v>
      </c>
      <c r="D8" t="s">
        <v>34</v>
      </c>
      <c r="H8" t="s">
        <v>31</v>
      </c>
      <c r="K8">
        <f t="array" ref="K8">CONCATENATE("update msg_out_fld_config set msg_fld_name = '",A8,"' where cd = 'A1BA2BA947EBF1DC9721BB16C87DA554';")</f>
        <v>0</v>
      </c>
      <c r="M8">
        <f t="array" ref="M8">CONCATENATE("update msg_out_fld set description = '",D8,"' where tab_name = 'USWBASKET' and fld_name = 'LOESCHDATUM';")</f>
        <v>0</v>
      </c>
    </row>
    <row r="9" spans="1:13">
      <c r="A9" t="s">
        <v>36</v>
      </c>
      <c r="C9" t="s">
        <v>37</v>
      </c>
      <c r="D9" t="s">
        <v>38</v>
      </c>
      <c r="E9" t="s">
        <v>39</v>
      </c>
      <c r="F9" t="s">
        <v>23</v>
      </c>
      <c r="H9" t="s">
        <v>35</v>
      </c>
      <c r="K9">
        <f t="array" ref="K9">CONCATENATE("update msg_out_fld_config set msg_fld_name = '",A9,"' where cd = '3AFAD6B37A21E0CD987BCC8400984482';")</f>
        <v>0</v>
      </c>
      <c r="M9">
        <f t="array" ref="M9">CONCATENATE("update msg_out_fld set description = '",D9,"' where tab_name = 'USWBASKET' and fld_name = 'LOESCHUSER';")</f>
        <v>0</v>
      </c>
    </row>
    <row r="10" spans="1:13">
      <c r="A10" t="s">
        <v>45</v>
      </c>
      <c r="C10" t="s">
        <v>33</v>
      </c>
      <c r="D10" t="s">
        <v>46</v>
      </c>
      <c r="H10" t="s">
        <v>44</v>
      </c>
      <c r="K10">
        <f t="array" ref="K10">CONCATENATE("update msg_out_fld_config set msg_fld_name = '",A10,"' where cd = '70FEBE459BC75C5E09D44EE7F684EE62';")</f>
        <v>0</v>
      </c>
      <c r="M10">
        <f t="array" ref="M10">CONCATENATE("update msg_out_fld set description = '",D10,"' where tab_name = 'USWBASKET' and fld_name = 'CRTDATUM';")</f>
        <v>0</v>
      </c>
    </row>
    <row r="11" spans="1:13">
      <c r="A11" t="s">
        <v>48</v>
      </c>
      <c r="C11" t="s">
        <v>37</v>
      </c>
      <c r="D11" t="s">
        <v>49</v>
      </c>
      <c r="E11" t="s">
        <v>39</v>
      </c>
      <c r="F11" t="s">
        <v>23</v>
      </c>
      <c r="H11" t="s">
        <v>47</v>
      </c>
      <c r="K11">
        <f t="array" ref="K11">CONCATENATE("update msg_out_fld_config set msg_fld_name = '",A11,"' where cd = '4EBD84F592562F07A820D08947C5D84D';")</f>
        <v>0</v>
      </c>
      <c r="M11">
        <f t="array" ref="M11">CONCATENATE("update msg_out_fld set description = '",D11,"' where tab_name = 'USWBASKET' and fld_name = 'CRTUSER';")</f>
        <v>0</v>
      </c>
    </row>
    <row r="12" spans="1:13">
      <c r="A12" t="s">
        <v>55</v>
      </c>
      <c r="C12" t="s">
        <v>37</v>
      </c>
      <c r="D12" t="s">
        <v>2042</v>
      </c>
      <c r="H12" t="s">
        <v>3474</v>
      </c>
      <c r="K12">
        <f t="array" ref="K12">CONCATENATE("update msg_out_fld_config set msg_fld_name = '",A12,"' where cd = '7969AE3006C8CECD2C72BAADF6EFA713';")</f>
        <v>0</v>
      </c>
      <c r="M12">
        <f t="array" ref="M12">CONCATENATE("update msg_out_fld set description = '",D12,"' where tab_name = 'USWBASKET' and fld_name = 'USWBASKET';")</f>
        <v>0</v>
      </c>
    </row>
    <row r="13" spans="1:13">
      <c r="A13" t="s">
        <v>58</v>
      </c>
      <c r="C13" t="s">
        <v>33</v>
      </c>
      <c r="D13" t="s">
        <v>59</v>
      </c>
      <c r="H13" t="s">
        <v>57</v>
      </c>
      <c r="K13">
        <f t="array" ref="K13">CONCATENATE("update msg_out_fld_config set msg_fld_name = '",A13,"' where cd = '4C42A86510FB6912220CEF6BA2A44364';")</f>
        <v>0</v>
      </c>
      <c r="M13">
        <f t="array" ref="M13">CONCATENATE("update msg_out_fld set description = '",D13,"' where tab_name = 'USWBASKET' and fld_name = 'MUTDATUM';")</f>
        <v>0</v>
      </c>
    </row>
    <row r="14" spans="1:13">
      <c r="A14" t="s">
        <v>61</v>
      </c>
      <c r="C14" t="s">
        <v>37</v>
      </c>
      <c r="D14" t="s">
        <v>62</v>
      </c>
      <c r="E14" t="s">
        <v>39</v>
      </c>
      <c r="F14" t="s">
        <v>23</v>
      </c>
      <c r="H14" t="s">
        <v>60</v>
      </c>
      <c r="K14">
        <f t="array" ref="K14">CONCATENATE("update msg_out_fld_config set msg_fld_name = '",A14,"' where cd = 'E120A92C7335BD716D4C5EB5B834B5EA';")</f>
        <v>0</v>
      </c>
      <c r="M14">
        <f t="array" ref="M14">CONCATENATE("update msg_out_fld set description = '",D14,"' where tab_name = 'USWBASKET' and fld_name = 'MUTUSER';")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129</vt:i4>
      </vt:variant>
    </vt:vector>
  </HeadingPairs>
  <TitlesOfParts>
    <vt:vector size="129" baseType="lpstr">
      <vt:lpstr>acc_manager</vt:lpstr>
      <vt:lpstr>acc_open_type</vt:lpstr>
      <vt:lpstr>address</vt:lpstr>
      <vt:lpstr>address_root</vt:lpstr>
      <vt:lpstr>address_type</vt:lpstr>
      <vt:lpstr>aeoi_asset_value_tier</vt:lpstr>
      <vt:lpstr>aeoi_classif</vt:lpstr>
      <vt:lpstr>aeoi_exemption</vt:lpstr>
      <vt:lpstr>aeoi_sub_classif</vt:lpstr>
      <vt:lpstr>aeoi_sub_exemption</vt:lpstr>
      <vt:lpstr>agent_classif</vt:lpstr>
      <vt:lpstr>approv_assess_step1</vt:lpstr>
      <vt:lpstr>approv_assess_step2</vt:lpstr>
      <vt:lpstr>approv_assess_step3</vt:lpstr>
      <vt:lpstr>approv_assess_step4</vt:lpstr>
      <vt:lpstr>approv_assess_step5</vt:lpstr>
      <vt:lpstr>apsys_block_reason</vt:lpstr>
      <vt:lpstr>apsys_category</vt:lpstr>
      <vt:lpstr>apsys_customer_class1</vt:lpstr>
      <vt:lpstr>apsys_customer_class2</vt:lpstr>
      <vt:lpstr>apsys_sector_model</vt:lpstr>
      <vt:lpstr>archive</vt:lpstr>
      <vt:lpstr>asset_category</vt:lpstr>
      <vt:lpstr>asset_origin</vt:lpstr>
      <vt:lpstr>authorization_type</vt:lpstr>
      <vt:lpstr>branch</vt:lpstr>
      <vt:lpstr>child_count</vt:lpstr>
      <vt:lpstr>client</vt:lpstr>
      <vt:lpstr>client_category_dflt_code</vt:lpstr>
      <vt:lpstr>client_document</vt:lpstr>
      <vt:lpstr>client_document_assignment</vt:lpstr>
      <vt:lpstr>client_document_business_status</vt:lpstr>
      <vt:lpstr>client_keyword</vt:lpstr>
      <vt:lpstr>client_keyword_group</vt:lpstr>
      <vt:lpstr>client_type_apsys</vt:lpstr>
      <vt:lpstr>client_type_fitax</vt:lpstr>
      <vt:lpstr>communication</vt:lpstr>
      <vt:lpstr>communication_type</vt:lpstr>
      <vt:lpstr>contact_type</vt:lpstr>
      <vt:lpstr>contract_ebanking</vt:lpstr>
      <vt:lpstr>contract_party</vt:lpstr>
      <vt:lpstr>controlling_person_type</vt:lpstr>
      <vt:lpstr>country</vt:lpstr>
      <vt:lpstr>country_iga_status</vt:lpstr>
      <vt:lpstr>country_sub_division</vt:lpstr>
      <vt:lpstr>currency</vt:lpstr>
      <vt:lpstr>department</vt:lpstr>
      <vt:lpstr>deposit_asset</vt:lpstr>
      <vt:lpstr>deposit_asset_type</vt:lpstr>
      <vt:lpstr>destination</vt:lpstr>
      <vt:lpstr>document_category</vt:lpstr>
      <vt:lpstr>document_group</vt:lpstr>
      <vt:lpstr>document_sub_type</vt:lpstr>
      <vt:lpstr>document_type</vt:lpstr>
      <vt:lpstr>document_version</vt:lpstr>
      <vt:lpstr>econ_sector_tblecb_apsys</vt:lpstr>
      <vt:lpstr>econ_sector_tblecc_apsys</vt:lpstr>
      <vt:lpstr>econ_sector_tblecm_apsys</vt:lpstr>
      <vt:lpstr>econ_sector_tbleco_apsys</vt:lpstr>
      <vt:lpstr>econ_sector_tblecs_apsys</vt:lpstr>
      <vt:lpstr>eu_taxstatus</vt:lpstr>
      <vt:lpstr>extl_liab_type</vt:lpstr>
      <vt:lpstr>fatca_basket</vt:lpstr>
      <vt:lpstr>fatca_classif</vt:lpstr>
      <vt:lpstr>fatca_non_us_partner_type</vt:lpstr>
      <vt:lpstr>fatca_partner_type</vt:lpstr>
      <vt:lpstr>fatca_status</vt:lpstr>
      <vt:lpstr>fatca_status_reason</vt:lpstr>
      <vt:lpstr>format</vt:lpstr>
      <vt:lpstr>gender</vt:lpstr>
      <vt:lpstr>gen_period</vt:lpstr>
      <vt:lpstr>income</vt:lpstr>
      <vt:lpstr>individual</vt:lpstr>
      <vt:lpstr>individual_general_classif</vt:lpstr>
      <vt:lpstr>industr_sector</vt:lpstr>
      <vt:lpstr>invest_goal</vt:lpstr>
      <vt:lpstr>irs_code</vt:lpstr>
      <vt:lpstr>irs_rcpt_chap3</vt:lpstr>
      <vt:lpstr>irs_rcpt_chap4</vt:lpstr>
      <vt:lpstr>label_format</vt:lpstr>
      <vt:lpstr>language</vt:lpstr>
      <vt:lpstr>letter_salutation</vt:lpstr>
      <vt:lpstr>mailing_attachment</vt:lpstr>
      <vt:lpstr>mailing_business_unit1</vt:lpstr>
      <vt:lpstr>mailing_destination</vt:lpstr>
      <vt:lpstr>mailing_freq</vt:lpstr>
      <vt:lpstr>mailing_instruction</vt:lpstr>
      <vt:lpstr>mailing_package_rule</vt:lpstr>
      <vt:lpstr>mailing_printer</vt:lpstr>
      <vt:lpstr>mailing_prio</vt:lpstr>
      <vt:lpstr>mailing_tariff_type</vt:lpstr>
      <vt:lpstr>martial_status</vt:lpstr>
      <vt:lpstr>mgmt_type</vt:lpstr>
      <vt:lpstr>noga_code</vt:lpstr>
      <vt:lpstr>output_sub_type</vt:lpstr>
      <vt:lpstr>output_type</vt:lpstr>
      <vt:lpstr>ownership_structure_apsys</vt:lpstr>
      <vt:lpstr>policy</vt:lpstr>
      <vt:lpstr>portfolio</vt:lpstr>
      <vt:lpstr>portfolio_admin_mode</vt:lpstr>
      <vt:lpstr>portfolio_close_reason</vt:lpstr>
      <vt:lpstr>portfolio_type_apsys</vt:lpstr>
      <vt:lpstr>potential</vt:lpstr>
      <vt:lpstr>printer_mapping</vt:lpstr>
      <vt:lpstr>profnl_position</vt:lpstr>
      <vt:lpstr>profnl_status</vt:lpstr>
      <vt:lpstr>qi_classif</vt:lpstr>
      <vt:lpstr>real_estate</vt:lpstr>
      <vt:lpstr>relationship</vt:lpstr>
      <vt:lpstr>relationship_type</vt:lpstr>
      <vt:lpstr>relationship_type_aml</vt:lpstr>
      <vt:lpstr>reprod_type</vt:lpstr>
      <vt:lpstr>risk_category</vt:lpstr>
      <vt:lpstr>risk_region</vt:lpstr>
      <vt:lpstr>salutation</vt:lpstr>
      <vt:lpstr>security_lvl</vt:lpstr>
      <vt:lpstr>self_cert_type</vt:lpstr>
      <vt:lpstr>social_position_cd</vt:lpstr>
      <vt:lpstr>special_instr</vt:lpstr>
      <vt:lpstr>special_request</vt:lpstr>
      <vt:lpstr>tariff_policiy_type</vt:lpstr>
      <vt:lpstr>tariff_policy</vt:lpstr>
      <vt:lpstr>tax_except_reason</vt:lpstr>
      <vt:lpstr>total_assets</vt:lpstr>
      <vt:lpstr>unit</vt:lpstr>
      <vt:lpstr>user</vt:lpstr>
      <vt:lpstr>user_group</vt:lpstr>
      <vt:lpstr>user_sub_group</vt:lpstr>
      <vt:lpstr>usw_basket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2017-01-19T16:25:09Z</dcterms:created>
  <dcterms:modified xsi:type="dcterms:W3CDTF">2017-01-19T16:25:09Z</dcterms:modified>
</cp:coreProperties>
</file>