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45" yWindow="2205" windowWidth="24255" windowHeight="15405" tabRatio="677" activeTab="6"/>
  </bookViews>
  <sheets>
    <sheet name="Serial Numbers" sheetId="16" r:id="rId1"/>
    <sheet name="X1 LOAD CELL" sheetId="10" r:id="rId2"/>
    <sheet name="X2 LOAD CELL" sheetId="11" r:id="rId3"/>
    <sheet name="Y1 LOAD CELL" sheetId="12" r:id="rId4"/>
    <sheet name="Z1 LOAD CELL" sheetId="13" r:id="rId5"/>
    <sheet name="Z2 LOAD CELL" sheetId="14" r:id="rId6"/>
    <sheet name="Z3 LOAD CELL" sheetId="15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3" i="10" l="1"/>
  <c r="D3" i="10"/>
  <c r="D23" i="10" s="1"/>
  <c r="C7" i="10"/>
  <c r="C17" i="10"/>
  <c r="D17" i="10" s="1"/>
  <c r="C19" i="10"/>
  <c r="D19" i="10" s="1"/>
  <c r="B21" i="10"/>
  <c r="B33" i="10" s="1"/>
  <c r="C40" i="10" s="1"/>
  <c r="C21" i="10"/>
  <c r="D21" i="10"/>
  <c r="D33" i="10" s="1"/>
  <c r="E40" i="10" s="1"/>
  <c r="B23" i="10"/>
  <c r="C23" i="10"/>
  <c r="C27" i="10"/>
  <c r="B31" i="10" s="1"/>
  <c r="C33" i="10" s="1"/>
  <c r="D40" i="10" s="1"/>
  <c r="C31" i="10"/>
  <c r="C35" i="10" s="1"/>
  <c r="D42" i="10" s="1"/>
  <c r="C3" i="11"/>
  <c r="C7" i="11"/>
  <c r="C31" i="11" s="1"/>
  <c r="B35" i="11" s="1"/>
  <c r="C42" i="11" s="1"/>
  <c r="C17" i="11"/>
  <c r="D17" i="11"/>
  <c r="C19" i="11"/>
  <c r="D19" i="11"/>
  <c r="B21" i="11"/>
  <c r="C21" i="11"/>
  <c r="B23" i="11"/>
  <c r="C27" i="11"/>
  <c r="B31" i="11"/>
  <c r="B33" i="11" s="1"/>
  <c r="C40" i="11" s="1"/>
  <c r="C3" i="12"/>
  <c r="D3" i="12"/>
  <c r="D23" i="12" s="1"/>
  <c r="C7" i="12"/>
  <c r="C17" i="12"/>
  <c r="D17" i="12" s="1"/>
  <c r="C19" i="12"/>
  <c r="D19" i="12" s="1"/>
  <c r="B21" i="12"/>
  <c r="C21" i="12"/>
  <c r="B23" i="12"/>
  <c r="C23" i="12"/>
  <c r="C27" i="12"/>
  <c r="B31" i="12" s="1"/>
  <c r="C33" i="12" s="1"/>
  <c r="D40" i="12" s="1"/>
  <c r="C3" i="13"/>
  <c r="C7" i="13"/>
  <c r="C31" i="13" s="1"/>
  <c r="C17" i="13"/>
  <c r="D17" i="13"/>
  <c r="C19" i="13"/>
  <c r="D19" i="13"/>
  <c r="B21" i="13"/>
  <c r="B23" i="13"/>
  <c r="C27" i="13"/>
  <c r="C3" i="14"/>
  <c r="D3" i="14"/>
  <c r="D23" i="14" s="1"/>
  <c r="C7" i="14"/>
  <c r="C17" i="14"/>
  <c r="D17" i="14" s="1"/>
  <c r="C19" i="14"/>
  <c r="D19" i="14" s="1"/>
  <c r="B21" i="14"/>
  <c r="B33" i="14" s="1"/>
  <c r="C40" i="14" s="1"/>
  <c r="C21" i="14"/>
  <c r="B23" i="14"/>
  <c r="C23" i="14"/>
  <c r="C33" i="14" s="1"/>
  <c r="D40" i="14" s="1"/>
  <c r="C27" i="14"/>
  <c r="B31" i="14" s="1"/>
  <c r="C31" i="14"/>
  <c r="C3" i="15"/>
  <c r="C7" i="15"/>
  <c r="C31" i="15" s="1"/>
  <c r="B35" i="15" s="1"/>
  <c r="C42" i="15" s="1"/>
  <c r="C17" i="15"/>
  <c r="D17" i="15"/>
  <c r="C19" i="15"/>
  <c r="D19" i="15"/>
  <c r="B21" i="15"/>
  <c r="C21" i="15"/>
  <c r="B23" i="15"/>
  <c r="C27" i="15"/>
  <c r="M46" i="11" l="1"/>
  <c r="M45" i="11"/>
  <c r="B35" i="14"/>
  <c r="C42" i="14" s="1"/>
  <c r="M46" i="14" s="1"/>
  <c r="B31" i="15"/>
  <c r="B33" i="15" s="1"/>
  <c r="C40" i="15" s="1"/>
  <c r="C33" i="15"/>
  <c r="D40" i="15" s="1"/>
  <c r="C35" i="14"/>
  <c r="D42" i="14" s="1"/>
  <c r="D21" i="14"/>
  <c r="D3" i="13"/>
  <c r="C23" i="13"/>
  <c r="B35" i="10"/>
  <c r="C42" i="10" s="1"/>
  <c r="M45" i="10"/>
  <c r="B31" i="13"/>
  <c r="B33" i="13" s="1"/>
  <c r="C40" i="13" s="1"/>
  <c r="C21" i="13"/>
  <c r="C31" i="12"/>
  <c r="D21" i="12"/>
  <c r="C23" i="11"/>
  <c r="D3" i="11"/>
  <c r="C33" i="11"/>
  <c r="D40" i="11" s="1"/>
  <c r="C23" i="15"/>
  <c r="C35" i="15" s="1"/>
  <c r="D42" i="15" s="1"/>
  <c r="D3" i="15"/>
  <c r="B35" i="13"/>
  <c r="C42" i="13" s="1"/>
  <c r="B33" i="12"/>
  <c r="C40" i="12" s="1"/>
  <c r="C35" i="11"/>
  <c r="D42" i="11" s="1"/>
  <c r="M46" i="10"/>
  <c r="D35" i="10"/>
  <c r="E42" i="10" s="1"/>
  <c r="D21" i="11" l="1"/>
  <c r="D23" i="11"/>
  <c r="C33" i="13"/>
  <c r="D40" i="13" s="1"/>
  <c r="C35" i="13"/>
  <c r="D42" i="13" s="1"/>
  <c r="D33" i="12"/>
  <c r="E40" i="12" s="1"/>
  <c r="D35" i="12"/>
  <c r="E42" i="12" s="1"/>
  <c r="M49" i="10"/>
  <c r="M47" i="10"/>
  <c r="M48" i="10"/>
  <c r="D33" i="14"/>
  <c r="E40" i="14" s="1"/>
  <c r="D35" i="14"/>
  <c r="E42" i="14" s="1"/>
  <c r="M45" i="14"/>
  <c r="C35" i="12"/>
  <c r="D42" i="12" s="1"/>
  <c r="B35" i="12"/>
  <c r="C42" i="12" s="1"/>
  <c r="M45" i="12" s="1"/>
  <c r="M48" i="11"/>
  <c r="M47" i="11"/>
  <c r="M49" i="11"/>
  <c r="D21" i="15"/>
  <c r="D23" i="15"/>
  <c r="M46" i="13"/>
  <c r="M45" i="13"/>
  <c r="D21" i="13"/>
  <c r="D23" i="13"/>
  <c r="M46" i="15"/>
  <c r="M45" i="15"/>
  <c r="M47" i="12" l="1"/>
  <c r="M49" i="12"/>
  <c r="M48" i="12"/>
  <c r="M49" i="14"/>
  <c r="M47" i="14"/>
  <c r="M48" i="14"/>
  <c r="M48" i="13"/>
  <c r="M47" i="13"/>
  <c r="M49" i="13"/>
  <c r="D35" i="13"/>
  <c r="E42" i="13" s="1"/>
  <c r="D33" i="13"/>
  <c r="E40" i="13" s="1"/>
  <c r="D35" i="11"/>
  <c r="E42" i="11" s="1"/>
  <c r="D33" i="11"/>
  <c r="E40" i="11" s="1"/>
  <c r="M48" i="15"/>
  <c r="M49" i="15"/>
  <c r="M47" i="15"/>
  <c r="D35" i="15"/>
  <c r="E42" i="15" s="1"/>
  <c r="D33" i="15"/>
  <c r="E40" i="15" s="1"/>
  <c r="M46" i="12"/>
</calcChain>
</file>

<file path=xl/sharedStrings.xml><?xml version="1.0" encoding="utf-8"?>
<sst xmlns="http://schemas.openxmlformats.org/spreadsheetml/2006/main" count="416" uniqueCount="49">
  <si>
    <t>FACTORY CALIBRATION</t>
  </si>
  <si>
    <t>Bridge Resistance</t>
  </si>
  <si>
    <t>Shunt Resistance</t>
  </si>
  <si>
    <t>Excitation</t>
  </si>
  <si>
    <t>KIP</t>
  </si>
  <si>
    <t>N</t>
  </si>
  <si>
    <t>Ω</t>
  </si>
  <si>
    <t>KΩ</t>
  </si>
  <si>
    <t>Load Cell Capacity</t>
  </si>
  <si>
    <t>Rated Output</t>
  </si>
  <si>
    <t>Zero Balance</t>
  </si>
  <si>
    <t>%RO</t>
  </si>
  <si>
    <t>Positive mV/V</t>
  </si>
  <si>
    <t>Negative mV/V</t>
  </si>
  <si>
    <t>Lbs</t>
  </si>
  <si>
    <t>V</t>
  </si>
  <si>
    <t>Factory Slope</t>
  </si>
  <si>
    <t>KIP/mV/V</t>
  </si>
  <si>
    <t>Lbs/mV/V</t>
  </si>
  <si>
    <t>N/mV/V</t>
  </si>
  <si>
    <t>Factory Offset</t>
  </si>
  <si>
    <t>Shunt Load Positive</t>
  </si>
  <si>
    <t>Shunt Load Negative</t>
  </si>
  <si>
    <t>INSTALLED CALIBRATION</t>
  </si>
  <si>
    <t>Shunt Output</t>
  </si>
  <si>
    <t>MEASURED VOLTAGES</t>
  </si>
  <si>
    <t>Shunt Positive</t>
  </si>
  <si>
    <t>Zero Load</t>
  </si>
  <si>
    <t>Shunt Negative</t>
  </si>
  <si>
    <t>LBCB BOX -Load Cell Serial Numbers</t>
  </si>
  <si>
    <t>X1</t>
    <phoneticPr fontId="1" type="noConversion"/>
  </si>
  <si>
    <t>X2</t>
    <phoneticPr fontId="1" type="noConversion"/>
  </si>
  <si>
    <t>Y1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</si>
  <si>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</si>
  <si>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</si>
  <si>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</si>
  <si>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141010A</t>
  </si>
  <si>
    <t>141009A</t>
  </si>
  <si>
    <t>141804A</t>
  </si>
  <si>
    <t>141805A</t>
  </si>
  <si>
    <t>141727A</t>
  </si>
  <si>
    <t>141799A</t>
  </si>
  <si>
    <t>Slope</t>
  </si>
  <si>
    <t>R2</t>
  </si>
  <si>
    <t xml:space="preserve">Voltage @ Max Kip </t>
  </si>
  <si>
    <t>Max Kip Compression</t>
    <phoneticPr fontId="11" type="noConversion"/>
  </si>
  <si>
    <t>Max Kip Tension</t>
    <phoneticPr fontId="11" type="noConversion"/>
  </si>
  <si>
    <t>LBCB 2 (I Think)</t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</si>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</sst>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2" x14ac:knownFonts="1">
    <font>
      <sz val="10"/>
      <name val="Arial"/>
    </font>
    <font>
      <u/>
      <sz val="10"/>
      <color indexed="36"/>
      <name val="Arial"/>
    </font>
    <font>
      <b/>
      <sz val="12"/>
      <name val="Arial"/>
    </font>
    <font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b/>
      <sz val="20"/>
      <color indexed="9"/>
      <name val="Arial"/>
      <family val="2"/>
    </font>
    <font>
      <b/>
      <sz val="12"/>
      <name val="Arial"/>
    </font>
    <font>
      <b/>
      <sz val="14"/>
      <name val="Arial"/>
    </font>
    <font>
      <sz val="16"/>
      <name val="Times New Roman"/>
      <family val="1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wrapText="1"/>
    </xf>
    <xf numFmtId="0" fontId="2" fillId="2" borderId="3" xfId="0" applyFont="1" applyFill="1" applyBorder="1" applyAlignment="1" applyProtection="1"/>
    <xf numFmtId="0" fontId="3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/>
    <xf numFmtId="2" fontId="2" fillId="2" borderId="2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Fill="1" applyBorder="1"/>
    <xf numFmtId="0" fontId="6" fillId="0" borderId="0" xfId="0" applyFont="1"/>
    <xf numFmtId="0" fontId="2" fillId="3" borderId="3" xfId="0" applyFont="1" applyFill="1" applyBorder="1" applyAlignment="1"/>
    <xf numFmtId="2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2" fontId="2" fillId="3" borderId="3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 applyProtection="1">
      <alignment horizontal="center" wrapText="1"/>
    </xf>
    <xf numFmtId="0" fontId="2" fillId="3" borderId="3" xfId="0" applyFont="1" applyFill="1" applyBorder="1" applyAlignment="1" applyProtection="1"/>
    <xf numFmtId="2" fontId="2" fillId="3" borderId="4" xfId="0" applyNumberFormat="1" applyFont="1" applyFill="1" applyBorder="1" applyAlignment="1" applyProtection="1">
      <alignment horizontal="center" wrapText="1"/>
    </xf>
    <xf numFmtId="2" fontId="2" fillId="2" borderId="4" xfId="0" applyNumberFormat="1" applyFont="1" applyFill="1" applyBorder="1" applyAlignment="1" applyProtection="1">
      <alignment horizontal="center" wrapText="1"/>
    </xf>
    <xf numFmtId="166" fontId="2" fillId="2" borderId="2" xfId="0" applyNumberFormat="1" applyFont="1" applyFill="1" applyBorder="1" applyAlignment="1" applyProtection="1">
      <alignment horizontal="center" wrapText="1"/>
    </xf>
    <xf numFmtId="166" fontId="5" fillId="3" borderId="2" xfId="0" applyNumberFormat="1" applyFont="1" applyFill="1" applyBorder="1" applyAlignment="1">
      <alignment horizontal="center" wrapText="1"/>
    </xf>
    <xf numFmtId="166" fontId="2" fillId="3" borderId="2" xfId="0" applyNumberFormat="1" applyFont="1" applyFill="1" applyBorder="1" applyAlignment="1">
      <alignment horizontal="center" wrapText="1"/>
    </xf>
    <xf numFmtId="166" fontId="5" fillId="2" borderId="2" xfId="0" applyNumberFormat="1" applyFont="1" applyFill="1" applyBorder="1" applyAlignment="1">
      <alignment horizontal="center" wrapText="1"/>
    </xf>
    <xf numFmtId="166" fontId="2" fillId="2" borderId="2" xfId="0" applyNumberFormat="1" applyFont="1" applyFill="1" applyBorder="1" applyAlignment="1">
      <alignment horizontal="center" wrapText="1"/>
    </xf>
    <xf numFmtId="166" fontId="2" fillId="3" borderId="2" xfId="0" applyNumberFormat="1" applyFont="1" applyFill="1" applyBorder="1" applyAlignment="1" applyProtection="1">
      <alignment horizontal="center" wrapText="1"/>
    </xf>
    <xf numFmtId="166" fontId="6" fillId="0" borderId="0" xfId="0" applyNumberFormat="1" applyFont="1" applyAlignment="1">
      <alignment horizontal="center" wrapText="1"/>
    </xf>
    <xf numFmtId="166" fontId="6" fillId="0" borderId="0" xfId="0" applyNumberFormat="1" applyFont="1"/>
    <xf numFmtId="166" fontId="6" fillId="4" borderId="5" xfId="0" applyNumberFormat="1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7" fillId="4" borderId="6" xfId="0" applyFont="1" applyFill="1" applyBorder="1" applyAlignment="1"/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3" borderId="3" xfId="0" applyNumberFormat="1" applyFont="1" applyFill="1" applyBorder="1" applyAlignment="1" applyProtection="1"/>
    <xf numFmtId="166" fontId="8" fillId="2" borderId="2" xfId="0" applyNumberFormat="1" applyFont="1" applyFill="1" applyBorder="1" applyAlignment="1">
      <alignment horizontal="center" wrapText="1"/>
    </xf>
    <xf numFmtId="166" fontId="8" fillId="3" borderId="2" xfId="0" applyNumberFormat="1" applyFont="1" applyFill="1" applyBorder="1" applyAlignment="1">
      <alignment horizontal="center" wrapText="1"/>
    </xf>
    <xf numFmtId="166" fontId="2" fillId="2" borderId="2" xfId="0" applyNumberFormat="1" applyFont="1" applyFill="1" applyBorder="1" applyAlignment="1" applyProtection="1">
      <alignment horizontal="center"/>
    </xf>
    <xf numFmtId="0" fontId="2" fillId="3" borderId="4" xfId="0" applyFont="1" applyFill="1" applyBorder="1" applyAlignment="1"/>
    <xf numFmtId="2" fontId="2" fillId="2" borderId="1" xfId="0" applyNumberFormat="1" applyFont="1" applyFill="1" applyBorder="1" applyAlignment="1" applyProtection="1">
      <alignment horizontal="center" wrapText="1"/>
    </xf>
    <xf numFmtId="2" fontId="2" fillId="2" borderId="1" xfId="0" applyNumberFormat="1" applyFont="1" applyFill="1" applyBorder="1" applyAlignment="1" applyProtection="1"/>
    <xf numFmtId="0" fontId="2" fillId="3" borderId="2" xfId="0" applyFont="1" applyFill="1" applyBorder="1" applyAlignment="1" applyProtection="1">
      <alignment vertical="center"/>
    </xf>
    <xf numFmtId="0" fontId="2" fillId="0" borderId="1" xfId="0" applyFont="1" applyFill="1" applyBorder="1" applyAlignment="1">
      <alignment vertical="center"/>
    </xf>
    <xf numFmtId="166" fontId="9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9" fillId="5" borderId="2" xfId="0" applyNumberFormat="1" applyFont="1" applyFill="1" applyBorder="1" applyAlignment="1">
      <alignment horizontal="left" vertical="center"/>
    </xf>
    <xf numFmtId="166" fontId="8" fillId="5" borderId="2" xfId="0" applyNumberFormat="1" applyFont="1" applyFill="1" applyBorder="1" applyAlignment="1">
      <alignment horizontal="center" wrapText="1"/>
    </xf>
    <xf numFmtId="166" fontId="2" fillId="6" borderId="2" xfId="0" applyNumberFormat="1" applyFont="1" applyFill="1" applyBorder="1" applyAlignment="1" applyProtection="1">
      <alignment horizontal="center" wrapText="1"/>
    </xf>
    <xf numFmtId="166" fontId="2" fillId="6" borderId="2" xfId="0" applyNumberFormat="1" applyFont="1" applyFill="1" applyBorder="1" applyAlignment="1">
      <alignment horizontal="center" wrapText="1"/>
    </xf>
    <xf numFmtId="166" fontId="2" fillId="6" borderId="3" xfId="0" applyNumberFormat="1" applyFont="1" applyFill="1" applyBorder="1" applyAlignment="1">
      <alignment horizontal="center" wrapText="1"/>
    </xf>
    <xf numFmtId="166" fontId="8" fillId="6" borderId="2" xfId="0" applyNumberFormat="1" applyFont="1" applyFill="1" applyBorder="1" applyAlignment="1">
      <alignment horizontal="center" wrapText="1"/>
    </xf>
    <xf numFmtId="0" fontId="0" fillId="0" borderId="0" xfId="0"/>
    <xf numFmtId="0" fontId="5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3.0408400000000002</c:v>
                </c:pt>
                <c:pt idx="1">
                  <c:v>0.31564999999999999</c:v>
                </c:pt>
                <c:pt idx="2">
                  <c:v>-2.6856499999999999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95.653684201591744</c:v>
                </c:pt>
                <c:pt idx="1">
                  <c:v>0</c:v>
                </c:pt>
                <c:pt idx="2">
                  <c:v>-94.936422522015164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9904"/>
        <c:axId val="140580480"/>
      </c:scatterChart>
      <c:valAx>
        <c:axId val="1405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0480"/>
        <c:crosses val="autoZero"/>
        <c:crossBetween val="midCat"/>
      </c:valAx>
      <c:valAx>
        <c:axId val="1405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3.0139800000000001</c:v>
                </c:pt>
                <c:pt idx="1">
                  <c:v>0.26650200000000002</c:v>
                </c:pt>
                <c:pt idx="2">
                  <c:v>-2.7797399999999999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94.545533206003284</c:v>
                </c:pt>
                <c:pt idx="1">
                  <c:v>0</c:v>
                </c:pt>
                <c:pt idx="2">
                  <c:v>-94.542495579864081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1008"/>
        <c:axId val="142051584"/>
      </c:scatterChart>
      <c:valAx>
        <c:axId val="1420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1584"/>
        <c:crosses val="autoZero"/>
        <c:crossBetween val="midCat"/>
      </c:valAx>
      <c:valAx>
        <c:axId val="14205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3.0680399999999999</c:v>
                </c:pt>
                <c:pt idx="1">
                  <c:v>0.25391200000000003</c:v>
                </c:pt>
                <c:pt idx="2">
                  <c:v>-2.7488800000000002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96.618413690484303</c:v>
                </c:pt>
                <c:pt idx="1">
                  <c:v>0</c:v>
                </c:pt>
                <c:pt idx="2">
                  <c:v>-96.076617348823447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5616"/>
        <c:axId val="142056192"/>
      </c:scatterChart>
      <c:valAx>
        <c:axId val="1420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6192"/>
        <c:crosses val="autoZero"/>
        <c:crossBetween val="midCat"/>
      </c:valAx>
      <c:valAx>
        <c:axId val="14205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2.73936</c:v>
                </c:pt>
                <c:pt idx="1">
                  <c:v>-0.14335500000000001</c:v>
                </c:pt>
                <c:pt idx="2">
                  <c:v>-3.0323699999999998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95.721466835940603</c:v>
                </c:pt>
                <c:pt idx="1">
                  <c:v>0</c:v>
                </c:pt>
                <c:pt idx="2">
                  <c:v>-94.545805066247325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6736"/>
        <c:axId val="142077312"/>
      </c:scatterChart>
      <c:valAx>
        <c:axId val="1420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7312"/>
        <c:crosses val="autoZero"/>
        <c:crossBetween val="midCat"/>
      </c:valAx>
      <c:valAx>
        <c:axId val="14207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76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3.9192</c:v>
                </c:pt>
                <c:pt idx="1">
                  <c:v>1.04461</c:v>
                </c:pt>
                <c:pt idx="2">
                  <c:v>-1.8371599999999999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95.27837976072685</c:v>
                </c:pt>
                <c:pt idx="1">
                  <c:v>0</c:v>
                </c:pt>
                <c:pt idx="2">
                  <c:v>-96.359541113683093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1344"/>
        <c:axId val="142606336"/>
      </c:scatterChart>
      <c:valAx>
        <c:axId val="1420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06336"/>
        <c:crosses val="autoZero"/>
        <c:crossBetween val="midCat"/>
      </c:valAx>
      <c:valAx>
        <c:axId val="14260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81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62255502931976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3.8680500000000002</c:v>
                </c:pt>
                <c:pt idx="1">
                  <c:v>0.97830099999999998</c:v>
                </c:pt>
                <c:pt idx="2">
                  <c:v>-1.9170400000000001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94.796900398283441</c:v>
                </c:pt>
                <c:pt idx="1">
                  <c:v>0</c:v>
                </c:pt>
                <c:pt idx="2">
                  <c:v>-95.771680684633225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0368"/>
        <c:axId val="142610944"/>
      </c:scatterChart>
      <c:valAx>
        <c:axId val="142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0944"/>
        <c:crosses val="autoZero"/>
        <c:crossBetween val="midCat"/>
      </c:valAx>
      <c:valAx>
        <c:axId val="14261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0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2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32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4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5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6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97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ne%20Bay%20ShuntCal%20LBC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al Numbers"/>
      <sheetName val="X1 LOAD CELL"/>
      <sheetName val="X2 LOAD CELL"/>
      <sheetName val="Y1 LOAD CELL"/>
      <sheetName val="Z1 LOAD CELL"/>
      <sheetName val="Z2 LOAD CELL"/>
      <sheetName val="Z3 LOAD CELL"/>
    </sheetNames>
    <sheetDataSet>
      <sheetData sheetId="0"/>
      <sheetData sheetId="1">
        <row r="40">
          <cell r="B40">
            <v>3.0895100000000002</v>
          </cell>
          <cell r="C40">
            <v>95.673775164691619</v>
          </cell>
        </row>
        <row r="41">
          <cell r="B41">
            <v>0.187671</v>
          </cell>
          <cell r="C41">
            <v>0</v>
          </cell>
        </row>
        <row r="42">
          <cell r="B42">
            <v>-2.70695</v>
          </cell>
          <cell r="C42">
            <v>-94.352529181974219</v>
          </cell>
        </row>
      </sheetData>
      <sheetData sheetId="2">
        <row r="40">
          <cell r="B40">
            <v>2.95716</v>
          </cell>
          <cell r="C40">
            <v>95.690850445790772</v>
          </cell>
        </row>
        <row r="41">
          <cell r="B41">
            <v>8.2485500000000003E-2</v>
          </cell>
          <cell r="C41">
            <v>0</v>
          </cell>
        </row>
        <row r="42">
          <cell r="B42">
            <v>-2.7913999999999999</v>
          </cell>
          <cell r="C42">
            <v>-95.652413529832614</v>
          </cell>
        </row>
      </sheetData>
      <sheetData sheetId="3">
        <row r="40">
          <cell r="B40">
            <v>3.0139</v>
          </cell>
          <cell r="C40">
            <v>96.378977315101366</v>
          </cell>
        </row>
        <row r="41">
          <cell r="B41">
            <v>0.12667400000000001</v>
          </cell>
          <cell r="C41">
            <v>0</v>
          </cell>
        </row>
        <row r="42">
          <cell r="B42">
            <v>-2.74499</v>
          </cell>
          <cell r="C42">
            <v>-95.479640308522548</v>
          </cell>
        </row>
      </sheetData>
      <sheetData sheetId="4">
        <row r="40">
          <cell r="B40">
            <v>3.6030099999999998</v>
          </cell>
          <cell r="C40">
            <v>95.732753579837848</v>
          </cell>
        </row>
        <row r="41">
          <cell r="B41">
            <v>0.66711399999999998</v>
          </cell>
          <cell r="C41">
            <v>0</v>
          </cell>
        </row>
        <row r="42">
          <cell r="B42">
            <v>-2.27033</v>
          </cell>
          <cell r="C42">
            <v>-95.934344392050065</v>
          </cell>
        </row>
      </sheetData>
      <sheetData sheetId="5">
        <row r="40">
          <cell r="B40">
            <v>2.8841999999999999</v>
          </cell>
          <cell r="C40">
            <v>95.866820583306819</v>
          </cell>
        </row>
        <row r="41">
          <cell r="B41">
            <v>-2.35252E-2</v>
          </cell>
          <cell r="C41">
            <v>0</v>
          </cell>
        </row>
        <row r="42">
          <cell r="B42">
            <v>-2.9273799999999999</v>
          </cell>
          <cell r="C42">
            <v>-95.766957634483703</v>
          </cell>
        </row>
      </sheetData>
      <sheetData sheetId="6">
        <row r="40">
          <cell r="B40">
            <v>2.98366</v>
          </cell>
          <cell r="C40">
            <v>95.07141274349226</v>
          </cell>
        </row>
        <row r="41">
          <cell r="B41">
            <v>6.9250800000000001E-2</v>
          </cell>
          <cell r="C41">
            <v>0</v>
          </cell>
        </row>
        <row r="42">
          <cell r="B42">
            <v>-2.8436699999999999</v>
          </cell>
          <cell r="C42">
            <v>-95.977178586181452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9" sqref="A9"/>
    </sheetView>
  </sheetViews>
  <sheetFormatPr defaultColWidth="8.85546875" defaultRowHeight="12.75" x14ac:dyDescent="0.2"/>
  <cols>
    <col min="1" max="1" width="54.7109375" style="57" customWidth="1"/>
    <col min="2" max="2" width="8.85546875" style="57"/>
    <col min="3" max="3" width="8.85546875" style="57" customWidth="1"/>
    <col min="4" max="16384" width="8.85546875" style="57"/>
  </cols>
  <sheetData>
    <row r="1" spans="1:2" s="57" customFormat="1" ht="20.25" x14ac:dyDescent="0.3">
      <c r="A1" s="58" t="s">
        <v>29</v>
      </c>
    </row>
    <row r="2" spans="1:2" s="57" customFormat="1" ht="20.25" x14ac:dyDescent="0.3">
      <c r="A2" s="59" t="s">
        <v>47</v>
      </c>
    </row>
    <row r="3" spans="1:2" s="57" customFormat="1" ht="20.25" x14ac:dyDescent="0.3">
      <c r="A3" s="59" t="s">
        <v>36</v>
      </c>
      <c r="B3" s="57" t="s">
        <v>31</v>
      </c>
    </row>
    <row r="4" spans="1:2" s="57" customFormat="1" ht="20.25" x14ac:dyDescent="0.3">
      <c r="A4" s="59" t="s">
        <v>37</v>
      </c>
      <c r="B4" s="57" t="s">
        <v>35</v>
      </c>
    </row>
    <row r="5" spans="1:2" s="57" customFormat="1" ht="20.25" x14ac:dyDescent="0.3">
      <c r="A5" s="59" t="s">
        <v>38</v>
      </c>
      <c r="B5" s="57" t="s">
        <v>34</v>
      </c>
    </row>
    <row r="6" spans="1:2" s="57" customFormat="1" ht="20.25" x14ac:dyDescent="0.3">
      <c r="A6" s="59" t="s">
        <v>39</v>
      </c>
      <c r="B6" s="57" t="s">
        <v>33</v>
      </c>
    </row>
    <row r="7" spans="1:2" s="57" customFormat="1" ht="20.25" x14ac:dyDescent="0.3">
      <c r="A7" s="59" t="s">
        <v>40</v>
      </c>
      <c r="B7" s="57" t="s">
        <v>30</v>
      </c>
    </row>
    <row r="8" spans="1:2" s="57" customFormat="1" ht="20.25" x14ac:dyDescent="0.3">
      <c r="A8" s="59" t="s">
        <v>41</v>
      </c>
      <c r="B8" s="57" t="s">
        <v>32</v>
      </c>
    </row>
    <row r="17" s="57" customFormat="1" x14ac:dyDescent="0.2"/>
    <row r="18" s="57" customFormat="1" x14ac:dyDescent="0.2"/>
    <row r="19" s="57" customFormat="1" x14ac:dyDescent="0.2"/>
    <row r="20" s="57" customFormat="1" x14ac:dyDescent="0.2"/>
    <row r="21" s="57" customFormat="1" x14ac:dyDescent="0.2"/>
    <row r="22" s="57" customFormat="1" x14ac:dyDescent="0.2"/>
    <row r="23" s="57" customFormat="1" x14ac:dyDescent="0.2"/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0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350.4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4.1387</v>
      </c>
      <c r="C11" s="54">
        <v>-4.1226000000000003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0.13100000000000001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2.8990999999999998</v>
      </c>
      <c r="C15" s="55">
        <v>-2.8988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189.26</v>
      </c>
      <c r="C17" s="27">
        <f>B$17*1000</f>
        <v>189260</v>
      </c>
      <c r="D17" s="27">
        <f>C$17*4.4482216</f>
        <v>841870.42001600005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-189.78</v>
      </c>
      <c r="C19" s="29">
        <f>B$19 * 1000</f>
        <v>-189780</v>
      </c>
      <c r="D19" s="25">
        <f>C$19*4.4482216</f>
        <v>-844183.49524800002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65.365015191313717</v>
      </c>
      <c r="C21" s="27">
        <f>2*C$3 / (B$11 - C$11)</f>
        <v>65365.015191313716</v>
      </c>
      <c r="D21" s="27">
        <f>2*D$3 / (B$11 - C$11)</f>
        <v>290758.07245832979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0.35370000000000001</v>
      </c>
      <c r="C23" s="29">
        <f>C$3 *(B$13/100)</f>
        <v>353.7</v>
      </c>
      <c r="D23" s="29">
        <f>D$3 *(B$13/100)</f>
        <v>1573.3359799199998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1.457966221267796</v>
      </c>
      <c r="C31" s="29">
        <f>C15 *(($C$7 + $B$5)/($C$27+ $B$5))</f>
        <v>-1.4578153503539331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95.653684201591744</v>
      </c>
      <c r="C33" s="27">
        <f>C21*$B$31+C23</f>
        <v>95653.684201591735</v>
      </c>
      <c r="D33" s="27">
        <f>D21*$B$31+D23</f>
        <v>425488.78418509907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-94.936422522015164</v>
      </c>
      <c r="C35" s="29">
        <f>C21*$C$31+C23</f>
        <v>-94936.422522015171</v>
      </c>
      <c r="D35" s="29">
        <f>D21*$C$31+D23</f>
        <v>-422298.24528915429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3.0408400000000002</v>
      </c>
      <c r="C40" s="49">
        <f>B33</f>
        <v>95.653684201591744</v>
      </c>
      <c r="D40" s="49">
        <f>C33</f>
        <v>95653.684201591735</v>
      </c>
      <c r="E40" s="49">
        <f>D33</f>
        <v>425488.78418509907</v>
      </c>
    </row>
    <row r="41" spans="1:13" ht="23.25" customHeight="1" x14ac:dyDescent="0.2">
      <c r="A41" s="48" t="s">
        <v>27</v>
      </c>
      <c r="B41" s="51">
        <v>0.31564999999999999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-2.6856499999999999</v>
      </c>
      <c r="C42" s="49">
        <f>B35</f>
        <v>-94.936422522015164</v>
      </c>
      <c r="D42" s="49">
        <f>C35</f>
        <v>-94936.422522015171</v>
      </c>
      <c r="E42" s="49">
        <f>D35</f>
        <v>-422298.24528915429</v>
      </c>
    </row>
    <row r="45" spans="1:13" x14ac:dyDescent="0.2">
      <c r="L45" s="14" t="s">
        <v>42</v>
      </c>
      <c r="M45" s="14">
        <f>SLOPE(C40:C42,B40:B42)</f>
        <v>33.254403121151931</v>
      </c>
    </row>
    <row r="46" spans="1:13" x14ac:dyDescent="0.2">
      <c r="L46" s="14" t="s">
        <v>43</v>
      </c>
      <c r="M46" s="14">
        <f>RSQ(C40:C42,B40:B42)</f>
        <v>0.99910007379926857</v>
      </c>
    </row>
    <row r="47" spans="1:13" x14ac:dyDescent="0.2">
      <c r="L47" s="14" t="s">
        <v>44</v>
      </c>
      <c r="M47" s="14">
        <f>330/M45</f>
        <v>9.9234979138777213</v>
      </c>
    </row>
    <row r="48" spans="1:13" x14ac:dyDescent="0.2">
      <c r="L48" s="14" t="s">
        <v>45</v>
      </c>
      <c r="M48" s="14">
        <f>-(-10-B41)*M45</f>
        <v>343.04078355671089</v>
      </c>
    </row>
    <row r="49" spans="12:13" x14ac:dyDescent="0.2">
      <c r="L49" s="14" t="s">
        <v>46</v>
      </c>
      <c r="M49" s="14">
        <f>-(10-B41)*M45</f>
        <v>-322.0472788663277</v>
      </c>
    </row>
    <row r="51" spans="12:13" x14ac:dyDescent="0.2">
      <c r="L51" s="14" t="s">
        <v>48</v>
      </c>
      <c r="M51" s="14">
        <v>33.254403121151931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L53" sqref="L53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350.6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4.1666999999999996</v>
      </c>
      <c r="C11" s="54">
        <v>-4.1501999999999999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-9.8000000000000004E-2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2.9036</v>
      </c>
      <c r="C15" s="55">
        <v>-2.8873000000000002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188.32</v>
      </c>
      <c r="C17" s="27">
        <f>B$17*1000</f>
        <v>188320</v>
      </c>
      <c r="D17" s="27">
        <f>C$17*4.4482216</f>
        <v>837689.09171199996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-187.8</v>
      </c>
      <c r="C19" s="29">
        <f>B$19 * 1000</f>
        <v>-187800</v>
      </c>
      <c r="D19" s="25">
        <f>C$19*4.4482216</f>
        <v>-835376.01647999999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64.928038091115681</v>
      </c>
      <c r="C21" s="27">
        <f>2*C$3 / (B$11 - C$11)</f>
        <v>64928.038091115675</v>
      </c>
      <c r="D21" s="27">
        <f>2*D$3 / (B$11 - C$11)</f>
        <v>288814.3014825235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-0.2646</v>
      </c>
      <c r="C23" s="29">
        <f>C$3 *(B$13/100)</f>
        <v>-264.59999999999997</v>
      </c>
      <c r="D23" s="29">
        <f>D$3 *(B$13/100)</f>
        <v>-1176.99943536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1.4602340682611272</v>
      </c>
      <c r="C31" s="29">
        <f>C15 *(($C$7 + $B$5)/($C$27+ $B$5))</f>
        <v>-1.4520367217558732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94.545533206003284</v>
      </c>
      <c r="C33" s="27">
        <f>C21*$B$31+C23</f>
        <v>94545.533206003267</v>
      </c>
      <c r="D33" s="27">
        <f>D21*$B$31+D23</f>
        <v>420559.48299046099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-94.542495579864081</v>
      </c>
      <c r="C35" s="29">
        <f>C21*$C$31+C23</f>
        <v>-94542.495579864073</v>
      </c>
      <c r="D35" s="29">
        <f>D21*$C$31+D23</f>
        <v>-420545.97095625586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3.0139800000000001</v>
      </c>
      <c r="C40" s="49">
        <f>B33</f>
        <v>94.545533206003284</v>
      </c>
      <c r="D40" s="49">
        <f>C33</f>
        <v>94545.533206003267</v>
      </c>
      <c r="E40" s="49">
        <f>D33</f>
        <v>420559.48299046099</v>
      </c>
    </row>
    <row r="41" spans="1:13" ht="23.25" customHeight="1" x14ac:dyDescent="0.2">
      <c r="A41" s="48" t="s">
        <v>27</v>
      </c>
      <c r="B41" s="51">
        <v>0.26650200000000002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-2.7797399999999999</v>
      </c>
      <c r="C42" s="49">
        <f>B35</f>
        <v>-94.542495579864081</v>
      </c>
      <c r="D42" s="49">
        <f>C35</f>
        <v>-94542.495579864073</v>
      </c>
      <c r="E42" s="49">
        <f>D35</f>
        <v>-420545.97095625586</v>
      </c>
    </row>
    <row r="45" spans="1:13" x14ac:dyDescent="0.2">
      <c r="L45" s="14" t="s">
        <v>42</v>
      </c>
      <c r="M45" s="14">
        <f>SLOPE(C40:C42,B40:B42)</f>
        <v>32.607810021277572</v>
      </c>
    </row>
    <row r="46" spans="1:13" x14ac:dyDescent="0.2">
      <c r="L46" s="14" t="s">
        <v>43</v>
      </c>
      <c r="M46" s="14">
        <f>RSQ(C40:C42,B40:B42)</f>
        <v>0.99911385245228368</v>
      </c>
    </row>
    <row r="47" spans="1:13" x14ac:dyDescent="0.2">
      <c r="L47" s="14" t="s">
        <v>44</v>
      </c>
      <c r="M47" s="14">
        <f>330/M45</f>
        <v>10.120274860061595</v>
      </c>
    </row>
    <row r="48" spans="1:13" x14ac:dyDescent="0.2">
      <c r="L48" s="14" t="s">
        <v>45</v>
      </c>
      <c r="M48" s="14">
        <f>-(-10-B41)*M45</f>
        <v>334.76814679906619</v>
      </c>
    </row>
    <row r="49" spans="12:13" x14ac:dyDescent="0.2">
      <c r="L49" s="14" t="s">
        <v>46</v>
      </c>
      <c r="M49" s="14">
        <f>-(10-B41)*M45</f>
        <v>-317.38805362648526</v>
      </c>
    </row>
    <row r="51" spans="12:13" x14ac:dyDescent="0.2">
      <c r="L51" s="14" t="s">
        <v>48</v>
      </c>
      <c r="M51" s="14">
        <v>32.607810021277572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3" zoomScale="85" workbookViewId="0">
      <selection activeCell="L55" sqref="L55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4.1010999999999997</v>
      </c>
      <c r="C11" s="54">
        <v>-4.0885999999999996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0.112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2.9045999999999998</v>
      </c>
      <c r="C15" s="55">
        <v>-2.9064999999999999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191.36</v>
      </c>
      <c r="C17" s="27">
        <f>B$17*1000</f>
        <v>191360</v>
      </c>
      <c r="D17" s="27">
        <f>C$17*4.4482216</f>
        <v>851211.68537600001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-191.9</v>
      </c>
      <c r="C19" s="29">
        <f>B$19 * 1000</f>
        <v>-191900</v>
      </c>
      <c r="D19" s="25">
        <f>C$19*4.4482216</f>
        <v>-853613.72504000005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65.936481189787187</v>
      </c>
      <c r="C21" s="27">
        <f>2*C$3 / (B$11 - C$11)</f>
        <v>65936.481189787184</v>
      </c>
      <c r="D21" s="27">
        <f>2*D$3 / (B$11 - C$11)</f>
        <v>293300.07985640503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0.30240000000000006</v>
      </c>
      <c r="C23" s="29">
        <f>C$3 *(B$13/100)</f>
        <v>302.40000000000003</v>
      </c>
      <c r="D23" s="29">
        <f>D$3 *(B$13/100)</f>
        <v>1345.1422118400001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1.4607393654091834</v>
      </c>
      <c r="C31" s="29">
        <f>C15 *(($C$7 + $B$5)/($C$27+ $B$5))</f>
        <v>-1.4616948858919616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96.618413690484303</v>
      </c>
      <c r="C33" s="27">
        <f>C21*$B$31+C23</f>
        <v>96618.413690484274</v>
      </c>
      <c r="D33" s="27">
        <f>D21*$B$31+D23</f>
        <v>429780.11473574792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-96.076617348823447</v>
      </c>
      <c r="C35" s="29">
        <f>C21*$C$31+C23</f>
        <v>-96076.617348823464</v>
      </c>
      <c r="D35" s="29">
        <f>D21*$C$31+D23</f>
        <v>-427370.08454597119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3.0680399999999999</v>
      </c>
      <c r="C40" s="49">
        <f>B33</f>
        <v>96.618413690484303</v>
      </c>
      <c r="D40" s="49">
        <f>C33</f>
        <v>96618.413690484274</v>
      </c>
      <c r="E40" s="49">
        <f>D33</f>
        <v>429780.11473574792</v>
      </c>
    </row>
    <row r="41" spans="1:13" ht="23.25" customHeight="1" x14ac:dyDescent="0.2">
      <c r="A41" s="48" t="s">
        <v>27</v>
      </c>
      <c r="B41" s="51">
        <v>0.25391200000000003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-2.7488800000000002</v>
      </c>
      <c r="C42" s="49">
        <f>B35</f>
        <v>-96.076617348823447</v>
      </c>
      <c r="D42" s="49">
        <f>C35</f>
        <v>-96076.617348823464</v>
      </c>
      <c r="E42" s="49">
        <f>D35</f>
        <v>-427370.08454597119</v>
      </c>
    </row>
    <row r="45" spans="1:13" x14ac:dyDescent="0.2">
      <c r="L45" s="14" t="s">
        <v>42</v>
      </c>
      <c r="M45" s="14">
        <f>SLOPE(C40:C42,B40:B42)</f>
        <v>33.114024480878896</v>
      </c>
    </row>
    <row r="46" spans="1:13" x14ac:dyDescent="0.2">
      <c r="L46" s="14" t="s">
        <v>43</v>
      </c>
      <c r="M46" s="14">
        <f>RSQ(C40:C42,B40:B42)</f>
        <v>0.99958606831193497</v>
      </c>
    </row>
    <row r="47" spans="1:13" x14ac:dyDescent="0.2">
      <c r="L47" s="14" t="s">
        <v>44</v>
      </c>
      <c r="M47" s="14">
        <f>330/M45</f>
        <v>9.9655661060029903</v>
      </c>
    </row>
    <row r="48" spans="1:13" x14ac:dyDescent="0.2">
      <c r="L48" s="14" t="s">
        <v>45</v>
      </c>
      <c r="M48" s="14">
        <f>-(-10-B41)*M45</f>
        <v>339.54829299277787</v>
      </c>
    </row>
    <row r="49" spans="12:13" x14ac:dyDescent="0.2">
      <c r="L49" s="14" t="s">
        <v>46</v>
      </c>
      <c r="M49" s="14">
        <f>-(10-B41)*M45</f>
        <v>-322.73219662480005</v>
      </c>
    </row>
    <row r="51" spans="12:13" x14ac:dyDescent="0.2">
      <c r="L51" s="14" t="s">
        <v>48</v>
      </c>
      <c r="M51" s="14">
        <v>33.114024480878896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0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350.5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4.1440999999999999</v>
      </c>
      <c r="C11" s="54">
        <v>-4.1337999999999999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0.27300000000000002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2.8953000000000002</v>
      </c>
      <c r="C15" s="55">
        <v>-2.9043999999999999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188.77</v>
      </c>
      <c r="C17" s="27">
        <f>B$17*1000</f>
        <v>188770</v>
      </c>
      <c r="D17" s="27">
        <f>C$17*4.4482216</f>
        <v>839690.791432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-189.67</v>
      </c>
      <c r="C19" s="29">
        <f>B$19 * 1000</f>
        <v>-189670</v>
      </c>
      <c r="D19" s="25">
        <f>C$19*4.4482216</f>
        <v>-843694.19087200006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65.233936143224739</v>
      </c>
      <c r="C21" s="27">
        <f>2*C$3 / (B$11 - C$11)</f>
        <v>65233.936143224739</v>
      </c>
      <c r="D21" s="27">
        <f>2*D$3 / (B$11 - C$11)</f>
        <v>290175.00380531297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0.73710000000000009</v>
      </c>
      <c r="C23" s="29">
        <f>C$3 *(B$13/100)</f>
        <v>737.1</v>
      </c>
      <c r="D23" s="29">
        <f>D$3 *(B$13/100)</f>
        <v>3278.7841413599999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1.4560575745022826</v>
      </c>
      <c r="C31" s="29">
        <f>C15 *(($C$7 + $B$5)/($C$27+ $B$5))</f>
        <v>-1.4606339997183122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95.721466835940603</v>
      </c>
      <c r="C33" s="27">
        <f>C21*$B$31+C23</f>
        <v>95721.466835940606</v>
      </c>
      <c r="D33" s="27">
        <f>D21*$B$31+D23</f>
        <v>425790.29636331461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-94.545805066247325</v>
      </c>
      <c r="C35" s="29">
        <f>C21*$C$31+C23</f>
        <v>-94545.805066247311</v>
      </c>
      <c r="D35" s="29">
        <f>D21*$C$31+D23</f>
        <v>-420560.69228507072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2.73936</v>
      </c>
      <c r="C40" s="49">
        <f>B33</f>
        <v>95.721466835940603</v>
      </c>
      <c r="D40" s="49">
        <f>C33</f>
        <v>95721.466835940606</v>
      </c>
      <c r="E40" s="49">
        <f>D33</f>
        <v>425790.29636331461</v>
      </c>
    </row>
    <row r="41" spans="1:13" ht="23.25" customHeight="1" x14ac:dyDescent="0.2">
      <c r="A41" s="48" t="s">
        <v>27</v>
      </c>
      <c r="B41" s="51">
        <v>-0.14335500000000001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-3.0323699999999998</v>
      </c>
      <c r="C42" s="49">
        <f>B35</f>
        <v>-94.545805066247325</v>
      </c>
      <c r="D42" s="49">
        <f>C35</f>
        <v>-94545.805066247311</v>
      </c>
      <c r="E42" s="49">
        <f>D35</f>
        <v>-420560.69228507072</v>
      </c>
    </row>
    <row r="45" spans="1:13" x14ac:dyDescent="0.2">
      <c r="L45" s="14" t="s">
        <v>42</v>
      </c>
      <c r="M45" s="14">
        <f>SLOPE(C40:C42,B40:B42)</f>
        <v>32.965292656332217</v>
      </c>
    </row>
    <row r="46" spans="1:13" x14ac:dyDescent="0.2">
      <c r="L46" s="14" t="s">
        <v>43</v>
      </c>
      <c r="M46" s="14">
        <f>RSQ(C40:C42,B40:B42)</f>
        <v>0.99998238003533679</v>
      </c>
    </row>
    <row r="47" spans="1:13" x14ac:dyDescent="0.2">
      <c r="L47" s="14" t="s">
        <v>44</v>
      </c>
      <c r="M47" s="14">
        <f>330/M45</f>
        <v>10.010528450036713</v>
      </c>
    </row>
    <row r="48" spans="1:13" x14ac:dyDescent="0.2">
      <c r="L48" s="14" t="s">
        <v>45</v>
      </c>
      <c r="M48" s="14">
        <f>-(-10-B41)*M45</f>
        <v>324.92718703457365</v>
      </c>
    </row>
    <row r="49" spans="12:13" x14ac:dyDescent="0.2">
      <c r="L49" s="14" t="s">
        <v>46</v>
      </c>
      <c r="M49" s="14">
        <f>-(10-B41)*M45</f>
        <v>-334.37866609207066</v>
      </c>
    </row>
    <row r="51" spans="12:13" x14ac:dyDescent="0.2">
      <c r="L51" s="14" t="s">
        <v>48</v>
      </c>
      <c r="M51" s="14">
        <v>32.965292656332217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7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4.1199000000000003</v>
      </c>
      <c r="C11" s="54">
        <v>-4.1120000000000001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-0.17699999999999999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2.9026000000000001</v>
      </c>
      <c r="C15" s="55">
        <v>-2.9064000000000001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190.3</v>
      </c>
      <c r="C17" s="27">
        <f>B$17*1000</f>
        <v>190300</v>
      </c>
      <c r="D17" s="27">
        <f>C$17*4.4482216</f>
        <v>846496.57047999999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-190.8</v>
      </c>
      <c r="C19" s="29">
        <f>B$19 * 1000</f>
        <v>-190800</v>
      </c>
      <c r="D19" s="25">
        <f>C$19*4.4482216</f>
        <v>-848720.68128000002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65.598464510015916</v>
      </c>
      <c r="C21" s="27">
        <f>2*C$3 / (B$11 - C$11)</f>
        <v>65598.46451001591</v>
      </c>
      <c r="D21" s="27">
        <f>2*D$3 / (B$11 - C$11)</f>
        <v>291796.50676028623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-0.47789999999999999</v>
      </c>
      <c r="C23" s="29">
        <f>C$3 *(B$13/100)</f>
        <v>-477.9</v>
      </c>
      <c r="D23" s="29">
        <f>D$3 *(B$13/100)</f>
        <v>-2125.8051026399999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1.4597335543746803</v>
      </c>
      <c r="C31" s="29">
        <f>C15 *(($C$7 + $B$5)/($C$27+ $B$5))</f>
        <v>-1.4616445953402366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95.27837976072685</v>
      </c>
      <c r="C33" s="27">
        <f>C21*$B$31+C23</f>
        <v>95278.37976072685</v>
      </c>
      <c r="D33" s="27">
        <f>D21*$B$31+D23</f>
        <v>423819.34686466807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-96.359541113683093</v>
      </c>
      <c r="C35" s="29">
        <f>C21*$C$31+C23</f>
        <v>-96359.541113683066</v>
      </c>
      <c r="D35" s="29">
        <f>D21*$C$31+D23</f>
        <v>-428628.59214797319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3.9192</v>
      </c>
      <c r="C40" s="49">
        <f>B33</f>
        <v>95.27837976072685</v>
      </c>
      <c r="D40" s="49">
        <f>C33</f>
        <v>95278.37976072685</v>
      </c>
      <c r="E40" s="49">
        <f>D33</f>
        <v>423819.34686466807</v>
      </c>
    </row>
    <row r="41" spans="1:13" ht="23.25" customHeight="1" x14ac:dyDescent="0.2">
      <c r="A41" s="48" t="s">
        <v>27</v>
      </c>
      <c r="B41" s="51">
        <v>1.04461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-1.8371599999999999</v>
      </c>
      <c r="C42" s="49">
        <f>B35</f>
        <v>-96.359541113683093</v>
      </c>
      <c r="D42" s="49">
        <f>C35</f>
        <v>-96359.541113683066</v>
      </c>
      <c r="E42" s="49">
        <f>D35</f>
        <v>-428628.59214797319</v>
      </c>
    </row>
    <row r="45" spans="1:13" x14ac:dyDescent="0.2">
      <c r="L45" s="14" t="s">
        <v>42</v>
      </c>
      <c r="M45" s="14">
        <f>SLOPE(C40:C42,B40:B42)</f>
        <v>33.291571584751779</v>
      </c>
    </row>
    <row r="46" spans="1:13" x14ac:dyDescent="0.2">
      <c r="L46" s="14" t="s">
        <v>43</v>
      </c>
      <c r="M46" s="14">
        <f>RSQ(C40:C42,B40:B42)</f>
        <v>0.99999356323665867</v>
      </c>
    </row>
    <row r="47" spans="1:13" x14ac:dyDescent="0.2">
      <c r="L47" s="14" t="s">
        <v>44</v>
      </c>
      <c r="M47" s="14">
        <f>330/M45</f>
        <v>9.9124187982506289</v>
      </c>
    </row>
    <row r="48" spans="1:13" x14ac:dyDescent="0.2">
      <c r="L48" s="14" t="s">
        <v>45</v>
      </c>
      <c r="M48" s="14">
        <f>-(-10-B41)*M45</f>
        <v>367.69242444066538</v>
      </c>
    </row>
    <row r="49" spans="12:13" x14ac:dyDescent="0.2">
      <c r="L49" s="14" t="s">
        <v>46</v>
      </c>
      <c r="M49" s="14">
        <f>-(10-B41)*M45</f>
        <v>-298.1390072543702</v>
      </c>
    </row>
    <row r="51" spans="12:13" x14ac:dyDescent="0.2">
      <c r="L51" s="14" t="s">
        <v>48</v>
      </c>
      <c r="M51" s="14">
        <v>33.291571584751779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3" zoomScale="85" workbookViewId="0">
      <selection activeCell="L54" sqref="L54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16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4.1395</v>
      </c>
      <c r="C11" s="54">
        <v>-4.1292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-0.17199999999999999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2.9005000000000001</v>
      </c>
      <c r="C15" s="55">
        <v>-2.9018999999999999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189.33</v>
      </c>
      <c r="C17" s="27">
        <f>B$17*1000</f>
        <v>189330</v>
      </c>
      <c r="D17" s="27">
        <f>C$17*4.4482216</f>
        <v>842181.79552799999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-189.69</v>
      </c>
      <c r="C19" s="29">
        <f>B$19 * 1000</f>
        <v>-189690</v>
      </c>
      <c r="D19" s="25">
        <f>C$19*4.4482216</f>
        <v>-843783.15530400001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65.306517348555403</v>
      </c>
      <c r="C21" s="27">
        <f>2*C$3 / (B$11 - C$11)</f>
        <v>65306.517348555404</v>
      </c>
      <c r="D21" s="27">
        <f>2*D$3 / (B$11 - C$11)</f>
        <v>290497.86109061888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-0.46439999999999998</v>
      </c>
      <c r="C23" s="29">
        <f>C$3 *(B$13/100)</f>
        <v>-464.4</v>
      </c>
      <c r="D23" s="29">
        <f>D$3 *(B$13/100)</f>
        <v>-2065.7541110399998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1.4586798418579374</v>
      </c>
      <c r="C31" s="29">
        <f>C15 *(($C$7 + $B$5)/($C$27+ $B$5))</f>
        <v>-1.4593839107352347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94.796900398283441</v>
      </c>
      <c r="C33" s="27">
        <f>C21*$B$31+C23</f>
        <v>94796.900398283455</v>
      </c>
      <c r="D33" s="27">
        <f>D21*$B$31+D23</f>
        <v>421677.61996469303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-95.771680684633225</v>
      </c>
      <c r="C35" s="29">
        <f>C21*$C$31+C23</f>
        <v>-95771.680684633233</v>
      </c>
      <c r="D35" s="29">
        <f>D21*$C$31+D23</f>
        <v>-426013.65868968831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3.8680500000000002</v>
      </c>
      <c r="C40" s="49">
        <f>B33</f>
        <v>94.796900398283441</v>
      </c>
      <c r="D40" s="49">
        <f>C33</f>
        <v>94796.900398283455</v>
      </c>
      <c r="E40" s="49">
        <f>D33</f>
        <v>421677.61996469303</v>
      </c>
    </row>
    <row r="41" spans="1:13" ht="23.25" customHeight="1" x14ac:dyDescent="0.2">
      <c r="A41" s="48" t="s">
        <v>27</v>
      </c>
      <c r="B41" s="51">
        <v>0.97830099999999998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-1.9170400000000001</v>
      </c>
      <c r="C42" s="49">
        <f>B35</f>
        <v>-95.771680684633225</v>
      </c>
      <c r="D42" s="49">
        <f>C35</f>
        <v>-95771.680684633233</v>
      </c>
      <c r="E42" s="49">
        <f>D35</f>
        <v>-426013.65868968831</v>
      </c>
    </row>
    <row r="45" spans="1:13" x14ac:dyDescent="0.2">
      <c r="L45" s="14" t="s">
        <v>42</v>
      </c>
      <c r="M45" s="14">
        <f>SLOPE(C40:C42,B40:B42)</f>
        <v>32.94137788889384</v>
      </c>
    </row>
    <row r="46" spans="1:13" x14ac:dyDescent="0.2">
      <c r="L46" s="14" t="s">
        <v>43</v>
      </c>
      <c r="M46" s="14">
        <f>RSQ(C40:C42,B40:B42)</f>
        <v>0.99999426338821551</v>
      </c>
    </row>
    <row r="47" spans="1:13" x14ac:dyDescent="0.2">
      <c r="L47" s="14" t="s">
        <v>44</v>
      </c>
      <c r="M47" s="14">
        <f>330/M45</f>
        <v>10.017795889201686</v>
      </c>
    </row>
    <row r="48" spans="1:13" x14ac:dyDescent="0.2">
      <c r="L48" s="14" t="s">
        <v>45</v>
      </c>
      <c r="M48" s="14">
        <f>-(-10-B41)*M45</f>
        <v>361.64036181902111</v>
      </c>
    </row>
    <row r="49" spans="12:13" x14ac:dyDescent="0.2">
      <c r="L49" s="14" t="s">
        <v>46</v>
      </c>
      <c r="M49" s="14">
        <f>-(10-B41)*M45</f>
        <v>-297.18719595885568</v>
      </c>
    </row>
    <row r="51" spans="12:13" x14ac:dyDescent="0.2">
      <c r="L51" s="14" t="s">
        <v>48</v>
      </c>
      <c r="M51" s="14">
        <v>32.94137788889384</v>
      </c>
    </row>
  </sheetData>
  <phoneticPr fontId="11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Company>the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Bletzinger, Michael Erwin</cp:lastModifiedBy>
  <dcterms:created xsi:type="dcterms:W3CDTF">2006-04-01T03:23:52Z</dcterms:created>
  <dcterms:modified xsi:type="dcterms:W3CDTF">2014-06-04T13:46:07Z</dcterms:modified>
</cp:coreProperties>
</file>