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7820" windowHeight="11985" activeTab="4"/>
  </bookViews>
  <sheets>
    <sheet name="Tuning" sheetId="1" r:id="rId1"/>
    <sheet name="SWController" sheetId="2" r:id="rId2"/>
    <sheet name="Actuator_PinLocations" sheetId="3" r:id="rId3"/>
    <sheet name="calibration" sheetId="4" r:id="rId4"/>
    <sheet name="all you need" sheetId="5" r:id="rId5"/>
  </sheets>
  <calcPr calcId="145621"/>
</workbook>
</file>

<file path=xl/calcChain.xml><?xml version="1.0" encoding="utf-8"?>
<calcChain xmlns="http://schemas.openxmlformats.org/spreadsheetml/2006/main">
  <c r="S22" i="2" l="1"/>
  <c r="P22" i="2"/>
  <c r="M22" i="2"/>
  <c r="M8" i="2" l="1"/>
  <c r="M7" i="2"/>
  <c r="D36" i="2" l="1"/>
  <c r="E36" i="2" s="1"/>
  <c r="D22" i="2"/>
  <c r="D15" i="2" l="1"/>
  <c r="D16" i="2" s="1"/>
  <c r="D13" i="2"/>
  <c r="F32" i="4" l="1"/>
  <c r="E32" i="4"/>
  <c r="F84" i="4"/>
  <c r="E84" i="4"/>
  <c r="F31" i="4"/>
  <c r="E31" i="4"/>
  <c r="L81" i="4"/>
  <c r="K81" i="4"/>
  <c r="F81" i="4"/>
  <c r="E81" i="4"/>
  <c r="F55" i="4"/>
  <c r="E55" i="4"/>
  <c r="L55" i="4"/>
  <c r="K55" i="4"/>
  <c r="L29" i="4"/>
  <c r="K29" i="4"/>
  <c r="E27" i="4"/>
  <c r="F29" i="4"/>
  <c r="E29" i="4"/>
  <c r="L79" i="4" l="1"/>
  <c r="K79" i="4"/>
  <c r="K84" i="4" s="1"/>
  <c r="F79" i="4"/>
  <c r="F83" i="4" s="1"/>
  <c r="E79" i="4"/>
  <c r="E83" i="4" s="1"/>
  <c r="L83" i="4" l="1"/>
  <c r="L84" i="4"/>
  <c r="K83" i="4"/>
  <c r="C11" i="2" l="1"/>
  <c r="S36" i="2"/>
  <c r="T36" i="2" s="1"/>
  <c r="T35" i="2"/>
  <c r="S35" i="2"/>
  <c r="R35" i="2"/>
  <c r="P36" i="2"/>
  <c r="Q36" i="2" s="1"/>
  <c r="Q35" i="2"/>
  <c r="P35" i="2"/>
  <c r="O35" i="2"/>
  <c r="L35" i="2"/>
  <c r="M36" i="2"/>
  <c r="N36" i="2" s="1"/>
  <c r="N35" i="2"/>
  <c r="M35" i="2"/>
  <c r="D10" i="2"/>
  <c r="F8" i="2"/>
  <c r="F10" i="2" s="1"/>
  <c r="D8" i="2"/>
  <c r="E8" i="2" s="1"/>
  <c r="E10" i="2" s="1"/>
  <c r="E10" i="5"/>
  <c r="D10" i="5"/>
  <c r="E9" i="5"/>
  <c r="D9" i="5"/>
  <c r="L53" i="4"/>
  <c r="K53" i="4"/>
  <c r="F53" i="4"/>
  <c r="E53" i="4"/>
  <c r="L27" i="4"/>
  <c r="K27" i="4"/>
  <c r="D5" i="5"/>
  <c r="F27" i="4"/>
  <c r="E5" i="5" s="1"/>
  <c r="D6" i="5" l="1"/>
  <c r="K32" i="4"/>
  <c r="K31" i="4"/>
  <c r="E6" i="5"/>
  <c r="L32" i="4"/>
  <c r="L31" i="4"/>
  <c r="D7" i="5"/>
  <c r="E58" i="4"/>
  <c r="E57" i="4"/>
  <c r="E7" i="5"/>
  <c r="F58" i="4"/>
  <c r="F57" i="4"/>
  <c r="D8" i="5"/>
  <c r="K57" i="4"/>
  <c r="K58" i="4"/>
  <c r="E8" i="5"/>
  <c r="L58" i="4"/>
  <c r="L57" i="4"/>
  <c r="G8" i="2"/>
  <c r="I13" i="2"/>
  <c r="I14" i="2" s="1"/>
  <c r="H13" i="2"/>
  <c r="H14" i="2" s="1"/>
  <c r="G13" i="2"/>
  <c r="G14" i="2" s="1"/>
  <c r="F13" i="2"/>
  <c r="F14" i="2" s="1"/>
  <c r="E13" i="2"/>
  <c r="E14" i="2" s="1"/>
  <c r="D14" i="2"/>
  <c r="I15" i="2"/>
  <c r="I16" i="2" s="1"/>
  <c r="H15" i="2"/>
  <c r="H16" i="2" s="1"/>
  <c r="G15" i="2"/>
  <c r="G16" i="2" s="1"/>
  <c r="J22" i="2"/>
  <c r="J36" i="2"/>
  <c r="K35" i="2"/>
  <c r="J35" i="2"/>
  <c r="I35" i="2"/>
  <c r="G22" i="2"/>
  <c r="G36" i="2"/>
  <c r="H35" i="2"/>
  <c r="G35" i="2"/>
  <c r="F35" i="2"/>
  <c r="E35" i="2"/>
  <c r="D35" i="2"/>
  <c r="C35" i="2"/>
  <c r="H8" i="2" l="1"/>
  <c r="G10" i="2"/>
  <c r="P16" i="2"/>
  <c r="O16" i="2"/>
  <c r="N16" i="2"/>
  <c r="K16" i="2"/>
  <c r="K36" i="2"/>
  <c r="F15" i="2"/>
  <c r="F16" i="2" s="1"/>
  <c r="H36" i="2"/>
  <c r="E15" i="2"/>
  <c r="E16" i="2" s="1"/>
  <c r="L9" i="3"/>
  <c r="I11" i="2" s="1"/>
  <c r="J9" i="3"/>
  <c r="H11" i="2" s="1"/>
  <c r="H9" i="3"/>
  <c r="G11" i="2" s="1"/>
  <c r="F9" i="3"/>
  <c r="F11" i="2" s="1"/>
  <c r="F12" i="2" s="1"/>
  <c r="D9" i="3"/>
  <c r="E11" i="2" s="1"/>
  <c r="E12" i="2" s="1"/>
  <c r="B9" i="3"/>
  <c r="D11" i="2" s="1"/>
  <c r="D12" i="2" s="1"/>
  <c r="D17" i="2" l="1"/>
  <c r="E16" i="5" s="1"/>
  <c r="G12" i="2"/>
  <c r="G17" i="2" s="1"/>
  <c r="E19" i="5" s="1"/>
  <c r="H10" i="2"/>
  <c r="H12" i="2" s="1"/>
  <c r="H17" i="2" s="1"/>
  <c r="E20" i="5" s="1"/>
  <c r="I8" i="2"/>
  <c r="I10" i="2" s="1"/>
  <c r="I12" i="2" s="1"/>
  <c r="I17" i="2" s="1"/>
  <c r="E21" i="5" s="1"/>
  <c r="M16" i="2"/>
  <c r="F17" i="2"/>
  <c r="E18" i="5" s="1"/>
  <c r="L16" i="2"/>
  <c r="E17" i="2"/>
  <c r="E17" i="5" s="1"/>
</calcChain>
</file>

<file path=xl/sharedStrings.xml><?xml version="1.0" encoding="utf-8"?>
<sst xmlns="http://schemas.openxmlformats.org/spreadsheetml/2006/main" count="164" uniqueCount="57">
  <si>
    <t>Warning</t>
  </si>
  <si>
    <t>The differential rate needs to be the same polarity as the proportional gain.</t>
  </si>
  <si>
    <t>The integrator gain needs to be the opposite polarity of the proportional gain.</t>
  </si>
  <si>
    <t>The integrator gain needs to be &lt; 5% FS.</t>
  </si>
  <si>
    <t>The differential rate needs to be less then 10% of the proportional gain.</t>
  </si>
  <si>
    <t>porportional gain</t>
  </si>
  <si>
    <t>differential gain</t>
  </si>
  <si>
    <t>integrator gain</t>
  </si>
  <si>
    <t>x1</t>
  </si>
  <si>
    <t>x2</t>
  </si>
  <si>
    <t>y</t>
  </si>
  <si>
    <t>z1</t>
  </si>
  <si>
    <t>z2</t>
  </si>
  <si>
    <t>z3</t>
  </si>
  <si>
    <t>X1</t>
  </si>
  <si>
    <t>Slider</t>
  </si>
  <si>
    <t xml:space="preserve">LVDT </t>
  </si>
  <si>
    <t>max</t>
  </si>
  <si>
    <t>min</t>
  </si>
  <si>
    <t>mid</t>
  </si>
  <si>
    <t>(x)</t>
  </si>
  <si>
    <t>(y)</t>
  </si>
  <si>
    <t>(z)</t>
  </si>
  <si>
    <t>fixed</t>
  </si>
  <si>
    <t>free</t>
  </si>
  <si>
    <t>length</t>
  </si>
  <si>
    <t xml:space="preserve">DO NOT ADJUST DITHER TO BE TOO HIGH. 1-5% SHOULD BE OK. </t>
  </si>
  <si>
    <t>X2</t>
  </si>
  <si>
    <t>Y</t>
  </si>
  <si>
    <t>LVDT</t>
  </si>
  <si>
    <t>Caliper</t>
  </si>
  <si>
    <t>Cmd</t>
  </si>
  <si>
    <t>in/cmd</t>
  </si>
  <si>
    <t>in/LVDT</t>
  </si>
  <si>
    <t>Z1</t>
  </si>
  <si>
    <t>Z2</t>
  </si>
  <si>
    <t>Z3</t>
  </si>
  <si>
    <t>Pin Edge</t>
  </si>
  <si>
    <t>Cylinder</t>
  </si>
  <si>
    <t>Stroke</t>
  </si>
  <si>
    <t>total</t>
  </si>
  <si>
    <t>measured</t>
  </si>
  <si>
    <t>diff</t>
  </si>
  <si>
    <t>LVDT/in</t>
  </si>
  <si>
    <t>LVDT/cmd</t>
  </si>
  <si>
    <t>cmd/LVDT</t>
  </si>
  <si>
    <t>offset</t>
  </si>
  <si>
    <t>ServoErr</t>
  </si>
  <si>
    <t>SW Slider</t>
  </si>
  <si>
    <t>LVDT offset</t>
  </si>
  <si>
    <t>All DITHERS HERE ARE 1%</t>
  </si>
  <si>
    <t>DONE</t>
  </si>
  <si>
    <t>Previous Slopes:</t>
  </si>
  <si>
    <t>R-squared value</t>
  </si>
  <si>
    <t>Delta</t>
  </si>
  <si>
    <t>% Difference</t>
  </si>
  <si>
    <t>New Slope: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</si>
</sst>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0.000%"/>
    <numFmt numFmtId="166" formatCode="0.0000"/>
    <numFmt numFmtId="167" formatCode="0.000"/>
    <numFmt numFmtId="168" formatCode="0.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2" borderId="0" xfId="1"/>
    <xf numFmtId="0" fontId="4" fillId="2" borderId="1" xfId="1" applyBorder="1"/>
    <xf numFmtId="0" fontId="0" fillId="3" borderId="1" xfId="0" applyFill="1" applyBorder="1"/>
    <xf numFmtId="165" fontId="0" fillId="0" borderId="0" xfId="2" applyNumberFormat="1" applyFont="1"/>
    <xf numFmtId="0" fontId="0" fillId="4" borderId="0" xfId="0" applyFill="1"/>
    <xf numFmtId="166" fontId="0" fillId="0" borderId="0" xfId="0" applyNumberFormat="1"/>
    <xf numFmtId="0" fontId="0" fillId="0" borderId="0" xfId="0" applyFill="1"/>
    <xf numFmtId="0" fontId="3" fillId="0" borderId="0" xfId="0" applyFont="1" applyFill="1"/>
    <xf numFmtId="167" fontId="0" fillId="0" borderId="0" xfId="0" applyNumberFormat="1"/>
    <xf numFmtId="167" fontId="4" fillId="2" borderId="1" xfId="1" applyNumberFormat="1" applyBorder="1"/>
    <xf numFmtId="168" fontId="4" fillId="2" borderId="1" xfId="1" applyNumberFormat="1" applyBorder="1"/>
  </cellXfs>
  <cellStyles count="3">
    <cellStyle name="40% - Accent6" xfId="1" builtinId="5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H19" sqref="H19"/>
    </sheetView>
  </sheetViews>
  <sheetFormatPr defaultRowHeight="15" x14ac:dyDescent="0.25"/>
  <cols>
    <col min="1" max="16384" width="9.140625" style="2"/>
  </cols>
  <sheetData>
    <row r="2" spans="2:9" x14ac:dyDescent="0.25">
      <c r="C2" s="1" t="s">
        <v>0</v>
      </c>
    </row>
    <row r="3" spans="2:9" x14ac:dyDescent="0.25">
      <c r="D3" s="2" t="s">
        <v>1</v>
      </c>
    </row>
    <row r="5" spans="2:9" x14ac:dyDescent="0.25">
      <c r="D5" s="2" t="s">
        <v>2</v>
      </c>
    </row>
    <row r="7" spans="2:9" x14ac:dyDescent="0.25">
      <c r="D7" s="2" t="s">
        <v>3</v>
      </c>
    </row>
    <row r="9" spans="2:9" x14ac:dyDescent="0.25">
      <c r="D9" s="2" t="s">
        <v>4</v>
      </c>
    </row>
    <row r="15" spans="2:9" x14ac:dyDescent="0.25">
      <c r="D15" s="2" t="s">
        <v>8</v>
      </c>
      <c r="E15" s="2" t="s">
        <v>9</v>
      </c>
      <c r="F15" s="2" t="s">
        <v>10</v>
      </c>
      <c r="G15" s="2" t="s">
        <v>11</v>
      </c>
      <c r="H15" s="2" t="s">
        <v>12</v>
      </c>
      <c r="I15" s="2" t="s">
        <v>13</v>
      </c>
    </row>
    <row r="16" spans="2:9" x14ac:dyDescent="0.25">
      <c r="B16" s="2" t="s">
        <v>5</v>
      </c>
      <c r="D16" s="2">
        <v>95</v>
      </c>
      <c r="E16" s="2">
        <v>90</v>
      </c>
      <c r="F16" s="2">
        <v>45</v>
      </c>
      <c r="G16" s="2">
        <v>65</v>
      </c>
      <c r="H16" s="2">
        <v>40</v>
      </c>
      <c r="I16" s="2">
        <v>45</v>
      </c>
    </row>
    <row r="17" spans="2:9" x14ac:dyDescent="0.25">
      <c r="B17" s="2" t="s">
        <v>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 spans="2:9" x14ac:dyDescent="0.25">
      <c r="B18" s="2" t="s">
        <v>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22" spans="2:9" x14ac:dyDescent="0.25">
      <c r="B22" s="1" t="s">
        <v>26</v>
      </c>
    </row>
    <row r="23" spans="2:9" x14ac:dyDescent="0.25">
      <c r="B23" s="1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T38"/>
  <sheetViews>
    <sheetView topLeftCell="A4" workbookViewId="0">
      <selection activeCell="J14" sqref="J14"/>
    </sheetView>
  </sheetViews>
  <sheetFormatPr defaultRowHeight="15" x14ac:dyDescent="0.25"/>
  <cols>
    <col min="2" max="2" width="11.42578125" customWidth="1"/>
    <col min="3" max="3" width="11.5703125" customWidth="1"/>
  </cols>
  <sheetData>
    <row r="6" spans="2:16" x14ac:dyDescent="0.25">
      <c r="D6" t="s">
        <v>14</v>
      </c>
      <c r="E6" t="s">
        <v>27</v>
      </c>
      <c r="F6" t="s">
        <v>28</v>
      </c>
      <c r="G6" t="s">
        <v>34</v>
      </c>
      <c r="H6" t="s">
        <v>35</v>
      </c>
      <c r="I6" t="s">
        <v>36</v>
      </c>
    </row>
    <row r="7" spans="2:16" x14ac:dyDescent="0.25">
      <c r="C7" t="s">
        <v>37</v>
      </c>
      <c r="D7">
        <v>0.875</v>
      </c>
      <c r="E7">
        <v>0.875</v>
      </c>
      <c r="F7">
        <v>0.875</v>
      </c>
      <c r="G7">
        <v>0.875</v>
      </c>
      <c r="H7">
        <v>0.875</v>
      </c>
      <c r="I7">
        <v>0.875</v>
      </c>
      <c r="M7">
        <f>2*0.05</f>
        <v>0.1</v>
      </c>
    </row>
    <row r="8" spans="2:16" x14ac:dyDescent="0.25">
      <c r="C8" t="s">
        <v>38</v>
      </c>
      <c r="D8">
        <f>8+10/16</f>
        <v>8.625</v>
      </c>
      <c r="E8">
        <f>D8</f>
        <v>8.625</v>
      </c>
      <c r="F8">
        <f>6+4/16</f>
        <v>6.25</v>
      </c>
      <c r="G8">
        <f>F8</f>
        <v>6.25</v>
      </c>
      <c r="H8">
        <f>G8</f>
        <v>6.25</v>
      </c>
      <c r="I8">
        <f>H8</f>
        <v>6.25</v>
      </c>
      <c r="M8">
        <f>1*0.05</f>
        <v>0.05</v>
      </c>
    </row>
    <row r="9" spans="2:16" x14ac:dyDescent="0.25">
      <c r="C9" t="s">
        <v>39</v>
      </c>
      <c r="D9" s="9">
        <v>5.3579999999999997</v>
      </c>
      <c r="E9" s="9">
        <v>5.3860000000000001</v>
      </c>
      <c r="F9" s="9">
        <v>4.3535000000000004</v>
      </c>
      <c r="G9" s="9">
        <v>4.2939999999999996</v>
      </c>
      <c r="H9" s="9">
        <v>4.242</v>
      </c>
      <c r="I9" s="9">
        <v>4.3815</v>
      </c>
    </row>
    <row r="10" spans="2:16" x14ac:dyDescent="0.25">
      <c r="B10" t="s">
        <v>41</v>
      </c>
      <c r="C10" t="s">
        <v>40</v>
      </c>
      <c r="D10">
        <f>SUM(D7:D9)</f>
        <v>14.858000000000001</v>
      </c>
      <c r="E10">
        <f t="shared" ref="E10:I10" si="0">SUM(E7:E9)</f>
        <v>14.885999999999999</v>
      </c>
      <c r="F10">
        <f t="shared" si="0"/>
        <v>11.4785</v>
      </c>
      <c r="G10">
        <f t="shared" si="0"/>
        <v>11.419</v>
      </c>
      <c r="H10">
        <f>SUM(H7:H9)</f>
        <v>11.367000000000001</v>
      </c>
      <c r="I10">
        <f t="shared" si="0"/>
        <v>11.506499999999999</v>
      </c>
    </row>
    <row r="11" spans="2:16" x14ac:dyDescent="0.25">
      <c r="C11" t="str">
        <f>"true"</f>
        <v>true</v>
      </c>
      <c r="D11">
        <f>Actuator_PinLocations!$B$9</f>
        <v>14.44602660041854</v>
      </c>
      <c r="E11">
        <f>Actuator_PinLocations!$D$9</f>
        <v>14.44602660041854</v>
      </c>
      <c r="F11">
        <f>Actuator_PinLocations!$F$9</f>
        <v>11.317233027114003</v>
      </c>
      <c r="G11">
        <f>Actuator_PinLocations!$H$9</f>
        <v>11.010008974564917</v>
      </c>
      <c r="H11">
        <f>Actuator_PinLocations!$J$9</f>
        <v>11.010031557629617</v>
      </c>
      <c r="I11">
        <f>Actuator_PinLocations!$L$9</f>
        <v>11.010031557629617</v>
      </c>
    </row>
    <row r="12" spans="2:16" x14ac:dyDescent="0.25">
      <c r="C12" t="s">
        <v>42</v>
      </c>
      <c r="D12">
        <f>D11-D10</f>
        <v>-0.41197339958146095</v>
      </c>
      <c r="E12">
        <f t="shared" ref="E12:I12" si="1">E11-E10</f>
        <v>-0.43997339958145965</v>
      </c>
      <c r="F12">
        <f t="shared" si="1"/>
        <v>-0.16126697288599701</v>
      </c>
      <c r="G12">
        <f t="shared" si="1"/>
        <v>-0.4089910254350837</v>
      </c>
      <c r="H12">
        <f t="shared" si="1"/>
        <v>-0.35696844237038405</v>
      </c>
      <c r="I12">
        <f t="shared" si="1"/>
        <v>-0.49646844237038223</v>
      </c>
    </row>
    <row r="13" spans="2:16" x14ac:dyDescent="0.25">
      <c r="C13" t="s">
        <v>33</v>
      </c>
      <c r="D13">
        <f>calibration!$F$27</f>
        <v>0.26773623149939174</v>
      </c>
      <c r="E13">
        <f>calibration!$L$27</f>
        <v>0.26755083133801272</v>
      </c>
      <c r="F13">
        <f>calibration!$F$53</f>
        <v>0.13501478873891026</v>
      </c>
      <c r="G13">
        <f>calibration!$L$53</f>
        <v>0.13519771607008962</v>
      </c>
      <c r="H13">
        <f>calibration!$F$79</f>
        <v>0.12608102115425956</v>
      </c>
      <c r="I13">
        <f>calibration!$L$79</f>
        <v>0.40890683932975469</v>
      </c>
    </row>
    <row r="14" spans="2:16" x14ac:dyDescent="0.25">
      <c r="C14" t="s">
        <v>43</v>
      </c>
      <c r="D14">
        <f>1/D13</f>
        <v>3.7350193300314376</v>
      </c>
      <c r="E14">
        <f t="shared" ref="E14:I14" si="2">1/E13</f>
        <v>3.7376075230229473</v>
      </c>
      <c r="F14">
        <f t="shared" si="2"/>
        <v>7.4065960428511737</v>
      </c>
      <c r="G14">
        <f t="shared" si="2"/>
        <v>7.3965746542757929</v>
      </c>
      <c r="H14">
        <f t="shared" si="2"/>
        <v>7.9314078427117467</v>
      </c>
      <c r="I14">
        <f t="shared" si="2"/>
        <v>2.445544813188048</v>
      </c>
    </row>
    <row r="15" spans="2:16" x14ac:dyDescent="0.25">
      <c r="C15" t="s">
        <v>44</v>
      </c>
      <c r="D15" s="11">
        <f>D36</f>
        <v>-0.10326591758241759</v>
      </c>
      <c r="E15" s="11">
        <f>G36</f>
        <v>-0.10325958681318681</v>
      </c>
      <c r="F15" s="11">
        <f>J36</f>
        <v>-0.10287267802197804</v>
      </c>
      <c r="G15" s="11">
        <f>M36</f>
        <v>-0.10240945494505495</v>
      </c>
      <c r="H15" s="11">
        <f>P36</f>
        <v>-0.10259925054945054</v>
      </c>
      <c r="I15" s="11">
        <f>S36</f>
        <v>-0.10253797191780821</v>
      </c>
    </row>
    <row r="16" spans="2:16" x14ac:dyDescent="0.25">
      <c r="C16" t="s">
        <v>45</v>
      </c>
      <c r="D16">
        <f>1/D15</f>
        <v>-9.6837371265489391</v>
      </c>
      <c r="E16">
        <f t="shared" ref="E16:I16" si="3">1/E15</f>
        <v>-9.6843308293414037</v>
      </c>
      <c r="F16">
        <f t="shared" si="3"/>
        <v>-9.7207540352585831</v>
      </c>
      <c r="G16">
        <f t="shared" si="3"/>
        <v>-9.7647233894226204</v>
      </c>
      <c r="H16">
        <f t="shared" si="3"/>
        <v>-9.7466598892749445</v>
      </c>
      <c r="I16">
        <f t="shared" si="3"/>
        <v>-9.7524846775941132</v>
      </c>
      <c r="K16">
        <f>D14*D16</f>
        <v>-36.16894535460338</v>
      </c>
      <c r="L16">
        <f t="shared" ref="L16:P16" si="4">E14*E16</f>
        <v>-36.196227763189491</v>
      </c>
      <c r="M16">
        <f t="shared" si="4"/>
        <v>-71.997698371075799</v>
      </c>
      <c r="N16">
        <f t="shared" si="4"/>
        <v>-72.225505528217369</v>
      </c>
      <c r="O16">
        <f t="shared" si="4"/>
        <v>-77.304734686039296</v>
      </c>
      <c r="P16">
        <f t="shared" si="4"/>
        <v>-23.850138318986197</v>
      </c>
    </row>
    <row r="17" spans="1:20" x14ac:dyDescent="0.25">
      <c r="C17" t="s">
        <v>46</v>
      </c>
      <c r="D17" s="13">
        <f>D12*D14*D16</f>
        <v>14.900643377012043</v>
      </c>
      <c r="E17" s="13">
        <f t="shared" ref="E17:I17" si="5">E12*E14*E16</f>
        <v>15.925377380995291</v>
      </c>
      <c r="F17" s="13">
        <f t="shared" si="5"/>
        <v>11.610850871062473</v>
      </c>
      <c r="G17" s="13">
        <f t="shared" si="5"/>
        <v>29.539583568552928</v>
      </c>
      <c r="H17" s="13">
        <f t="shared" si="5"/>
        <v>27.595350728731248</v>
      </c>
      <c r="I17" s="13">
        <f t="shared" si="5"/>
        <v>11.840841021545243</v>
      </c>
    </row>
    <row r="19" spans="1:20" x14ac:dyDescent="0.25">
      <c r="C19" t="s">
        <v>14</v>
      </c>
      <c r="D19" t="s">
        <v>15</v>
      </c>
      <c r="E19" t="s">
        <v>16</v>
      </c>
      <c r="F19" t="s">
        <v>27</v>
      </c>
      <c r="G19" t="s">
        <v>15</v>
      </c>
      <c r="H19" t="s">
        <v>16</v>
      </c>
      <c r="I19" t="s">
        <v>28</v>
      </c>
      <c r="J19" t="s">
        <v>15</v>
      </c>
      <c r="K19" t="s">
        <v>16</v>
      </c>
      <c r="L19" t="s">
        <v>34</v>
      </c>
      <c r="M19" t="s">
        <v>15</v>
      </c>
      <c r="N19" t="s">
        <v>16</v>
      </c>
      <c r="O19" t="s">
        <v>35</v>
      </c>
      <c r="P19" t="s">
        <v>15</v>
      </c>
      <c r="Q19" t="s">
        <v>16</v>
      </c>
      <c r="R19" t="s">
        <v>36</v>
      </c>
      <c r="S19" t="s">
        <v>15</v>
      </c>
      <c r="T19" t="s">
        <v>16</v>
      </c>
    </row>
    <row r="20" spans="1:20" x14ac:dyDescent="0.25">
      <c r="A20" t="s">
        <v>17</v>
      </c>
      <c r="D20">
        <v>73.67</v>
      </c>
      <c r="E20">
        <v>-7.5970199999999997</v>
      </c>
      <c r="G20">
        <v>75.349999999999994</v>
      </c>
      <c r="H20">
        <v>-7.7512299999999996</v>
      </c>
      <c r="J20">
        <v>74.319999999999993</v>
      </c>
      <c r="K20">
        <v>-7.6415899999999999</v>
      </c>
      <c r="M20">
        <v>70.48</v>
      </c>
      <c r="N20">
        <v>-7.2399100000000001</v>
      </c>
      <c r="P20">
        <v>73.5</v>
      </c>
      <c r="Q20">
        <v>-7.5611800000000002</v>
      </c>
      <c r="S20">
        <v>21.73</v>
      </c>
      <c r="T20">
        <v>-2.2019099999999998</v>
      </c>
    </row>
    <row r="21" spans="1:20" x14ac:dyDescent="0.25">
      <c r="A21" t="s">
        <v>18</v>
      </c>
      <c r="D21">
        <v>-71.25</v>
      </c>
      <c r="E21">
        <v>7.4077500000000001</v>
      </c>
      <c r="G21">
        <v>-70.510000000000005</v>
      </c>
      <c r="H21">
        <v>7.3595199999999998</v>
      </c>
      <c r="J21">
        <v>-70.739999999999995</v>
      </c>
      <c r="K21">
        <v>7.3195600000000001</v>
      </c>
      <c r="M21">
        <v>-72.650000000000006</v>
      </c>
      <c r="N21">
        <v>7.46265</v>
      </c>
      <c r="P21">
        <v>-77.739999999999995</v>
      </c>
      <c r="Q21">
        <v>7.9522500000000003</v>
      </c>
      <c r="S21">
        <v>-18.38</v>
      </c>
      <c r="T21">
        <v>1.90343</v>
      </c>
    </row>
    <row r="22" spans="1:20" x14ac:dyDescent="0.25">
      <c r="A22" t="s">
        <v>19</v>
      </c>
      <c r="D22" s="12">
        <f>(D20+D21)*0.5</f>
        <v>1.2100000000000009</v>
      </c>
      <c r="E22" s="11"/>
      <c r="G22" s="4">
        <f>(G20+G21)*0.5</f>
        <v>2.4199999999999946</v>
      </c>
      <c r="J22" s="4">
        <f>(J20+J21)*0.5</f>
        <v>1.7899999999999991</v>
      </c>
      <c r="M22" s="4">
        <f>(M20+M21)*0.5</f>
        <v>-1.0850000000000009</v>
      </c>
      <c r="P22" s="4">
        <f>(P20+P21)*0.5</f>
        <v>-2.1199999999999974</v>
      </c>
      <c r="S22" s="4">
        <f>(S20+S21)*0.5</f>
        <v>1.6750000000000007</v>
      </c>
    </row>
    <row r="23" spans="1:20" x14ac:dyDescent="0.25">
      <c r="D23" s="11">
        <v>5</v>
      </c>
      <c r="E23" s="11">
        <v>-0.48705100000000001</v>
      </c>
      <c r="G23">
        <v>5</v>
      </c>
      <c r="H23">
        <v>-0.45359100000000002</v>
      </c>
      <c r="J23">
        <v>5</v>
      </c>
      <c r="K23">
        <v>-0.49504300000000001</v>
      </c>
      <c r="M23">
        <v>5</v>
      </c>
      <c r="N23">
        <v>-0.51510500000000004</v>
      </c>
      <c r="P23">
        <v>5</v>
      </c>
      <c r="Q23">
        <v>-0.56676599999999999</v>
      </c>
      <c r="S23">
        <v>5</v>
      </c>
      <c r="T23">
        <v>-0.49207400000000001</v>
      </c>
    </row>
    <row r="24" spans="1:20" x14ac:dyDescent="0.25">
      <c r="D24" s="11">
        <v>10</v>
      </c>
      <c r="E24" s="11">
        <v>-1.0029600000000001</v>
      </c>
      <c r="G24">
        <v>10</v>
      </c>
      <c r="H24">
        <v>-0.97196800000000005</v>
      </c>
      <c r="J24">
        <v>10</v>
      </c>
      <c r="K24">
        <v>-1.00945</v>
      </c>
      <c r="M24">
        <v>10</v>
      </c>
      <c r="N24">
        <v>-1.0283800000000001</v>
      </c>
      <c r="P24">
        <v>10</v>
      </c>
      <c r="Q24">
        <v>-1.07663</v>
      </c>
      <c r="S24">
        <v>10</v>
      </c>
      <c r="T24">
        <v>-1.0032700000000001</v>
      </c>
    </row>
    <row r="25" spans="1:20" x14ac:dyDescent="0.25">
      <c r="D25" s="11">
        <v>15</v>
      </c>
      <c r="E25" s="11">
        <v>-1.51851</v>
      </c>
      <c r="G25">
        <v>15</v>
      </c>
      <c r="H25">
        <v>-1.4873400000000001</v>
      </c>
      <c r="J25">
        <v>15</v>
      </c>
      <c r="K25">
        <v>-1.52285</v>
      </c>
      <c r="M25">
        <v>15</v>
      </c>
      <c r="N25">
        <v>-1.5386200000000001</v>
      </c>
      <c r="P25">
        <v>15</v>
      </c>
      <c r="Q25">
        <v>-1.5874299999999999</v>
      </c>
      <c r="S25">
        <v>15</v>
      </c>
      <c r="T25">
        <v>-1.5134300000000001</v>
      </c>
    </row>
    <row r="26" spans="1:20" x14ac:dyDescent="0.25">
      <c r="D26" s="11">
        <v>20</v>
      </c>
      <c r="E26" s="11">
        <v>-2.0347</v>
      </c>
      <c r="G26">
        <v>20</v>
      </c>
      <c r="H26">
        <v>-2.00495</v>
      </c>
      <c r="J26">
        <v>20</v>
      </c>
      <c r="K26">
        <v>-2.0376300000000001</v>
      </c>
      <c r="M26">
        <v>20</v>
      </c>
      <c r="N26">
        <v>-2.0523199999999999</v>
      </c>
      <c r="P26">
        <v>20</v>
      </c>
      <c r="Q26">
        <v>-2.1009899999999999</v>
      </c>
      <c r="S26">
        <v>20</v>
      </c>
      <c r="T26">
        <v>-2.02536</v>
      </c>
    </row>
    <row r="27" spans="1:20" x14ac:dyDescent="0.25">
      <c r="D27" s="11">
        <v>25</v>
      </c>
      <c r="E27" s="11">
        <v>-2.5505</v>
      </c>
      <c r="G27">
        <v>25</v>
      </c>
      <c r="H27">
        <v>-2.5223300000000002</v>
      </c>
      <c r="J27">
        <v>25</v>
      </c>
      <c r="K27">
        <v>-2.5516399999999999</v>
      </c>
      <c r="M27">
        <v>25</v>
      </c>
      <c r="N27">
        <v>-2.5645199999999999</v>
      </c>
      <c r="P27">
        <v>25</v>
      </c>
      <c r="Q27">
        <v>-2.6142400000000001</v>
      </c>
      <c r="S27">
        <v>-5</v>
      </c>
      <c r="T27">
        <v>0.53804700000000005</v>
      </c>
    </row>
    <row r="28" spans="1:20" x14ac:dyDescent="0.25">
      <c r="D28" s="11">
        <v>30</v>
      </c>
      <c r="E28" s="11">
        <v>-3.0677400000000001</v>
      </c>
      <c r="G28">
        <v>30</v>
      </c>
      <c r="H28">
        <v>-3.0382199999999999</v>
      </c>
      <c r="J28">
        <v>30</v>
      </c>
      <c r="K28">
        <v>-3.0653299999999999</v>
      </c>
      <c r="M28">
        <v>30</v>
      </c>
      <c r="N28">
        <v>-3.0770599999999999</v>
      </c>
      <c r="P28">
        <v>30</v>
      </c>
      <c r="Q28">
        <v>-3.12466</v>
      </c>
      <c r="S28">
        <v>-10</v>
      </c>
      <c r="T28">
        <v>1.0498499999999999</v>
      </c>
    </row>
    <row r="29" spans="1:20" x14ac:dyDescent="0.25">
      <c r="D29" s="11">
        <v>-5</v>
      </c>
      <c r="E29" s="11">
        <v>0.54721399999999998</v>
      </c>
      <c r="G29">
        <v>-5</v>
      </c>
      <c r="H29">
        <v>0.57637700000000003</v>
      </c>
      <c r="J29">
        <v>-5</v>
      </c>
      <c r="K29">
        <v>0.53343399999999996</v>
      </c>
      <c r="M29">
        <v>-5</v>
      </c>
      <c r="N29">
        <v>0.50778900000000005</v>
      </c>
      <c r="P29">
        <v>-5</v>
      </c>
      <c r="Q29">
        <v>0.46515800000000002</v>
      </c>
      <c r="S29">
        <v>-15</v>
      </c>
      <c r="T29">
        <v>1.56175</v>
      </c>
    </row>
    <row r="30" spans="1:20" x14ac:dyDescent="0.25">
      <c r="D30" s="11">
        <v>-10</v>
      </c>
      <c r="E30" s="11">
        <v>1.0638700000000001</v>
      </c>
      <c r="G30">
        <v>-10</v>
      </c>
      <c r="H30">
        <v>1.09192</v>
      </c>
      <c r="J30">
        <v>-10</v>
      </c>
      <c r="K30">
        <v>1.04637</v>
      </c>
      <c r="M30">
        <v>-10</v>
      </c>
      <c r="N30">
        <v>1.0203100000000001</v>
      </c>
      <c r="P30">
        <v>-10</v>
      </c>
      <c r="Q30">
        <v>0.978132</v>
      </c>
    </row>
    <row r="31" spans="1:20" x14ac:dyDescent="0.25">
      <c r="D31" s="11">
        <v>-15</v>
      </c>
      <c r="E31" s="11">
        <v>1.57911</v>
      </c>
      <c r="G31">
        <v>-15</v>
      </c>
      <c r="H31">
        <v>1.6089800000000001</v>
      </c>
      <c r="J31">
        <v>-15</v>
      </c>
      <c r="K31">
        <v>1.56219</v>
      </c>
      <c r="M31">
        <v>-15</v>
      </c>
      <c r="N31">
        <v>1.53121</v>
      </c>
      <c r="P31">
        <v>-15</v>
      </c>
      <c r="Q31">
        <v>1.4900199999999999</v>
      </c>
    </row>
    <row r="32" spans="1:20" x14ac:dyDescent="0.25">
      <c r="D32" s="11">
        <v>-20</v>
      </c>
      <c r="E32" s="11">
        <v>2.0959500000000002</v>
      </c>
      <c r="G32">
        <v>-20</v>
      </c>
      <c r="H32">
        <v>2.1241500000000002</v>
      </c>
      <c r="J32">
        <v>-20</v>
      </c>
      <c r="K32">
        <v>2.0761699999999998</v>
      </c>
      <c r="M32">
        <v>-20</v>
      </c>
      <c r="N32">
        <v>2.0444300000000002</v>
      </c>
      <c r="P32">
        <v>-20</v>
      </c>
      <c r="Q32">
        <v>2.00345</v>
      </c>
    </row>
    <row r="33" spans="3:20" x14ac:dyDescent="0.25">
      <c r="D33" s="11">
        <v>-25</v>
      </c>
      <c r="E33" s="11">
        <v>2.6114199999999999</v>
      </c>
      <c r="G33">
        <v>-25</v>
      </c>
      <c r="H33">
        <v>2.6427100000000001</v>
      </c>
      <c r="J33">
        <v>-25</v>
      </c>
      <c r="K33">
        <v>2.59362</v>
      </c>
      <c r="M33">
        <v>-25</v>
      </c>
      <c r="N33">
        <v>2.5558200000000002</v>
      </c>
      <c r="P33">
        <v>-25</v>
      </c>
      <c r="Q33">
        <v>2.51702</v>
      </c>
    </row>
    <row r="34" spans="3:20" x14ac:dyDescent="0.25">
      <c r="D34" s="11">
        <v>-30</v>
      </c>
      <c r="E34" s="11">
        <v>3.1287600000000002</v>
      </c>
      <c r="G34">
        <v>-30</v>
      </c>
      <c r="H34">
        <v>3.1581000000000001</v>
      </c>
      <c r="J34">
        <v>-30</v>
      </c>
      <c r="K34">
        <v>3.1075699999999999</v>
      </c>
      <c r="M34">
        <v>-30</v>
      </c>
      <c r="N34">
        <v>3.0686300000000002</v>
      </c>
      <c r="P34">
        <v>-30</v>
      </c>
      <c r="Q34">
        <v>3.0282499999999999</v>
      </c>
    </row>
    <row r="35" spans="3:20" x14ac:dyDescent="0.25">
      <c r="C35" s="3" t="str">
        <f>"y="</f>
        <v>y=</v>
      </c>
      <c r="D35" s="11" t="str">
        <f>"Ax"</f>
        <v>Ax</v>
      </c>
      <c r="E35" s="11" t="str">
        <f>"+B"</f>
        <v>+B</v>
      </c>
      <c r="F35" s="3" t="str">
        <f>"y="</f>
        <v>y=</v>
      </c>
      <c r="G35" t="str">
        <f>"Ax"</f>
        <v>Ax</v>
      </c>
      <c r="H35" t="str">
        <f>"+B"</f>
        <v>+B</v>
      </c>
      <c r="I35" s="3" t="str">
        <f>"y="</f>
        <v>y=</v>
      </c>
      <c r="J35" t="str">
        <f>"Ax"</f>
        <v>Ax</v>
      </c>
      <c r="K35" t="str">
        <f>"+B"</f>
        <v>+B</v>
      </c>
      <c r="L35" s="3" t="str">
        <f>"y="</f>
        <v>y=</v>
      </c>
      <c r="M35" t="str">
        <f>"Ax"</f>
        <v>Ax</v>
      </c>
      <c r="N35" t="str">
        <f>"+B"</f>
        <v>+B</v>
      </c>
      <c r="O35" s="3" t="str">
        <f>"y="</f>
        <v>y=</v>
      </c>
      <c r="P35" t="str">
        <f>"Ax"</f>
        <v>Ax</v>
      </c>
      <c r="Q35" t="str">
        <f>"+B"</f>
        <v>+B</v>
      </c>
      <c r="R35" s="3" t="str">
        <f>"y="</f>
        <v>y=</v>
      </c>
      <c r="S35" t="str">
        <f>"Ax"</f>
        <v>Ax</v>
      </c>
      <c r="T35" t="str">
        <f>"+B"</f>
        <v>+B</v>
      </c>
    </row>
    <row r="36" spans="3:20" x14ac:dyDescent="0.25">
      <c r="D36" s="11">
        <f>SLOPE(E23:E34,D23:D34)</f>
        <v>-0.10326591758241759</v>
      </c>
      <c r="E36" s="11">
        <f>1/12*(SUM(E23:E34)-SUM(D23:D34)*D36)</f>
        <v>3.0405249999999939E-2</v>
      </c>
      <c r="G36">
        <f>SLOPE(H23:H34,G23:G34)</f>
        <v>-0.10325958681318681</v>
      </c>
      <c r="H36">
        <f>1/12*(SUM(H23:H34)-SUM(G23:G34)*G36)</f>
        <v>6.0319833333333461E-2</v>
      </c>
      <c r="J36">
        <f>SLOPE(K23:K34,J23:J34)</f>
        <v>-0.10287267802197804</v>
      </c>
      <c r="K36">
        <f>1/12*(SUM(K23:K34)-SUM(J23:J34)*J36)</f>
        <v>1.9784249999999948E-2</v>
      </c>
      <c r="M36">
        <f>SLOPE(N23:N34,M23:M34)</f>
        <v>-0.10240945494505495</v>
      </c>
      <c r="N36">
        <f>1/12*(SUM(N23:N34)-SUM(M23:M34)*M36)</f>
        <v>-3.9846666666665254E-3</v>
      </c>
      <c r="P36">
        <f>SLOPE(Q23:Q34,P23:P34)</f>
        <v>-0.10259925054945054</v>
      </c>
      <c r="Q36">
        <f>1/12*(SUM(Q23:Q34)-SUM(P23:P34)*P36)</f>
        <v>-4.9057166666666707E-2</v>
      </c>
      <c r="S36">
        <f>SLOPE(T23:T32,S23:S32)</f>
        <v>-0.10253797191780821</v>
      </c>
      <c r="T36">
        <f>1/12*(SUM(T23:T32)-SUM(S23:S32)*S36)</f>
        <v>1.3856036529680333E-2</v>
      </c>
    </row>
    <row r="37" spans="3:20" x14ac:dyDescent="0.25">
      <c r="J37" s="10"/>
      <c r="M37" s="10"/>
      <c r="P37" s="10"/>
      <c r="S37" s="10"/>
    </row>
    <row r="38" spans="3:20" x14ac:dyDescent="0.25">
      <c r="E38" t="s">
        <v>51</v>
      </c>
      <c r="H38" t="s">
        <v>51</v>
      </c>
      <c r="K38" t="s">
        <v>51</v>
      </c>
      <c r="N38" t="s">
        <v>51</v>
      </c>
      <c r="Q38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9"/>
  <sheetViews>
    <sheetView workbookViewId="0">
      <selection activeCell="C5" sqref="C5"/>
    </sheetView>
  </sheetViews>
  <sheetFormatPr defaultRowHeight="15" x14ac:dyDescent="0.25"/>
  <sheetData>
    <row r="3" spans="1:13" x14ac:dyDescent="0.25">
      <c r="B3" t="s">
        <v>8</v>
      </c>
      <c r="D3" t="s">
        <v>9</v>
      </c>
      <c r="F3" t="s">
        <v>10</v>
      </c>
      <c r="H3" t="s">
        <v>11</v>
      </c>
      <c r="J3" t="s">
        <v>12</v>
      </c>
      <c r="L3" t="s">
        <v>13</v>
      </c>
    </row>
    <row r="4" spans="1:13" x14ac:dyDescent="0.25">
      <c r="B4" t="s">
        <v>23</v>
      </c>
      <c r="C4" t="s">
        <v>24</v>
      </c>
      <c r="D4" t="s">
        <v>23</v>
      </c>
      <c r="E4" t="s">
        <v>24</v>
      </c>
      <c r="F4" t="s">
        <v>23</v>
      </c>
      <c r="G4" t="s">
        <v>24</v>
      </c>
      <c r="H4" t="s">
        <v>23</v>
      </c>
      <c r="I4" t="s">
        <v>24</v>
      </c>
      <c r="J4" t="s">
        <v>23</v>
      </c>
      <c r="K4" t="s">
        <v>24</v>
      </c>
      <c r="L4" t="s">
        <v>23</v>
      </c>
      <c r="M4" t="s">
        <v>24</v>
      </c>
    </row>
    <row r="5" spans="1:13" x14ac:dyDescent="0.25">
      <c r="A5" t="s">
        <v>20</v>
      </c>
      <c r="B5">
        <v>-19.184000000000001</v>
      </c>
      <c r="C5">
        <v>-5.4347000000000003</v>
      </c>
      <c r="D5">
        <v>-19.184000000000001</v>
      </c>
      <c r="E5">
        <v>-5.4347000000000003</v>
      </c>
      <c r="F5">
        <v>7.9000000000000001E-2</v>
      </c>
      <c r="G5">
        <v>-0.1013</v>
      </c>
      <c r="H5">
        <v>-5.6231999999999998</v>
      </c>
      <c r="I5">
        <v>-5.6253000000000002</v>
      </c>
      <c r="J5">
        <v>5.9787999999999997</v>
      </c>
      <c r="K5">
        <v>6.0049000000000001</v>
      </c>
      <c r="L5">
        <v>5.9787999999999997</v>
      </c>
      <c r="M5">
        <v>6.0049000000000001</v>
      </c>
    </row>
    <row r="6" spans="1:13" x14ac:dyDescent="0.25">
      <c r="A6" t="s">
        <v>21</v>
      </c>
      <c r="B6">
        <v>4.8038999999999996</v>
      </c>
      <c r="C6">
        <v>4.7977999999999996</v>
      </c>
      <c r="D6">
        <v>-4.8038999999999996</v>
      </c>
      <c r="E6">
        <v>-4.7977999999999996</v>
      </c>
      <c r="F6">
        <v>-7.6005000000000003</v>
      </c>
      <c r="G6">
        <v>3.3363999999999998</v>
      </c>
      <c r="H6">
        <v>3.3799999999999997E-2</v>
      </c>
      <c r="I6">
        <v>4.7699999999999999E-2</v>
      </c>
      <c r="J6">
        <v>4.8056000000000001</v>
      </c>
      <c r="K6">
        <v>4.8093000000000004</v>
      </c>
      <c r="L6">
        <v>-4.8056000000000001</v>
      </c>
      <c r="M6">
        <v>-4.8093000000000004</v>
      </c>
    </row>
    <row r="7" spans="1:13" x14ac:dyDescent="0.25">
      <c r="A7" t="s">
        <v>22</v>
      </c>
      <c r="B7">
        <v>-7.0262000000000002</v>
      </c>
      <c r="C7">
        <v>-2.5939999999999999</v>
      </c>
      <c r="D7">
        <v>-7.0262000000000002</v>
      </c>
      <c r="E7">
        <v>-2.5939999999999999</v>
      </c>
      <c r="F7">
        <v>-6.8944999999999999</v>
      </c>
      <c r="G7">
        <v>-3.9908000000000001</v>
      </c>
      <c r="H7">
        <v>-13.63</v>
      </c>
      <c r="I7">
        <v>-2.62</v>
      </c>
      <c r="J7">
        <v>-13.63</v>
      </c>
      <c r="K7">
        <v>-2.62</v>
      </c>
      <c r="L7">
        <v>-13.63</v>
      </c>
      <c r="M7">
        <v>-2.62</v>
      </c>
    </row>
    <row r="9" spans="1:13" x14ac:dyDescent="0.25">
      <c r="A9" t="s">
        <v>25</v>
      </c>
      <c r="B9">
        <f>SQRT((B5-C5)^2+(B6-C6)^2+(B7-C7)^2)</f>
        <v>14.44602660041854</v>
      </c>
      <c r="D9">
        <f>SQRT((D5-E5)^2+(D6-E6)^2+(D7-E7)^2)</f>
        <v>14.44602660041854</v>
      </c>
      <c r="F9">
        <f>SQRT((F5-G5)^2+(F6-G6)^2+(F7-G7)^2)</f>
        <v>11.317233027114003</v>
      </c>
      <c r="H9">
        <f>SQRT((H5-I5)^2+(H6-I6)^2+(H7-I7)^2)</f>
        <v>11.010008974564917</v>
      </c>
      <c r="J9">
        <f>SQRT((J5-K5)^2+(J6-K6)^2+(J7-K7)^2)</f>
        <v>11.010031557629617</v>
      </c>
      <c r="L9">
        <f>SQRT((L5-M5)^2+(L6-M6)^2+(L7-M7)^2)</f>
        <v>11.010031557629617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L84"/>
  <sheetViews>
    <sheetView topLeftCell="A16" workbookViewId="0">
      <selection activeCell="C55" sqref="C55:F55"/>
    </sheetView>
  </sheetViews>
  <sheetFormatPr defaultRowHeight="15" x14ac:dyDescent="0.25"/>
  <cols>
    <col min="4" max="4" width="9.7109375" customWidth="1"/>
  </cols>
  <sheetData>
    <row r="6" spans="3:12" x14ac:dyDescent="0.25">
      <c r="C6" t="s">
        <v>14</v>
      </c>
      <c r="D6" t="s">
        <v>31</v>
      </c>
      <c r="E6" t="s">
        <v>29</v>
      </c>
      <c r="F6" t="s">
        <v>30</v>
      </c>
      <c r="I6" t="s">
        <v>27</v>
      </c>
      <c r="J6" t="s">
        <v>31</v>
      </c>
      <c r="K6" t="s">
        <v>29</v>
      </c>
      <c r="L6" t="s">
        <v>30</v>
      </c>
    </row>
    <row r="9" spans="3:12" x14ac:dyDescent="0.25">
      <c r="D9">
        <v>0</v>
      </c>
      <c r="E9">
        <v>-1.31745</v>
      </c>
      <c r="F9">
        <v>1.8160000000000001</v>
      </c>
      <c r="J9">
        <v>0</v>
      </c>
      <c r="K9">
        <v>-1.0486899999999999</v>
      </c>
      <c r="L9">
        <v>1.8759999999999999</v>
      </c>
    </row>
    <row r="10" spans="3:12" x14ac:dyDescent="0.25">
      <c r="D10">
        <v>1</v>
      </c>
      <c r="E10">
        <v>-2.3213300000000001</v>
      </c>
      <c r="F10">
        <v>1.546</v>
      </c>
      <c r="J10">
        <v>1</v>
      </c>
      <c r="K10">
        <v>-2.0520700000000001</v>
      </c>
      <c r="L10">
        <v>1.605</v>
      </c>
    </row>
    <row r="11" spans="3:12" x14ac:dyDescent="0.25">
      <c r="D11">
        <v>2</v>
      </c>
      <c r="E11">
        <v>-3.3243499999999999</v>
      </c>
      <c r="F11">
        <v>1.2789999999999999</v>
      </c>
      <c r="J11">
        <v>2</v>
      </c>
      <c r="K11">
        <v>-3.0554299999999999</v>
      </c>
      <c r="L11">
        <v>1.341</v>
      </c>
    </row>
    <row r="12" spans="3:12" x14ac:dyDescent="0.25">
      <c r="D12">
        <v>3</v>
      </c>
      <c r="E12">
        <v>-4.3279899999999998</v>
      </c>
      <c r="F12">
        <v>1.006</v>
      </c>
      <c r="J12">
        <v>3</v>
      </c>
      <c r="K12">
        <v>-4.0589399999999998</v>
      </c>
      <c r="L12">
        <v>1.073</v>
      </c>
    </row>
    <row r="13" spans="3:12" x14ac:dyDescent="0.25">
      <c r="D13">
        <v>2</v>
      </c>
      <c r="E13">
        <v>-3.3225799999999999</v>
      </c>
      <c r="F13">
        <v>1.2789999999999999</v>
      </c>
      <c r="J13">
        <v>2</v>
      </c>
      <c r="K13">
        <v>-3.0541999999999998</v>
      </c>
      <c r="L13">
        <v>1.34</v>
      </c>
    </row>
    <row r="14" spans="3:12" x14ac:dyDescent="0.25">
      <c r="D14">
        <v>1</v>
      </c>
      <c r="E14">
        <v>-2.31785</v>
      </c>
      <c r="F14">
        <v>1.552</v>
      </c>
      <c r="J14">
        <v>1</v>
      </c>
      <c r="K14">
        <v>-2.0508199999999999</v>
      </c>
      <c r="L14">
        <v>1.607</v>
      </c>
    </row>
    <row r="15" spans="3:12" x14ac:dyDescent="0.25">
      <c r="D15">
        <v>0</v>
      </c>
      <c r="E15">
        <v>-1.3135399999999999</v>
      </c>
      <c r="F15">
        <v>1.821</v>
      </c>
      <c r="J15">
        <v>0</v>
      </c>
      <c r="K15">
        <v>-1.0479499999999999</v>
      </c>
      <c r="L15">
        <v>1.873</v>
      </c>
    </row>
    <row r="16" spans="3:12" x14ac:dyDescent="0.25">
      <c r="D16">
        <v>-1</v>
      </c>
      <c r="E16">
        <v>-0.30986599999999997</v>
      </c>
      <c r="F16">
        <v>2.0910000000000002</v>
      </c>
      <c r="J16">
        <v>-1</v>
      </c>
      <c r="K16">
        <v>-4.5754599999999999E-2</v>
      </c>
      <c r="L16">
        <v>2.1419999999999999</v>
      </c>
    </row>
    <row r="17" spans="3:12" x14ac:dyDescent="0.25">
      <c r="D17">
        <v>-2</v>
      </c>
      <c r="E17">
        <v>0.69376700000000002</v>
      </c>
      <c r="F17">
        <v>2.351</v>
      </c>
      <c r="J17">
        <v>-2</v>
      </c>
      <c r="K17">
        <v>0.95646600000000004</v>
      </c>
      <c r="L17">
        <v>2.4129999999999998</v>
      </c>
    </row>
    <row r="18" spans="3:12" x14ac:dyDescent="0.25">
      <c r="D18">
        <v>-3</v>
      </c>
      <c r="E18">
        <v>1.6964699999999999</v>
      </c>
      <c r="F18">
        <v>2.6190000000000002</v>
      </c>
      <c r="J18">
        <v>-3</v>
      </c>
      <c r="K18">
        <v>1.95733</v>
      </c>
      <c r="L18">
        <v>2.6760000000000002</v>
      </c>
    </row>
    <row r="19" spans="3:12" x14ac:dyDescent="0.25">
      <c r="D19">
        <v>-2</v>
      </c>
      <c r="E19">
        <v>0.69452999999999998</v>
      </c>
      <c r="F19">
        <v>2.3540000000000001</v>
      </c>
      <c r="J19">
        <v>-4</v>
      </c>
      <c r="K19">
        <v>2.9580099999999998</v>
      </c>
      <c r="L19">
        <v>2.9489999999999998</v>
      </c>
    </row>
    <row r="20" spans="3:12" x14ac:dyDescent="0.25">
      <c r="D20">
        <v>-1</v>
      </c>
      <c r="E20">
        <v>-0.30854900000000002</v>
      </c>
      <c r="F20">
        <v>2.0920000000000001</v>
      </c>
      <c r="J20">
        <v>-3</v>
      </c>
      <c r="K20">
        <v>1.9572499999999999</v>
      </c>
      <c r="L20">
        <v>2.6869999999999998</v>
      </c>
    </row>
    <row r="21" spans="3:12" x14ac:dyDescent="0.25">
      <c r="D21">
        <v>0</v>
      </c>
      <c r="E21">
        <v>-1.3117799999999999</v>
      </c>
      <c r="F21">
        <v>1.8220000000000001</v>
      </c>
      <c r="J21">
        <v>-2</v>
      </c>
      <c r="K21">
        <v>0.95610899999999999</v>
      </c>
      <c r="L21">
        <v>2.41</v>
      </c>
    </row>
    <row r="22" spans="3:12" x14ac:dyDescent="0.25">
      <c r="J22">
        <v>-1</v>
      </c>
      <c r="K22">
        <v>-4.5898500000000002E-2</v>
      </c>
      <c r="L22">
        <v>2.1440000000000001</v>
      </c>
    </row>
    <row r="23" spans="3:12" x14ac:dyDescent="0.25">
      <c r="J23">
        <v>0</v>
      </c>
      <c r="K23">
        <v>-1.0487200000000001</v>
      </c>
      <c r="L23">
        <v>1.871</v>
      </c>
    </row>
    <row r="27" spans="3:12" x14ac:dyDescent="0.25">
      <c r="C27" t="s">
        <v>56</v>
      </c>
      <c r="E27">
        <f>SLOPE(F9:F25,D9:D25)</f>
        <v>-0.26889473684210524</v>
      </c>
      <c r="F27">
        <f>SLOPE(F9:F25,E9:E25)</f>
        <v>0.26773623149939174</v>
      </c>
      <c r="I27" t="s">
        <v>56</v>
      </c>
      <c r="K27">
        <f>SLOPE(L9:L25,J9:J25)</f>
        <v>-0.26820424107142854</v>
      </c>
      <c r="L27">
        <f>SLOPE(L9:L25,K9:K25)</f>
        <v>0.26755083133801272</v>
      </c>
    </row>
    <row r="28" spans="3:12" x14ac:dyDescent="0.25">
      <c r="E28" t="s">
        <v>32</v>
      </c>
      <c r="F28" t="s">
        <v>33</v>
      </c>
      <c r="K28" t="s">
        <v>32</v>
      </c>
      <c r="L28" t="s">
        <v>33</v>
      </c>
    </row>
    <row r="29" spans="3:12" x14ac:dyDescent="0.25">
      <c r="C29" t="s">
        <v>53</v>
      </c>
      <c r="E29">
        <f>RSQ(E9:E25,D9:D25)</f>
        <v>0.99999913869274848</v>
      </c>
      <c r="F29">
        <f>RSQ(F9:F25,D9:D25)</f>
        <v>0.99993565275145813</v>
      </c>
      <c r="I29" t="s">
        <v>53</v>
      </c>
      <c r="K29">
        <f>RSQ(K9:K25,J9:J25)</f>
        <v>0.99999965578312244</v>
      </c>
      <c r="L29">
        <f>RSQ(L9:L25,J9:J25)</f>
        <v>0.99997367703219009</v>
      </c>
    </row>
    <row r="30" spans="3:12" x14ac:dyDescent="0.25">
      <c r="C30" t="s">
        <v>52</v>
      </c>
      <c r="E30">
        <v>-0.27211363636363639</v>
      </c>
      <c r="F30">
        <v>0.27375622714345149</v>
      </c>
      <c r="I30" t="s">
        <v>52</v>
      </c>
      <c r="K30">
        <v>-0.27455681818181821</v>
      </c>
      <c r="L30">
        <v>0.27318441842715224</v>
      </c>
    </row>
    <row r="31" spans="3:12" x14ac:dyDescent="0.25">
      <c r="C31" t="s">
        <v>54</v>
      </c>
      <c r="E31">
        <f>E27-E30</f>
        <v>3.2188995215311489E-3</v>
      </c>
      <c r="F31">
        <f>F27-F30</f>
        <v>-6.0199956440597502E-3</v>
      </c>
      <c r="I31" t="s">
        <v>54</v>
      </c>
      <c r="K31">
        <f>K27-K30</f>
        <v>6.3525771103896678E-3</v>
      </c>
      <c r="L31">
        <f>L27-L30</f>
        <v>-5.6335870891395246E-3</v>
      </c>
    </row>
    <row r="32" spans="3:12" x14ac:dyDescent="0.25">
      <c r="C32" t="s">
        <v>55</v>
      </c>
      <c r="E32" s="8">
        <f>(E30-E27)/((E27+E30)/2)</f>
        <v>1.1899629214452194E-2</v>
      </c>
      <c r="F32" s="8">
        <f>(F30-F27)/((F27+F30)/2)</f>
        <v>2.223482727404117E-2</v>
      </c>
      <c r="I32" t="s">
        <v>55</v>
      </c>
      <c r="K32" s="8">
        <f>(K30-K27)/((K27+K30)/2)</f>
        <v>2.340837465064206E-2</v>
      </c>
      <c r="L32" s="8">
        <f>(L30-L27)/((L27+L30)/2)</f>
        <v>2.0836766575088737E-2</v>
      </c>
    </row>
    <row r="34" spans="3:12" x14ac:dyDescent="0.25">
      <c r="C34" t="s">
        <v>28</v>
      </c>
      <c r="D34" t="s">
        <v>31</v>
      </c>
      <c r="E34" t="s">
        <v>29</v>
      </c>
      <c r="F34" t="s">
        <v>30</v>
      </c>
      <c r="I34" t="s">
        <v>34</v>
      </c>
      <c r="J34" t="s">
        <v>31</v>
      </c>
      <c r="K34" t="s">
        <v>29</v>
      </c>
      <c r="L34" t="s">
        <v>30</v>
      </c>
    </row>
    <row r="37" spans="3:12" x14ac:dyDescent="0.25">
      <c r="D37">
        <v>0</v>
      </c>
      <c r="E37">
        <v>-0.41559000000000001</v>
      </c>
      <c r="F37">
        <v>1.016</v>
      </c>
      <c r="J37">
        <v>0</v>
      </c>
      <c r="K37">
        <v>-2.70296</v>
      </c>
      <c r="L37">
        <v>0.69899999999999995</v>
      </c>
    </row>
    <row r="38" spans="3:12" x14ac:dyDescent="0.25">
      <c r="D38">
        <v>1</v>
      </c>
      <c r="E38">
        <v>-1.4087000000000001</v>
      </c>
      <c r="F38">
        <v>0.88500000000000001</v>
      </c>
      <c r="J38">
        <v>0.5</v>
      </c>
      <c r="K38">
        <v>-3.1982599999999999</v>
      </c>
      <c r="L38">
        <v>0.627</v>
      </c>
    </row>
    <row r="39" spans="3:12" x14ac:dyDescent="0.25">
      <c r="D39">
        <v>2</v>
      </c>
      <c r="E39">
        <v>-2.4026200000000002</v>
      </c>
      <c r="F39">
        <v>0.751</v>
      </c>
      <c r="J39">
        <v>0</v>
      </c>
      <c r="K39">
        <v>-2.7044299999999999</v>
      </c>
      <c r="L39">
        <v>0.70099999999999996</v>
      </c>
    </row>
    <row r="40" spans="3:12" x14ac:dyDescent="0.25">
      <c r="D40">
        <v>1</v>
      </c>
      <c r="E40">
        <v>-1.40977</v>
      </c>
      <c r="F40">
        <v>0.88600000000000001</v>
      </c>
      <c r="J40">
        <v>-1</v>
      </c>
      <c r="K40">
        <v>-1.70855</v>
      </c>
      <c r="L40">
        <v>0.83699999999999997</v>
      </c>
    </row>
    <row r="41" spans="3:12" x14ac:dyDescent="0.25">
      <c r="D41">
        <v>0</v>
      </c>
      <c r="E41">
        <v>-0.41535</v>
      </c>
      <c r="F41">
        <v>1.0189999999999999</v>
      </c>
      <c r="J41">
        <v>-2</v>
      </c>
      <c r="K41">
        <v>-0.71423099999999995</v>
      </c>
      <c r="L41">
        <v>0.96099999999999997</v>
      </c>
    </row>
    <row r="42" spans="3:12" x14ac:dyDescent="0.25">
      <c r="D42">
        <v>-1</v>
      </c>
      <c r="E42">
        <v>0.58041699999999996</v>
      </c>
      <c r="F42">
        <v>1.149</v>
      </c>
      <c r="J42">
        <v>-3</v>
      </c>
      <c r="K42">
        <v>0.27846399999999999</v>
      </c>
      <c r="L42">
        <v>1.099</v>
      </c>
    </row>
    <row r="43" spans="3:12" x14ac:dyDescent="0.25">
      <c r="D43">
        <v>-2</v>
      </c>
      <c r="E43">
        <v>1.57426</v>
      </c>
      <c r="F43">
        <v>1.2829999999999999</v>
      </c>
      <c r="J43">
        <v>-4</v>
      </c>
      <c r="K43">
        <v>1.2700499999999999</v>
      </c>
      <c r="L43">
        <v>1.23</v>
      </c>
    </row>
    <row r="44" spans="3:12" x14ac:dyDescent="0.25">
      <c r="D44">
        <v>-3</v>
      </c>
      <c r="E44">
        <v>2.5695399999999999</v>
      </c>
      <c r="F44">
        <v>1.4219999999999999</v>
      </c>
      <c r="J44">
        <v>-5</v>
      </c>
      <c r="K44">
        <v>2.2633700000000001</v>
      </c>
      <c r="L44">
        <v>1.3740000000000001</v>
      </c>
    </row>
    <row r="45" spans="3:12" x14ac:dyDescent="0.25">
      <c r="D45">
        <v>-4</v>
      </c>
      <c r="E45">
        <v>3.5644300000000002</v>
      </c>
      <c r="F45">
        <v>1.5529999999999999</v>
      </c>
      <c r="J45">
        <v>-4</v>
      </c>
      <c r="K45">
        <v>1.27153</v>
      </c>
      <c r="L45">
        <v>1.2390000000000001</v>
      </c>
    </row>
    <row r="46" spans="3:12" x14ac:dyDescent="0.25">
      <c r="D46">
        <v>-5</v>
      </c>
      <c r="E46">
        <v>4.5615899999999998</v>
      </c>
      <c r="F46">
        <v>1.6879999999999999</v>
      </c>
      <c r="J46">
        <v>-3</v>
      </c>
      <c r="K46">
        <v>0.27963100000000002</v>
      </c>
      <c r="L46">
        <v>1.1000000000000001</v>
      </c>
    </row>
    <row r="47" spans="3:12" x14ac:dyDescent="0.25">
      <c r="D47">
        <v>-4</v>
      </c>
      <c r="E47">
        <v>3.5677400000000001</v>
      </c>
      <c r="F47">
        <v>1.5660000000000001</v>
      </c>
      <c r="J47">
        <v>-2</v>
      </c>
      <c r="K47">
        <v>-0.71310600000000002</v>
      </c>
      <c r="L47">
        <v>0.97499999999999998</v>
      </c>
    </row>
    <row r="48" spans="3:12" x14ac:dyDescent="0.25">
      <c r="D48">
        <v>-3</v>
      </c>
      <c r="E48">
        <v>2.5735700000000001</v>
      </c>
      <c r="F48">
        <v>1.4219999999999999</v>
      </c>
      <c r="J48">
        <v>-1</v>
      </c>
      <c r="K48">
        <v>-1.7068700000000001</v>
      </c>
      <c r="L48">
        <v>0.83699999999999997</v>
      </c>
    </row>
    <row r="49" spans="3:12" x14ac:dyDescent="0.25">
      <c r="D49">
        <v>-2</v>
      </c>
      <c r="E49">
        <v>1.57704</v>
      </c>
      <c r="F49">
        <v>1.2869999999999999</v>
      </c>
      <c r="J49">
        <v>0</v>
      </c>
      <c r="K49">
        <v>-2.7013400000000001</v>
      </c>
      <c r="L49">
        <v>0.69899999999999995</v>
      </c>
    </row>
    <row r="50" spans="3:12" x14ac:dyDescent="0.25">
      <c r="D50">
        <v>-1</v>
      </c>
      <c r="E50">
        <v>0.58275699999999997</v>
      </c>
      <c r="F50">
        <v>1.153</v>
      </c>
    </row>
    <row r="51" spans="3:12" x14ac:dyDescent="0.25">
      <c r="D51">
        <v>0</v>
      </c>
      <c r="E51">
        <v>-0.41276499999999999</v>
      </c>
      <c r="F51">
        <v>1.0209999999999999</v>
      </c>
    </row>
    <row r="53" spans="3:12" x14ac:dyDescent="0.25">
      <c r="C53" t="s">
        <v>56</v>
      </c>
      <c r="E53">
        <f>SLOPE(F37:F51,D37:D51)</f>
        <v>-0.13434415584415585</v>
      </c>
      <c r="F53">
        <f>SLOPE(F37:F51,E37:E51)</f>
        <v>0.13501478873891026</v>
      </c>
      <c r="I53" t="s">
        <v>56</v>
      </c>
      <c r="K53">
        <f>SLOPE(L37:L51,J37:J51)</f>
        <v>-0.13429232283464571</v>
      </c>
      <c r="L53">
        <f>SLOPE(L37:L51,K37:K51)</f>
        <v>0.13519771607008962</v>
      </c>
    </row>
    <row r="54" spans="3:12" x14ac:dyDescent="0.25">
      <c r="E54" t="s">
        <v>32</v>
      </c>
      <c r="F54" t="s">
        <v>33</v>
      </c>
      <c r="K54" t="s">
        <v>32</v>
      </c>
      <c r="L54" t="s">
        <v>33</v>
      </c>
    </row>
    <row r="55" spans="3:12" x14ac:dyDescent="0.25">
      <c r="C55" t="s">
        <v>53</v>
      </c>
      <c r="E55">
        <f>RSQ(E35:E51,D35:D51)</f>
        <v>0.9999995026675762</v>
      </c>
      <c r="F55">
        <f>RSQ(F35:F51,D35:D51)</f>
        <v>0.99985031882025088</v>
      </c>
      <c r="I55" t="s">
        <v>53</v>
      </c>
      <c r="K55">
        <f>RSQ(K35:K51,J35:J51)</f>
        <v>0.99999941585054453</v>
      </c>
      <c r="L55">
        <f>RSQ(L35:L51,J35:J51)</f>
        <v>0.99968262071779779</v>
      </c>
    </row>
    <row r="56" spans="3:12" x14ac:dyDescent="0.25">
      <c r="C56" t="s">
        <v>52</v>
      </c>
      <c r="E56">
        <v>-0.13356361607142858</v>
      </c>
      <c r="F56">
        <v>0.13428172907023248</v>
      </c>
      <c r="I56" t="s">
        <v>52</v>
      </c>
      <c r="K56">
        <v>-0.13428013392857141</v>
      </c>
      <c r="L56">
        <v>0.13520264780016397</v>
      </c>
    </row>
    <row r="57" spans="3:12" x14ac:dyDescent="0.25">
      <c r="C57" t="s">
        <v>54</v>
      </c>
      <c r="E57">
        <f>E53-E56</f>
        <v>-7.8053977272726782E-4</v>
      </c>
      <c r="F57">
        <f>F53-F56</f>
        <v>7.3305966867778793E-4</v>
      </c>
      <c r="I57" t="s">
        <v>54</v>
      </c>
      <c r="K57">
        <f>K53-K56</f>
        <v>-1.2188906074295236E-5</v>
      </c>
      <c r="L57">
        <f>L53-L56</f>
        <v>-4.9317300743478842E-6</v>
      </c>
    </row>
    <row r="58" spans="3:12" x14ac:dyDescent="0.25">
      <c r="C58" t="s">
        <v>55</v>
      </c>
      <c r="E58" s="8">
        <f>(E56-E53)/((E53+E56)/2)</f>
        <v>-5.8269289251766049E-3</v>
      </c>
      <c r="F58" s="8">
        <f>(F56-F53)/((F53+F56)/2)</f>
        <v>-5.4442565736949177E-3</v>
      </c>
      <c r="I58" t="s">
        <v>55</v>
      </c>
      <c r="K58" s="8">
        <f>(K56-K53)/((K53+K56)/2)</f>
        <v>-9.0768101995219883E-5</v>
      </c>
      <c r="L58" s="8">
        <f>(L56-L53)/((L53+L56)/2)</f>
        <v>3.6477244362838805E-5</v>
      </c>
    </row>
    <row r="60" spans="3:12" x14ac:dyDescent="0.25">
      <c r="C60" t="s">
        <v>35</v>
      </c>
      <c r="D60" t="s">
        <v>31</v>
      </c>
      <c r="E60" t="s">
        <v>29</v>
      </c>
      <c r="F60" t="s">
        <v>30</v>
      </c>
      <c r="I60" t="s">
        <v>36</v>
      </c>
      <c r="J60" t="s">
        <v>31</v>
      </c>
      <c r="K60" t="s">
        <v>29</v>
      </c>
      <c r="L60" t="s">
        <v>30</v>
      </c>
    </row>
    <row r="63" spans="3:12" x14ac:dyDescent="0.25">
      <c r="D63">
        <v>0</v>
      </c>
      <c r="E63">
        <v>-2.7769900000000001</v>
      </c>
      <c r="F63">
        <v>0.76400000000000001</v>
      </c>
      <c r="J63">
        <v>0</v>
      </c>
      <c r="K63">
        <v>-0.71184099999999995</v>
      </c>
      <c r="L63">
        <v>0.94</v>
      </c>
    </row>
    <row r="64" spans="3:12" x14ac:dyDescent="0.25">
      <c r="D64">
        <v>1</v>
      </c>
      <c r="E64">
        <v>-3.7716699999999999</v>
      </c>
      <c r="F64">
        <v>0.63900000000000001</v>
      </c>
      <c r="J64">
        <v>0.5</v>
      </c>
      <c r="K64">
        <v>-1.20709</v>
      </c>
      <c r="L64">
        <v>0.73099999999999998</v>
      </c>
    </row>
    <row r="65" spans="3:12" x14ac:dyDescent="0.25">
      <c r="D65">
        <v>2</v>
      </c>
      <c r="E65">
        <v>-4.7677399999999999</v>
      </c>
      <c r="F65">
        <v>0.51500000000000001</v>
      </c>
      <c r="J65">
        <v>1</v>
      </c>
      <c r="K65">
        <v>-1.7056199999999999</v>
      </c>
      <c r="L65">
        <v>0.50900000000000001</v>
      </c>
    </row>
    <row r="66" spans="3:12" x14ac:dyDescent="0.25">
      <c r="D66">
        <v>1</v>
      </c>
      <c r="E66">
        <v>-3.7719200000000002</v>
      </c>
      <c r="F66">
        <v>0.63700000000000001</v>
      </c>
      <c r="J66">
        <v>0.5</v>
      </c>
      <c r="K66">
        <v>-1.20983</v>
      </c>
      <c r="L66">
        <v>0.73099999999999998</v>
      </c>
    </row>
    <row r="67" spans="3:12" x14ac:dyDescent="0.25">
      <c r="D67">
        <v>0</v>
      </c>
      <c r="E67">
        <v>-2.7754599999999998</v>
      </c>
      <c r="F67">
        <v>0.76500000000000001</v>
      </c>
      <c r="J67">
        <v>0</v>
      </c>
      <c r="K67">
        <v>-0.71074300000000001</v>
      </c>
      <c r="L67">
        <v>0.93899999999999995</v>
      </c>
    </row>
    <row r="68" spans="3:12" x14ac:dyDescent="0.25">
      <c r="D68">
        <v>-1</v>
      </c>
      <c r="E68">
        <v>-1.7803199999999999</v>
      </c>
      <c r="F68">
        <v>0.89200000000000002</v>
      </c>
      <c r="J68">
        <v>-0.5</v>
      </c>
      <c r="K68">
        <v>-0.21573000000000001</v>
      </c>
      <c r="L68">
        <v>1.1459999999999999</v>
      </c>
    </row>
    <row r="69" spans="3:12" x14ac:dyDescent="0.25">
      <c r="D69">
        <v>-2</v>
      </c>
      <c r="E69">
        <v>-0.78536099999999998</v>
      </c>
      <c r="F69">
        <v>1.02</v>
      </c>
      <c r="J69">
        <v>-1</v>
      </c>
      <c r="K69">
        <v>0.28158100000000003</v>
      </c>
      <c r="L69">
        <v>1.3520000000000001</v>
      </c>
    </row>
    <row r="70" spans="3:12" x14ac:dyDescent="0.25">
      <c r="D70">
        <v>-3</v>
      </c>
      <c r="E70">
        <v>0.20873700000000001</v>
      </c>
      <c r="F70">
        <v>1.149</v>
      </c>
      <c r="J70">
        <v>-1.5</v>
      </c>
      <c r="K70">
        <v>0.78152500000000003</v>
      </c>
      <c r="L70">
        <v>1.524</v>
      </c>
    </row>
    <row r="71" spans="3:12" x14ac:dyDescent="0.25">
      <c r="D71">
        <v>-4</v>
      </c>
      <c r="E71">
        <v>1.2029700000000001</v>
      </c>
      <c r="F71">
        <v>1.258</v>
      </c>
      <c r="J71">
        <v>-1</v>
      </c>
      <c r="K71">
        <v>0.281246</v>
      </c>
      <c r="L71">
        <v>1.335</v>
      </c>
    </row>
    <row r="72" spans="3:12" x14ac:dyDescent="0.25">
      <c r="D72">
        <v>-3</v>
      </c>
      <c r="E72">
        <v>0.211674</v>
      </c>
      <c r="F72">
        <v>1.1479999999999999</v>
      </c>
      <c r="J72">
        <v>-0.5</v>
      </c>
      <c r="K72">
        <v>-0.21412500000000001</v>
      </c>
      <c r="L72">
        <v>1.129</v>
      </c>
    </row>
    <row r="73" spans="3:12" x14ac:dyDescent="0.25">
      <c r="D73">
        <v>-2</v>
      </c>
      <c r="E73">
        <v>-0.78347900000000004</v>
      </c>
      <c r="F73">
        <v>1.0209999999999999</v>
      </c>
      <c r="J73">
        <v>0</v>
      </c>
      <c r="K73">
        <v>-0.71005600000000002</v>
      </c>
      <c r="L73">
        <v>0.93200000000000005</v>
      </c>
    </row>
    <row r="74" spans="3:12" x14ac:dyDescent="0.25">
      <c r="D74">
        <v>-1</v>
      </c>
      <c r="E74">
        <v>-1.7779700000000001</v>
      </c>
      <c r="F74">
        <v>0.89200000000000002</v>
      </c>
    </row>
    <row r="75" spans="3:12" x14ac:dyDescent="0.25">
      <c r="D75">
        <v>0</v>
      </c>
      <c r="E75">
        <v>-2.7726700000000002</v>
      </c>
      <c r="F75">
        <v>0.78200000000000003</v>
      </c>
    </row>
    <row r="79" spans="3:12" x14ac:dyDescent="0.25">
      <c r="C79" t="s">
        <v>56</v>
      </c>
      <c r="E79">
        <f>SLOPE(F63:F75,D63:D75)</f>
        <v>-0.12548418972332015</v>
      </c>
      <c r="F79">
        <f>SLOPE(F63:F75,E63:E75)</f>
        <v>0.12608102115425956</v>
      </c>
      <c r="I79" t="s">
        <v>56</v>
      </c>
      <c r="K79">
        <f>SLOPE(L63:L73,J63:J73)</f>
        <v>-0.40648800000000013</v>
      </c>
      <c r="L79">
        <f>SLOPE(L63:L73,K63:K73)</f>
        <v>0.40890683932975469</v>
      </c>
    </row>
    <row r="80" spans="3:12" x14ac:dyDescent="0.25">
      <c r="E80" t="s">
        <v>32</v>
      </c>
      <c r="F80" t="s">
        <v>33</v>
      </c>
      <c r="K80" t="s">
        <v>32</v>
      </c>
      <c r="L80" t="s">
        <v>33</v>
      </c>
    </row>
    <row r="81" spans="3:12" x14ac:dyDescent="0.25">
      <c r="C81" t="s">
        <v>53</v>
      </c>
      <c r="E81">
        <f>RSQ(E61:E77,D61:D77)</f>
        <v>0.99999912922733192</v>
      </c>
      <c r="F81">
        <f>RSQ(F61:F77,D61:D77)</f>
        <v>0.99926865114626817</v>
      </c>
      <c r="I81" t="s">
        <v>53</v>
      </c>
      <c r="K81">
        <f>RSQ(K61:K77,J61:J77)</f>
        <v>0.99999739299042334</v>
      </c>
      <c r="L81">
        <f>RSQ(L61:L77,J61:J77)</f>
        <v>0.99887266950558373</v>
      </c>
    </row>
    <row r="82" spans="3:12" x14ac:dyDescent="0.25">
      <c r="C82" t="s">
        <v>52</v>
      </c>
      <c r="E82">
        <v>-0.13221052631578945</v>
      </c>
      <c r="F82">
        <v>0.13280936201772017</v>
      </c>
      <c r="I82" t="s">
        <v>52</v>
      </c>
      <c r="K82">
        <v>-0.41143199999999991</v>
      </c>
      <c r="L82">
        <v>0.41117825380426376</v>
      </c>
    </row>
    <row r="83" spans="3:12" x14ac:dyDescent="0.25">
      <c r="C83" t="s">
        <v>54</v>
      </c>
      <c r="E83">
        <f>E79-E82</f>
        <v>6.7263365924692953E-3</v>
      </c>
      <c r="F83">
        <f>F79-F82</f>
        <v>-6.7283408634606079E-3</v>
      </c>
      <c r="I83" t="s">
        <v>54</v>
      </c>
      <c r="K83">
        <f>K79-K82</f>
        <v>4.9439999999997819E-3</v>
      </c>
      <c r="L83">
        <f>L79-L82</f>
        <v>-2.2714144745090703E-3</v>
      </c>
    </row>
    <row r="84" spans="3:12" x14ac:dyDescent="0.25">
      <c r="C84" t="s">
        <v>55</v>
      </c>
      <c r="E84" s="8">
        <f>(E82-E79)/((E79+E82)/2)</f>
        <v>5.2203915515663564E-2</v>
      </c>
      <c r="F84" s="8">
        <f>(F82-F79)/((F79+F82)/2)</f>
        <v>5.1978298931181235E-2</v>
      </c>
      <c r="I84" t="s">
        <v>55</v>
      </c>
      <c r="K84" s="8">
        <f>(K82-K79)/((K79+K82)/2)</f>
        <v>1.2089201877933739E-2</v>
      </c>
      <c r="L84" s="8">
        <f>(L82-L79)/((L79+L82)/2)</f>
        <v>5.5394604621544444E-3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1"/>
  <sheetViews>
    <sheetView tabSelected="1" workbookViewId="0">
      <selection activeCell="I13" sqref="I13"/>
    </sheetView>
  </sheetViews>
  <sheetFormatPr defaultRowHeight="15" x14ac:dyDescent="0.25"/>
  <cols>
    <col min="3" max="5" width="10.7109375" customWidth="1"/>
    <col min="6" max="6" width="12.7109375" customWidth="1"/>
  </cols>
  <sheetData>
    <row r="4" spans="3:6" x14ac:dyDescent="0.25">
      <c r="C4" s="6"/>
      <c r="D4" s="6" t="s">
        <v>32</v>
      </c>
      <c r="E4" s="6" t="s">
        <v>33</v>
      </c>
    </row>
    <row r="5" spans="3:6" x14ac:dyDescent="0.25">
      <c r="C5" s="6" t="s">
        <v>14</v>
      </c>
      <c r="D5" s="15">
        <f>calibration!E27</f>
        <v>-0.26889473684210524</v>
      </c>
      <c r="E5" s="15">
        <f>calibration!F27</f>
        <v>0.26773623149939174</v>
      </c>
    </row>
    <row r="6" spans="3:6" x14ac:dyDescent="0.25">
      <c r="C6" s="6" t="s">
        <v>27</v>
      </c>
      <c r="D6" s="15">
        <f>calibration!K27</f>
        <v>-0.26820424107142854</v>
      </c>
      <c r="E6" s="15">
        <f>calibration!L27</f>
        <v>0.26755083133801272</v>
      </c>
    </row>
    <row r="7" spans="3:6" x14ac:dyDescent="0.25">
      <c r="C7" s="6" t="s">
        <v>28</v>
      </c>
      <c r="D7" s="15">
        <f>calibration!E53</f>
        <v>-0.13434415584415585</v>
      </c>
      <c r="E7" s="15">
        <f>calibration!F53</f>
        <v>0.13501478873891026</v>
      </c>
    </row>
    <row r="8" spans="3:6" x14ac:dyDescent="0.25">
      <c r="C8" s="6" t="s">
        <v>34</v>
      </c>
      <c r="D8" s="15">
        <f>calibration!K53</f>
        <v>-0.13429232283464571</v>
      </c>
      <c r="E8" s="15">
        <f>calibration!L53</f>
        <v>0.13519771607008962</v>
      </c>
    </row>
    <row r="9" spans="3:6" x14ac:dyDescent="0.25">
      <c r="C9" s="6" t="s">
        <v>35</v>
      </c>
      <c r="D9" s="15">
        <f>calibration!E79</f>
        <v>-0.12548418972332015</v>
      </c>
      <c r="E9" s="15">
        <f>calibration!F79</f>
        <v>0.12608102115425956</v>
      </c>
    </row>
    <row r="10" spans="3:6" x14ac:dyDescent="0.25">
      <c r="C10" s="6" t="s">
        <v>36</v>
      </c>
      <c r="D10" s="15">
        <f>calibration!K79</f>
        <v>-0.40648800000000013</v>
      </c>
      <c r="E10" s="15">
        <f>calibration!L79</f>
        <v>0.40890683932975469</v>
      </c>
    </row>
    <row r="11" spans="3:6" x14ac:dyDescent="0.25">
      <c r="C11" s="5"/>
      <c r="D11" s="5"/>
      <c r="E11" s="5"/>
    </row>
    <row r="12" spans="3:6" x14ac:dyDescent="0.25">
      <c r="C12" s="5"/>
      <c r="D12" s="5"/>
      <c r="E12" s="5"/>
    </row>
    <row r="13" spans="3:6" x14ac:dyDescent="0.25">
      <c r="C13" s="5"/>
      <c r="D13" s="5"/>
      <c r="E13" s="5"/>
    </row>
    <row r="14" spans="3:6" x14ac:dyDescent="0.25">
      <c r="C14" s="5"/>
      <c r="D14" s="5"/>
      <c r="E14" s="5"/>
    </row>
    <row r="15" spans="3:6" x14ac:dyDescent="0.25">
      <c r="C15" s="6"/>
      <c r="D15" s="6" t="s">
        <v>47</v>
      </c>
      <c r="E15" s="6" t="s">
        <v>48</v>
      </c>
      <c r="F15" s="7" t="s">
        <v>49</v>
      </c>
    </row>
    <row r="16" spans="3:6" x14ac:dyDescent="0.25">
      <c r="C16" s="6" t="s">
        <v>14</v>
      </c>
      <c r="D16" s="15">
        <v>-2.2238899999999999E-2</v>
      </c>
      <c r="E16" s="14">
        <f>SWController!$D$17</f>
        <v>14.900643377012043</v>
      </c>
      <c r="F16" s="7">
        <v>-1.50674</v>
      </c>
    </row>
    <row r="17" spans="3:6" x14ac:dyDescent="0.25">
      <c r="C17" s="6" t="s">
        <v>27</v>
      </c>
      <c r="D17" s="15">
        <v>-3.2907600000000002E-2</v>
      </c>
      <c r="E17" s="14">
        <f>SWController!$E$17</f>
        <v>15.925377380995291</v>
      </c>
      <c r="F17" s="7">
        <v>-1.58768</v>
      </c>
    </row>
    <row r="18" spans="3:6" x14ac:dyDescent="0.25">
      <c r="C18" s="6" t="s">
        <v>28</v>
      </c>
      <c r="D18" s="15">
        <v>4.5411200000000001E-4</v>
      </c>
      <c r="E18" s="14">
        <f>SWController!$F$17</f>
        <v>11.610850871062473</v>
      </c>
      <c r="F18" s="7">
        <v>-1.1766700000000001</v>
      </c>
    </row>
    <row r="19" spans="3:6" x14ac:dyDescent="0.25">
      <c r="C19" s="6" t="s">
        <v>34</v>
      </c>
      <c r="D19" s="15">
        <v>1.21177E-2</v>
      </c>
      <c r="E19" s="14">
        <f>SWController!$G$17</f>
        <v>29.539583568552928</v>
      </c>
      <c r="F19" s="7">
        <v>-3.0303200000000001</v>
      </c>
    </row>
    <row r="20" spans="3:6" x14ac:dyDescent="0.25">
      <c r="C20" s="6" t="s">
        <v>35</v>
      </c>
      <c r="D20" s="15">
        <v>0.123263</v>
      </c>
      <c r="E20" s="14">
        <f>SWController!$H$17</f>
        <v>27.595350728731248</v>
      </c>
      <c r="F20" s="7">
        <v>-2.8785599999999998</v>
      </c>
    </row>
    <row r="21" spans="3:6" x14ac:dyDescent="0.25">
      <c r="C21" s="6" t="s">
        <v>36</v>
      </c>
      <c r="D21" s="15">
        <v>3.2462900000000003E-2</v>
      </c>
      <c r="E21" s="14">
        <f>SWController!$I$17</f>
        <v>11.840841021545243</v>
      </c>
      <c r="F21" s="7">
        <v>-1.18906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Tuning</vt:lpstr>
      <vt:lpstr>SWController</vt:lpstr>
      <vt:lpstr>Actuator_PinLocations</vt:lpstr>
      <vt:lpstr>calibration</vt:lpstr>
      <vt:lpstr>all you need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Chia-Ming</dc:creator>
  <cp:lastModifiedBy>Andrew W Mock</cp:lastModifiedBy>
  <dcterms:created xsi:type="dcterms:W3CDTF">2011-08-02T18:16:10Z</dcterms:created>
  <dcterms:modified xsi:type="dcterms:W3CDTF">2012-05-25T19:51:57Z</dcterms:modified>
</cp:coreProperties>
</file>