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s" sheetId="1" r:id="rId4"/>
    <sheet state="visible" name="cheshirization-labialization" sheetId="2" r:id="rId5"/>
    <sheet state="visible" name="cheshirization-nasalization" sheetId="3" r:id="rId6"/>
    <sheet state="visible" name="b-to-m assimilation" sheetId="4" r:id="rId7"/>
    <sheet state="visible" name="glide vowel breaking" sheetId="5" r:id="rId8"/>
    <sheet state="visible" name="L" sheetId="6" r:id="rId9"/>
    <sheet state="visible" name="R" sheetId="7" r:id="rId10"/>
    <sheet state="visible" name="D" sheetId="8" r:id="rId11"/>
  </sheets>
  <definedNames/>
  <calcPr/>
</workbook>
</file>

<file path=xl/sharedStrings.xml><?xml version="1.0" encoding="utf-8"?>
<sst xmlns="http://schemas.openxmlformats.org/spreadsheetml/2006/main" count="8222" uniqueCount="1798">
  <si>
    <t>change_id</t>
  </si>
  <si>
    <t>alternation type</t>
  </si>
  <si>
    <t>change description</t>
  </si>
  <si>
    <t>X →</t>
  </si>
  <si>
    <t>→ Y</t>
  </si>
  <si>
    <t>context</t>
  </si>
  <si>
    <t>rule order</t>
  </si>
  <si>
    <t>example</t>
  </si>
  <si>
    <t>gloss</t>
  </si>
  <si>
    <t>translation</t>
  </si>
  <si>
    <t>comment</t>
  </si>
  <si>
    <t>source</t>
  </si>
  <si>
    <t>page</t>
  </si>
  <si>
    <t>glottolog</t>
  </si>
  <si>
    <t>language</t>
  </si>
  <si>
    <t>idiom</t>
  </si>
  <si>
    <t>санжинский даргинский</t>
  </si>
  <si>
    <t>elision</t>
  </si>
  <si>
    <t>a</t>
  </si>
  <si>
    <t>∅</t>
  </si>
  <si>
    <t>/ #_</t>
  </si>
  <si>
    <t>-</t>
  </si>
  <si>
    <t>biχuble + akːu &gt; b-iχ-ub-le=kːu</t>
  </si>
  <si>
    <t>N-become.PFV-PRET-CVB=COP.NEG</t>
  </si>
  <si>
    <t xml:space="preserve">only if negative auxiliary is an enclitic </t>
  </si>
  <si>
    <t>(Forker, 2020a)</t>
  </si>
  <si>
    <t>Sanzhi</t>
  </si>
  <si>
    <t>Dargwa</t>
  </si>
  <si>
    <t>cheshirization-labialization</t>
  </si>
  <si>
    <t>u</t>
  </si>
  <si>
    <t>/ a_ or _a</t>
  </si>
  <si>
    <t>ha-(w)-ulq-an &gt; halqʷan</t>
  </si>
  <si>
    <t>UP-M-direct.IPFV-PTCP</t>
  </si>
  <si>
    <t>‘the one that goes upwards’</t>
  </si>
  <si>
    <t>the gender agreement is masculine singular and the verbal root is preceded by the deixis/elevation preverbs or the negation prefixes</t>
  </si>
  <si>
    <t>/ [ _ ]syll# + {-be, -me, -re, -e, -ne, -upːe, -urbe, -ube}</t>
  </si>
  <si>
    <t xml:space="preserve">šuša &gt; šuš-ne </t>
  </si>
  <si>
    <t>bottle-PL</t>
  </si>
  <si>
    <t>‘bottles’</t>
  </si>
  <si>
    <t>i</t>
  </si>
  <si>
    <t>rursːi &gt; rurs-be</t>
  </si>
  <si>
    <t>girl-PL</t>
  </si>
  <si>
    <t>‘girls, daughters’</t>
  </si>
  <si>
    <t>k’apːur &gt; k’apr-e</t>
  </si>
  <si>
    <t>leaf-PL</t>
  </si>
  <si>
    <t>‘leaves’</t>
  </si>
  <si>
    <t>V</t>
  </si>
  <si>
    <t>/ V# + -C_ {-li, -le, =nu}
/ V# + -_C {=uw}</t>
  </si>
  <si>
    <t>du-l vs. kulpat-li 
arg-ul=de=w? vs. le-b=uw?</t>
  </si>
  <si>
    <t>1SG-ERG vs. family-ERG
go.IPFV-ICVB=2SG=Q vs.exist-N=Q</t>
  </si>
  <si>
    <t>-
-</t>
  </si>
  <si>
    <t>31-32</t>
  </si>
  <si>
    <t>epenthesis</t>
  </si>
  <si>
    <t>glide vowel breaking</t>
  </si>
  <si>
    <t>j</t>
  </si>
  <si>
    <t>/ V_ + {-al, -na, -a, =e, =el}</t>
  </si>
  <si>
    <t>aʁw-al vs. xu-jal
aʁw-na vs. ʡaʕ-jna
kis-n-a-b vs. tusnaqːa-ja-b
ma vs. ma-ja
čina-b=e? vs. ča=ja?
ča=jal vs. čina-b=el</t>
  </si>
  <si>
    <t>-
-
pocket-PL-OBL.LOC-N vs. prison.OBL.PL-LOC-HPL
-
where-N=Q vs. who=Q
-</t>
  </si>
  <si>
    <t>‘four’ vs. 'five' 
‘four times’ vs. ‘three times’ 
‘in the pockets’ vs. ‘in the prisons’ 
‘Here, take!’ 
‘Where is it?’ vs. ‘Who?’ 
‘somebody’ vs.  ‘somewhere’</t>
  </si>
  <si>
    <t>- the derivational suffix used to form the numerals 2–10, 20, 100
- the derivational suffix ‘X-times’ for the formation of multiplicative numerals
- one of the allomorphs of the spatial case suffix of the loc-series
- optional marker for non-indicative verb forms that serves as address particle for plural addressees
- the enclitic marking content questions
- the enclitic marking embedded questions and forming specific indefinite pronouns</t>
  </si>
  <si>
    <t>glottal stop vowel breaking</t>
  </si>
  <si>
    <t>ʔ</t>
  </si>
  <si>
    <t xml:space="preserve">/ V_V </t>
  </si>
  <si>
    <t>biʔat’un &lt; b-i-at’-un</t>
  </si>
  <si>
    <t>N-IN-stick.PFV-PRET</t>
  </si>
  <si>
    <t>‘stuck into’</t>
  </si>
  <si>
    <t>only with verbs, either when negation prefixes a- and ma- are added to vowel-initial verbs or with spatial preverbs</t>
  </si>
  <si>
    <t>32-33</t>
  </si>
  <si>
    <t>fusion</t>
  </si>
  <si>
    <t>VV</t>
  </si>
  <si>
    <t>V:</t>
  </si>
  <si>
    <t>/ _</t>
  </si>
  <si>
    <t>a-ag-ur &gt; aːgur
a-erč-ur &gt; eːrčur</t>
  </si>
  <si>
    <t>NEG-go.PFV-PRET
NEG-saw.PFV-PRET</t>
  </si>
  <si>
    <t>‘did not go’ 
‘did not saw’</t>
  </si>
  <si>
    <t>the only long vowels are /aː/, /aˁː/, /iː/, and in one case after vowel mutation /eː/.</t>
  </si>
  <si>
    <t>33-34</t>
  </si>
  <si>
    <t>ij</t>
  </si>
  <si>
    <t>i:</t>
  </si>
  <si>
    <t>nominals + DAT</t>
  </si>
  <si>
    <t>w</t>
  </si>
  <si>
    <t>/ V_V</t>
  </si>
  <si>
    <t>a-w-at-ur &gt; aːtur
či-w-ig-ul=de &gt; čiːgulde</t>
  </si>
  <si>
    <t>NEG-M-let.PFV-PRET
SPR-M-see.IPFV-ICVB=2SG</t>
  </si>
  <si>
    <t>‘did not let him’
‘you see him’</t>
  </si>
  <si>
    <t>results in vowel lengthening: [aː] and [iː]
optional alternation (alternative: a-w-at-ur, čiwigulde)</t>
  </si>
  <si>
    <t>/ a[ _C(:)]root</t>
  </si>
  <si>
    <t>ma-isː-it &gt; majsːit
ha-(w)-icː-ij &gt; hajcːij</t>
  </si>
  <si>
    <t>NEG-shave.IPFV-PROH.SG
UP-M-stand.PFV-INF</t>
  </si>
  <si>
    <t>‘Do not shave!’
‘to stand up’</t>
  </si>
  <si>
    <t xml:space="preserve">optionally: maʔisːit </t>
  </si>
  <si>
    <t>tːura-(w)-uq-un &gt; tːurawqun
ka-utː-ij &gt; kawtːij</t>
  </si>
  <si>
    <t>OUTSIDE-M-go.PFV-PRET
DOWN-tear.IPFV-INF</t>
  </si>
  <si>
    <t>‘he went outside’
‘tear off, rip off’</t>
  </si>
  <si>
    <t>when spatial preverbs or negation prefixes with the final vowel a are added to verbs with the root vowel u</t>
  </si>
  <si>
    <t>assimilation</t>
  </si>
  <si>
    <t>/ [ _C]syll# + {-e, -te, -be, -re}</t>
  </si>
  <si>
    <t>qːap &gt; qːup-re</t>
  </si>
  <si>
    <t>sack-PL</t>
  </si>
  <si>
    <t>‘sacks’</t>
  </si>
  <si>
    <t>35-36</t>
  </si>
  <si>
    <t>aˁ</t>
  </si>
  <si>
    <t>uˁ</t>
  </si>
  <si>
    <t>ʡaˁrʡaˁ &gt; ʡuˁrʡ-e</t>
  </si>
  <si>
    <t>chicken-PL</t>
  </si>
  <si>
    <t>‘chickens’</t>
  </si>
  <si>
    <t>29, 35-36</t>
  </si>
  <si>
    <t>e</t>
  </si>
  <si>
    <t>nez &gt; nuz-be</t>
  </si>
  <si>
    <t>louse-PL</t>
  </si>
  <si>
    <t>‘lice’</t>
  </si>
  <si>
    <t>ʁez &gt; ʁiz-be</t>
  </si>
  <si>
    <t>hair-PL</t>
  </si>
  <si>
    <t>‘hairs’</t>
  </si>
  <si>
    <t>a + i</t>
  </si>
  <si>
    <t>/ [ _# ]pref + [ #_ ]root</t>
  </si>
  <si>
    <t>sa-(w)-irʁ-an &gt; serʁan
a-irʁ-ib=da &gt; erʁibda</t>
  </si>
  <si>
    <t>HITHER-M-come-PTCP
NEG-understand.PFV-PRET=1</t>
  </si>
  <si>
    <t>‘the one that comes’
‘I did not understand’</t>
  </si>
  <si>
    <t>when the spatial preverbs or negation prefixes with the final vowel a are prefixed
optional: aʔirʁibda</t>
  </si>
  <si>
    <t>a + e</t>
  </si>
  <si>
    <t>ha-erʔ-ul &gt; herʔul
a-erč-ur &gt; eːrčur</t>
  </si>
  <si>
    <t>UP-say.IPFV-ICVB
NEG-saw.PFV-PRET</t>
  </si>
  <si>
    <t>when the spatial preverbs or negation prefixes with the final vowel a are prefixed and stem vowel is e
optional: aʔerčur</t>
  </si>
  <si>
    <t>i + a</t>
  </si>
  <si>
    <t>či-ag-ur &gt; čegur</t>
  </si>
  <si>
    <t>SPR-go.PFV-PRET</t>
  </si>
  <si>
    <t>‘s/he went’</t>
  </si>
  <si>
    <t>h</t>
  </si>
  <si>
    <t>/ V_a</t>
  </si>
  <si>
    <t>či-ha-b-išː-ib &gt; čebišːib</t>
  </si>
  <si>
    <t>SPR-UP-N-put.PFV-PRET</t>
  </si>
  <si>
    <t>‘s/he put it up’</t>
  </si>
  <si>
    <t>only in preverb ha- ‘upwards’</t>
  </si>
  <si>
    <t>l-assimilation</t>
  </si>
  <si>
    <t>l</t>
  </si>
  <si>
    <t>n</t>
  </si>
  <si>
    <t>/ n_</t>
  </si>
  <si>
    <t>cin-la &gt; cinna</t>
  </si>
  <si>
    <t>REFL.SG.OBL-GEN</t>
  </si>
  <si>
    <t>‘his/her’</t>
  </si>
  <si>
    <t>progressive assimilation occurs with all verbal and nominal suffixes that have initial l
partly optional</t>
  </si>
  <si>
    <t>r</t>
  </si>
  <si>
    <t>/ r_</t>
  </si>
  <si>
    <t>tuχtur-li &gt; tuχturri</t>
  </si>
  <si>
    <t>doctor-ERG</t>
  </si>
  <si>
    <t>x(:)</t>
  </si>
  <si>
    <t>š(:)</t>
  </si>
  <si>
    <t>/ _i</t>
  </si>
  <si>
    <t>či-ka-b-ixː-a vs. či-ka-b-išː-ij</t>
  </si>
  <si>
    <t>SPR-DOWN-N-put.PFV-IMP.SG vs. SPR-DOWN-N-put.PFV-INF</t>
  </si>
  <si>
    <t>‘put it on!’ vs. ‘to put it on’</t>
  </si>
  <si>
    <t>37-38</t>
  </si>
  <si>
    <t>/ _e</t>
  </si>
  <si>
    <t>b-ax-ul vs. w-aš-e!</t>
  </si>
  <si>
    <r>
      <rPr>
        <rFont val="Arial"/>
        <color theme="1"/>
      </rPr>
      <t xml:space="preserve">N-go-ICVB vs. </t>
    </r>
    <r>
      <rPr>
        <rFont val="Arial"/>
        <color rgb="FF000000"/>
      </rPr>
      <t>M-go-IMP.SG</t>
    </r>
  </si>
  <si>
    <t>‘going’ vs. ‘Go!’</t>
  </si>
  <si>
    <t>/ _ + {-aq}</t>
  </si>
  <si>
    <t>causative suffix -aq</t>
  </si>
  <si>
    <t>/ _ + {-ni}</t>
  </si>
  <si>
    <t>masdar suffix -ni (with some verbs alternation is optional)</t>
  </si>
  <si>
    <t>g</t>
  </si>
  <si>
    <t>ž</t>
  </si>
  <si>
    <t>b-ug-ul vs. b-už-ib</t>
  </si>
  <si>
    <t>N-stay-ICVB vs. N-stay-PRET</t>
  </si>
  <si>
    <t>‘remaining’ vs. ‘remained’</t>
  </si>
  <si>
    <t>k(:)(’)</t>
  </si>
  <si>
    <t>č(:)(’)</t>
  </si>
  <si>
    <t>b-uk-ul vs. b-uč-ib</t>
  </si>
  <si>
    <t>N-gather-ICVB vs. N-gather-PRET</t>
  </si>
  <si>
    <t>‘gathering’ vs. ‘gathered it’</t>
  </si>
  <si>
    <t>er w-erk’-araj vs. er w-erč’-e</t>
  </si>
  <si>
    <t>look M-look.PFV-SUBJ vs. look M-look.PFV-IMP.SG</t>
  </si>
  <si>
    <t xml:space="preserve">b-ebk’-a vs. b-ebč’-ni </t>
  </si>
  <si>
    <t>N-die.PFV-NMLZ vs. N-die.PFV-MSD</t>
  </si>
  <si>
    <t>‘death’ vs ‘death’</t>
  </si>
  <si>
    <t>cheshirization, assimilation</t>
  </si>
  <si>
    <t>[+stop; -lab]</t>
  </si>
  <si>
    <t>[+lab]</t>
  </si>
  <si>
    <t>/ [u + _ ]syll</t>
  </si>
  <si>
    <t>after 2</t>
  </si>
  <si>
    <t>w-i-ha-(w)-ulq-an &gt; wihalqʷan</t>
  </si>
  <si>
    <t>M-IN-UP-(M)-go.IPFV-PTCP</t>
  </si>
  <si>
    <t>‘the one that goes inside’</t>
  </si>
  <si>
    <t>loss of -u- (rule 2) is compensated for by labializing the following stop</t>
  </si>
  <si>
    <t>/ [ _ + u]syll</t>
  </si>
  <si>
    <t>c’a gu-ha-b-iq’-un ca-b &gt; c’a gʷa-b-iq’-un ca-b</t>
  </si>
  <si>
    <t>fire FROM.UNDER.UP-N-set.fire.PFV-PRET COP-N</t>
  </si>
  <si>
    <t>‘(She) set up a fire.’</t>
  </si>
  <si>
    <t>loss of -u- (rule 2) is compensated for by labializing the following stop
with the combination of the two spatial preverbs gu- ‘under’ and ha- ‘upwards’</t>
  </si>
  <si>
    <t>dissimilation</t>
  </si>
  <si>
    <t>delabialization</t>
  </si>
  <si>
    <t>[+stop; +lab]</t>
  </si>
  <si>
    <t>[-lab]</t>
  </si>
  <si>
    <t xml:space="preserve">/ _u </t>
  </si>
  <si>
    <t>b-elk’ʷ-ij &gt; b-elk-un</t>
  </si>
  <si>
    <t>N-write.PFV-PRET</t>
  </si>
  <si>
    <t>‘write’ &gt; ‘wrote’</t>
  </si>
  <si>
    <t>suffixes starting with -u</t>
  </si>
  <si>
    <t>after 14</t>
  </si>
  <si>
    <t>qːʷaz &gt; qːuz-re</t>
  </si>
  <si>
    <t>goose-PL</t>
  </si>
  <si>
    <t>‘goose’ &gt; ‘geese’</t>
  </si>
  <si>
    <t>mutation a &gt; u (rule 14) triggers delabialization of preceding or following labialized stops</t>
  </si>
  <si>
    <t>after 15</t>
  </si>
  <si>
    <t>daˁrqʷ &gt; duˁrq-be</t>
  </si>
  <si>
    <t>barn-PL</t>
  </si>
  <si>
    <t>‘barn’ &gt; ‘barns’</t>
  </si>
  <si>
    <t>mutation aˁ &gt; uˁ (rule 15) triggers delabialization of preceding or following labialized stops</t>
  </si>
  <si>
    <t>fortition</t>
  </si>
  <si>
    <t>dd</t>
  </si>
  <si>
    <t>t:</t>
  </si>
  <si>
    <t>či-d-d-iχ-un &gt; čitːiχun</t>
  </si>
  <si>
    <t>SPR-NPL-NPL-tie.PFV-PRET</t>
  </si>
  <si>
    <t>‘(they) tied them’</t>
  </si>
  <si>
    <t>gemination does not occur when two voiceless consonants follow each other, for example ħaˁžat-te (need-dd.pl)</t>
  </si>
  <si>
    <t>dt</t>
  </si>
  <si>
    <t>xari-d-te &gt; xaritːe</t>
  </si>
  <si>
    <t>down-NPL-DD.PL</t>
  </si>
  <si>
    <t>‘the ones down’</t>
  </si>
  <si>
    <t>bb</t>
  </si>
  <si>
    <t>p:</t>
  </si>
  <si>
    <t>gu-b-b-iči-b &gt; gupːičib</t>
  </si>
  <si>
    <t>SUB-N-N-occur.PFV-PRET</t>
  </si>
  <si>
    <t>‘it lost’</t>
  </si>
  <si>
    <t>pb</t>
  </si>
  <si>
    <t>χːap b-arq’-ib &gt; χːapːarq’ib</t>
  </si>
  <si>
    <t>grab N-do.PFV-PRET</t>
  </si>
  <si>
    <t>‘grabbed it’</t>
  </si>
  <si>
    <t>lenition</t>
  </si>
  <si>
    <t>[+con; +gem]</t>
  </si>
  <si>
    <t>[-gem]</t>
  </si>
  <si>
    <t>/ [ _# ]syll</t>
  </si>
  <si>
    <t>rur.sːi &gt; rurs-be
c’el.tːa &gt; c’elt-me
c’el.tːa &gt; c’elt-me
e.čːa &gt; eč-ne</t>
  </si>
  <si>
    <t>girl-PL
gravestone-PL
thorn-PL
she.goat-PL</t>
  </si>
  <si>
    <t>‘girls, daughters’
‘gravestones’
‘thorns’
‘she-goats’</t>
  </si>
  <si>
    <t xml:space="preserve">constraint on geminated consonants in the syllable-final position </t>
  </si>
  <si>
    <t>/ _#</t>
  </si>
  <si>
    <t>juldašːe &gt; juldaš</t>
  </si>
  <si>
    <t>friend-PL</t>
  </si>
  <si>
    <t>‘friends’</t>
  </si>
  <si>
    <t>/ _C</t>
  </si>
  <si>
    <t>ha-qː-ij &gt; ha-q-ni
b-učː-ij &gt; b-uč-na</t>
  </si>
  <si>
    <t>UP-carry-INF &gt; UP-carry-MSD
n-drink.pfv-inf &gt; ? (LOC PTCP)</t>
  </si>
  <si>
    <t>тантынский даргинский</t>
  </si>
  <si>
    <t>likːa &gt; lik-ne</t>
  </si>
  <si>
    <t>bone &gt; bone-PL</t>
  </si>
  <si>
    <t>‘bone’ &gt; ‘bones’</t>
  </si>
  <si>
    <t>(Sumbatova, Lander, 2014)</t>
  </si>
  <si>
    <t>Sirhwa-Tanty</t>
  </si>
  <si>
    <t>Tanty</t>
  </si>
  <si>
    <t>ha-ma-w꞊ilcː-u-tː &gt; hetʼmelcːut</t>
  </si>
  <si>
    <t>UP-PROH-M꞊stand-TH-2</t>
  </si>
  <si>
    <t>‘do not stand up’</t>
  </si>
  <si>
    <t>41, 43</t>
  </si>
  <si>
    <t>[+con; +voice; +stop][+con; +voice; +stop]</t>
  </si>
  <si>
    <t>[-voice; +gem]</t>
  </si>
  <si>
    <t>le꞊d=de &gt; letːe</t>
  </si>
  <si>
    <t>EXST꞊NPL=PST</t>
  </si>
  <si>
    <t>‘existed’</t>
  </si>
  <si>
    <t>[-con; -pharyng]</t>
  </si>
  <si>
    <t>[+pharyng]</t>
  </si>
  <si>
    <t>/ [+con; +laryng] _</t>
  </si>
  <si>
    <t>ʡaˁmuli</t>
  </si>
  <si>
    <t>nail</t>
  </si>
  <si>
    <t>‘nail’</t>
  </si>
  <si>
    <t>‘’</t>
  </si>
  <si>
    <t>thematic vowel -i- and PRET marker -ib</t>
  </si>
  <si>
    <t>masdar suffix -ni</t>
  </si>
  <si>
    <t>a + u</t>
  </si>
  <si>
    <t>ma-umc-i-tː &gt; mumcit</t>
  </si>
  <si>
    <t>‘do not measure’</t>
  </si>
  <si>
    <t>on morpheme boundaries</t>
  </si>
  <si>
    <t>ma-irg-u-tː &gt; merg-u-t</t>
  </si>
  <si>
    <t>‘do not sit down’</t>
  </si>
  <si>
    <t>e + i</t>
  </si>
  <si>
    <t>=de=i &gt; =di</t>
  </si>
  <si>
    <t>=PRET=Q</t>
  </si>
  <si>
    <t>e + a</t>
  </si>
  <si>
    <t>-le=anne &gt; =lenne</t>
  </si>
  <si>
    <t>-ICVB=Q</t>
  </si>
  <si>
    <t>mutation</t>
  </si>
  <si>
    <t>V1</t>
  </si>
  <si>
    <t>V2</t>
  </si>
  <si>
    <t>/ [ _ ]syll + [CV2]syll</t>
  </si>
  <si>
    <t>q’˳-aˁn-se=de vs. q’˳-aˁn-sa=da</t>
  </si>
  <si>
    <t>‘you go’ vs. ‘we go’</t>
  </si>
  <si>
    <t>/ [ _ ]pref + [#V]root</t>
  </si>
  <si>
    <t>ma-w꞊ik’utː &gt; ma-ø꞊jk’ut</t>
  </si>
  <si>
    <t>‘do not say’</t>
  </si>
  <si>
    <t>ds</t>
  </si>
  <si>
    <t>s:</t>
  </si>
  <si>
    <t>le꞊d-se &gt; lesse</t>
  </si>
  <si>
    <t>EXST꞊NPL-ATR</t>
  </si>
  <si>
    <t>‘existing’</t>
  </si>
  <si>
    <t>/ n_e</t>
  </si>
  <si>
    <t>kalgun-le &gt; kalgunne</t>
  </si>
  <si>
    <t>‘left’</t>
  </si>
  <si>
    <t>/ [ _#]base</t>
  </si>
  <si>
    <t>d꞊ircː-ib-se=sa꞊d &gt; d꞊ircː-ib-sːa꞊d</t>
  </si>
  <si>
    <t>NPL꞊milk:PF-PRET-ATR+COP꞊NPL</t>
  </si>
  <si>
    <t>‘milked’</t>
  </si>
  <si>
    <t>tʼ</t>
  </si>
  <si>
    <t>/ {ha, ka} _ma</t>
  </si>
  <si>
    <t>мегебский даргинский</t>
  </si>
  <si>
    <t>CC</t>
  </si>
  <si>
    <t>Cː</t>
  </si>
  <si>
    <t>it-di-ni &gt; itːini</t>
  </si>
  <si>
    <t>this-PL-ERG</t>
  </si>
  <si>
    <t>‘these’</t>
  </si>
  <si>
    <t>sequences of homorganic consonants, however, are realised as geminates phonetically</t>
  </si>
  <si>
    <t>(Daniel, Dobrushina, and Ganenkov, 2019)</t>
  </si>
  <si>
    <t>Megeb</t>
  </si>
  <si>
    <t>Mehweb</t>
  </si>
  <si>
    <t>/ _ {ʡ, ʜ, q, χ, ʁ}</t>
  </si>
  <si>
    <t xml:space="preserve">/ {ʡ, ʜ, q, χ, ʁ} _ </t>
  </si>
  <si>
    <t>aˤ</t>
  </si>
  <si>
    <t>uˤ</t>
  </si>
  <si>
    <t>/ _ + PL</t>
  </si>
  <si>
    <t>taˤj &gt; tuˤj-re</t>
  </si>
  <si>
    <t>foal &gt; foal-PL</t>
  </si>
  <si>
    <t>‘foal’ &gt; ‘foals’</t>
  </si>
  <si>
    <t>oˤ</t>
  </si>
  <si>
    <t>č’aˤʡaˤ &gt; č’aˤʡoˤ-be</t>
  </si>
  <si>
    <t>cane &gt; cane-PL</t>
  </si>
  <si>
    <t>‘cane’ &gt; ‘canes’</t>
  </si>
  <si>
    <t>uʡaˤ &gt; ʡaˤʡ-ne</t>
  </si>
  <si>
    <t>cheese &gt; cheese-PL</t>
  </si>
  <si>
    <t>‘cheese’ &gt; ‘cheeses’</t>
  </si>
  <si>
    <t>č’uʡaˤ &gt; č’oˤʡ-ne</t>
  </si>
  <si>
    <t>straw &gt; straw-PL</t>
  </si>
  <si>
    <t>‘straw’ &gt; ‘straws’</t>
  </si>
  <si>
    <t>č’uʡaˤ &gt; č’uˤʡ-ne</t>
  </si>
  <si>
    <t>ʜuˤli &gt; ʜaˤl-me</t>
  </si>
  <si>
    <t>fat &gt; fat-PL</t>
  </si>
  <si>
    <t>‘fat’ &gt; ‘fats’</t>
  </si>
  <si>
    <t>/ V_C</t>
  </si>
  <si>
    <t>ħa-ih-ub &gt; ħajhub</t>
  </si>
  <si>
    <t>NEG-throw:PFV-AOR</t>
  </si>
  <si>
    <t>‘(he) didn’t throw’</t>
  </si>
  <si>
    <t>ħa-uc-ib &gt; ħawcib</t>
  </si>
  <si>
    <t>NEG-M.catch:PFV-AOR</t>
  </si>
  <si>
    <t>‘(he) didn’t catch him’</t>
  </si>
  <si>
    <t>/ ħa_</t>
  </si>
  <si>
    <t>ħa-elʔ-un &gt; ħalʔun</t>
  </si>
  <si>
    <t>NEG-count:PFV-AOR</t>
  </si>
  <si>
    <t>‘he didn’t count’</t>
  </si>
  <si>
    <t>elision, cheshirization</t>
  </si>
  <si>
    <t>uCC</t>
  </si>
  <si>
    <t>CCʷ</t>
  </si>
  <si>
    <t>/ V_</t>
  </si>
  <si>
    <t>ħa-ubk’-an &gt; ħabk’ʷan</t>
  </si>
  <si>
    <t>NEG-M.die:IPFV-HAB</t>
  </si>
  <si>
    <t>‘he doesn’t die’</t>
  </si>
  <si>
    <t>27-28</t>
  </si>
  <si>
    <t>mutation, epenthesis</t>
  </si>
  <si>
    <t>m(V)</t>
  </si>
  <si>
    <t>mV1</t>
  </si>
  <si>
    <t>/ _ [(C)CV1C]root</t>
  </si>
  <si>
    <t>mV-b-aš-adi-na &gt; ma-m-aš-adi-na</t>
  </si>
  <si>
    <t>NEGVOL-M-walk:IPFV-PROH-PL</t>
  </si>
  <si>
    <t>‘don’t go (to several people)’</t>
  </si>
  <si>
    <t>b-to-m assimilation</t>
  </si>
  <si>
    <t>b</t>
  </si>
  <si>
    <t>m</t>
  </si>
  <si>
    <t>/ m(V) _</t>
  </si>
  <si>
    <t>mV-b-ilc-adi &gt; mi-m-ilc-adi</t>
  </si>
  <si>
    <t>NEGVOL-HPL-sell:IPFV-PROH</t>
  </si>
  <si>
    <t>‘don’t sell them (humans)’</t>
  </si>
  <si>
    <t>The gender marker b- assimilates to the nasality of the preceding NEGVOL marker mV-</t>
  </si>
  <si>
    <t>nl</t>
  </si>
  <si>
    <t>/ u_V#</t>
  </si>
  <si>
    <t>buk’un-la &gt; buk’uwa</t>
  </si>
  <si>
    <t>shepherd-GEN</t>
  </si>
  <si>
    <t>‘of shepherd’</t>
  </si>
  <si>
    <t>ll</t>
  </si>
  <si>
    <t>xunul-la &gt; xunuwa</t>
  </si>
  <si>
    <t>female-GEN</t>
  </si>
  <si>
    <t>‘of female’</t>
  </si>
  <si>
    <t>jj</t>
  </si>
  <si>
    <t>/ V_V#</t>
  </si>
  <si>
    <t>buk’un-la &gt; buk’ujja</t>
  </si>
  <si>
    <t>xunul-la &gt; xunujja</t>
  </si>
  <si>
    <t>lenition, fusion</t>
  </si>
  <si>
    <t>nli</t>
  </si>
  <si>
    <t>buk’un-li-ze &gt; buk’ujze</t>
  </si>
  <si>
    <t>shepherd-OBL-INTER[LAT]</t>
  </si>
  <si>
    <t>‘through shepherd’</t>
  </si>
  <si>
    <t>29-30</t>
  </si>
  <si>
    <t>lli</t>
  </si>
  <si>
    <t>xunul-li-ze &gt; xunujze</t>
  </si>
  <si>
    <t>female-OBL-INTER[LAT]</t>
  </si>
  <si>
    <t>‘through female’</t>
  </si>
  <si>
    <t>nVl</t>
  </si>
  <si>
    <t>/ u_</t>
  </si>
  <si>
    <t>huní-li-ze &gt; hun-li-ze</t>
  </si>
  <si>
    <t>road-OBL-INTER[LAT]</t>
  </si>
  <si>
    <t>‘through road’</t>
  </si>
  <si>
    <t>lVl</t>
  </si>
  <si>
    <t>n[-con; -stress]l</t>
  </si>
  <si>
    <t>with some exceptions to the rule</t>
  </si>
  <si>
    <t>l[-con; -stress]l</t>
  </si>
  <si>
    <t>qarč’ála-la &gt; qarč’ál-la</t>
  </si>
  <si>
    <t>shoulder-GEN</t>
  </si>
  <si>
    <t>‘of shoulder’</t>
  </si>
  <si>
    <t>/ [+con;+son; dorsal] _ [+con;+son; dorsal]</t>
  </si>
  <si>
    <t>batari-la &gt; batar-la</t>
  </si>
  <si>
    <t>wing-GEN</t>
  </si>
  <si>
    <t>‘of wing’</t>
  </si>
  <si>
    <t>r-assimilation</t>
  </si>
  <si>
    <t>after 88-95</t>
  </si>
  <si>
    <t>b-elč’-un-ra &gt; belč’unna</t>
  </si>
  <si>
    <t>M-read:PFV-AOR-EGO</t>
  </si>
  <si>
    <t>‘I’ve read’</t>
  </si>
  <si>
    <t>in some cases, this assimilation is optional</t>
  </si>
  <si>
    <t>/ _l</t>
  </si>
  <si>
    <t>qar-li-ze &gt; qallize</t>
  </si>
  <si>
    <t>sheepskin.coat-OBL-INTER[LAT]</t>
  </si>
  <si>
    <t>‘through sheepskin coat’</t>
  </si>
  <si>
    <t>cheshirization-pharyngalization</t>
  </si>
  <si>
    <t>/ _CV#</t>
  </si>
  <si>
    <t>straw &gt; straw:PL-PL</t>
  </si>
  <si>
    <t xml:space="preserve">in nouns, some of the plural CV-morphemes may delete the stem-final vowel. If the deleted vowel is pharyngealized, the pharyngeal feature moves to the previous syllable </t>
  </si>
  <si>
    <t>/ [ _ ]syll + VCV#</t>
  </si>
  <si>
    <t>after 101</t>
  </si>
  <si>
    <t>кубачинский даргинский</t>
  </si>
  <si>
    <t>šin-la &gt; šin-na</t>
  </si>
  <si>
    <t>water-GEN</t>
  </si>
  <si>
    <t>‘of water’</t>
  </si>
  <si>
    <t>(Magometov, 1963)</t>
  </si>
  <si>
    <t>Kubachi</t>
  </si>
  <si>
    <t>čar-la &gt; čar-ra</t>
  </si>
  <si>
    <t>wheel-GEN</t>
  </si>
  <si>
    <t>‘of wheel’</t>
  </si>
  <si>
    <t>d-assimilation</t>
  </si>
  <si>
    <t>d</t>
  </si>
  <si>
    <t>baħmud-la &gt; baħmul-la</t>
  </si>
  <si>
    <t>Baħmud-GEN</t>
  </si>
  <si>
    <t>‘of Bahemud’</t>
  </si>
  <si>
    <t>/ _n</t>
  </si>
  <si>
    <t>lid-nu &gt; lin-nu</t>
  </si>
  <si>
    <t>‘what is available?’</t>
  </si>
  <si>
    <t>/ _m</t>
  </si>
  <si>
    <t>ωab-muda &gt; ωam-muda</t>
  </si>
  <si>
    <t>three-corner</t>
  </si>
  <si>
    <t>‘headscarf’</t>
  </si>
  <si>
    <t>n-assimilation</t>
  </si>
  <si>
    <t>/ _b</t>
  </si>
  <si>
    <t xml:space="preserve">hana-be &gt; hum-be </t>
  </si>
  <si>
    <t>stove-PL</t>
  </si>
  <si>
    <t>‘stoves’</t>
  </si>
  <si>
    <t>n-dissimilation</t>
  </si>
  <si>
    <t xml:space="preserve">/ _ [n]syll </t>
  </si>
  <si>
    <t xml:space="preserve">šin-q-an &gt; šil-q-an </t>
  </si>
  <si>
    <t>‘mill’</t>
  </si>
  <si>
    <t>k(ː)(’)</t>
  </si>
  <si>
    <t>č(ː)(’)</t>
  </si>
  <si>
    <t>/ _ [-con; +front]</t>
  </si>
  <si>
    <t>kab-k-ne vs. kab-č-ij</t>
  </si>
  <si>
    <t>‘falling’ vs. ‘to fall’</t>
  </si>
  <si>
    <t>ž</t>
  </si>
  <si>
    <t>kab-g-ne vs. kab-ž-ij</t>
  </si>
  <si>
    <t>‘writing’ vs. ‘to write’</t>
  </si>
  <si>
    <t>x(ː)</t>
  </si>
  <si>
    <t>š(ː)</t>
  </si>
  <si>
    <t>ba-x-ne vs. ba-š-ij</t>
  </si>
  <si>
    <t>‘going’ vs. ‘to go’</t>
  </si>
  <si>
    <t>assimilation, fortition</t>
  </si>
  <si>
    <t>z</t>
  </si>
  <si>
    <t>sː</t>
  </si>
  <si>
    <t>/ [+con; -voice] _</t>
  </si>
  <si>
    <t>pak-zib &gt; pak-sːib</t>
  </si>
  <si>
    <t>‘beautiful’</t>
  </si>
  <si>
    <t>šː</t>
  </si>
  <si>
    <t>pak-zub &gt; pak-šːub</t>
  </si>
  <si>
    <t>t + z</t>
  </si>
  <si>
    <t>cː</t>
  </si>
  <si>
    <t>samat-zib &gt; samacːib</t>
  </si>
  <si>
    <t>‘light’</t>
  </si>
  <si>
    <t>t + ž</t>
  </si>
  <si>
    <t>čː</t>
  </si>
  <si>
    <t>samat-žub &gt; samačːub</t>
  </si>
  <si>
    <t>č + z</t>
  </si>
  <si>
    <t>čsː</t>
  </si>
  <si>
    <t>puč-zib &gt; puč-šːib</t>
  </si>
  <si>
    <t>‘weak, bad’</t>
  </si>
  <si>
    <t>č + ž</t>
  </si>
  <si>
    <t>čšː</t>
  </si>
  <si>
    <t>puc-žub &gt; puč-šːub</t>
  </si>
  <si>
    <t>c + z</t>
  </si>
  <si>
    <t>buc-zib &gt; bucːib</t>
  </si>
  <si>
    <t>‘fat’</t>
  </si>
  <si>
    <t>c + ž</t>
  </si>
  <si>
    <t>cšː</t>
  </si>
  <si>
    <t>buc-žud &gt; buc-šːud</t>
  </si>
  <si>
    <t>cʼ + z</t>
  </si>
  <si>
    <t>qʼacʼ-zib &gt; qʼacib</t>
  </si>
  <si>
    <t>‘sour’</t>
  </si>
  <si>
    <t>cʼ + ž</t>
  </si>
  <si>
    <t>qʼacʼ-žub &gt; qʼačːud</t>
  </si>
  <si>
    <t>aw</t>
  </si>
  <si>
    <t>ka-wižij &gt; kižij</t>
  </si>
  <si>
    <t>‘to sit down’</t>
  </si>
  <si>
    <t>aj</t>
  </si>
  <si>
    <t>ka-jižij &gt; kežij</t>
  </si>
  <si>
    <t>tː</t>
  </si>
  <si>
    <t>/ {sa, ka, ha} _</t>
  </si>
  <si>
    <t>sa-daɣij &gt; sa-tːaɣij</t>
  </si>
  <si>
    <t>‘to arrive’</t>
  </si>
  <si>
    <t>квантладский хваршинский</t>
  </si>
  <si>
    <t>/ [ _ [+con; +pharyng]]syll</t>
  </si>
  <si>
    <t>(Khalilova, 2009)</t>
  </si>
  <si>
    <t>Xvarshi</t>
  </si>
  <si>
    <t>Khwarshi</t>
  </si>
  <si>
    <t>Kwantlada</t>
  </si>
  <si>
    <t>[+con; +lab]</t>
  </si>
  <si>
    <t>/ _ C(V)</t>
  </si>
  <si>
    <t>aⁿqʼʷa &gt; aⁿqʼˤ-za</t>
  </si>
  <si>
    <t>mouse &gt; mouse-PL.OBL</t>
  </si>
  <si>
    <t>‘mouse’ &gt; ‘mice’</t>
  </si>
  <si>
    <t>labialized consonants are lost before inflectional morphemes of C(V) and uC structure</t>
  </si>
  <si>
    <t>/ _ uC</t>
  </si>
  <si>
    <t>l-ok’ʷ-a &gt; l-ok’-un</t>
  </si>
  <si>
    <t>IV-burn-INF &gt; IV-burn-PST.UW</t>
  </si>
  <si>
    <t>‘to burn’ &gt; ‘burned’</t>
  </si>
  <si>
    <t>/ _# + {k’, x}</t>
  </si>
  <si>
    <t>l-ek’ʷ-a &gt; l-ek’-xʷ-a</t>
  </si>
  <si>
    <t>IV-hit-INF &gt; IV-hit-CAUS1-INF</t>
  </si>
  <si>
    <t>‘to hit’ &gt; ‘to cause to hit’</t>
  </si>
  <si>
    <t>with added the causative suffixes -k’- or -x-</t>
  </si>
  <si>
    <t>18-19</t>
  </si>
  <si>
    <t>lʲ</t>
  </si>
  <si>
    <t>/ [-con; +front] _</t>
  </si>
  <si>
    <t>čelʲ
lʲilʲu</t>
  </si>
  <si>
    <t>face
wing</t>
  </si>
  <si>
    <t>‘face’
‘wing’</t>
  </si>
  <si>
    <t>19-20</t>
  </si>
  <si>
    <t>/ _ [[+con; +pharyng]]syll</t>
  </si>
  <si>
    <t>lʲaxˤ</t>
  </si>
  <si>
    <t>ditch</t>
  </si>
  <si>
    <t>‘ditch’</t>
  </si>
  <si>
    <t>/ [[+con; +pharyng]]syll _</t>
  </si>
  <si>
    <t>bˤulʲa</t>
  </si>
  <si>
    <t>bald patch</t>
  </si>
  <si>
    <t>‘bald patch’</t>
  </si>
  <si>
    <t>C</t>
  </si>
  <si>
    <t>/ _# + u</t>
  </si>
  <si>
    <t>oⁿk’-a &gt; oⁿk’kʼ-u</t>
  </si>
  <si>
    <t>go-INF &gt; go-PST.PTCP</t>
  </si>
  <si>
    <t>‘to go’ &gt; ‘going’</t>
  </si>
  <si>
    <t>with suffix PST.PTCP u</t>
  </si>
  <si>
    <t>/ _# + še</t>
  </si>
  <si>
    <t>lacʼ-a &gt; lac-ce</t>
  </si>
  <si>
    <t>eat-INF &gt; eat-PRS</t>
  </si>
  <si>
    <t>‘to eat’ &gt; ‘eat’</t>
  </si>
  <si>
    <t>with suffix PRES še</t>
  </si>
  <si>
    <t>nu</t>
  </si>
  <si>
    <t>nnu</t>
  </si>
  <si>
    <t>/ [(C)V]syll# + _</t>
  </si>
  <si>
    <t>zo-ya &gt; zo-nnu</t>
  </si>
  <si>
    <t>skate-INF &gt; skate-MASD</t>
  </si>
  <si>
    <t>‘to skate’ &gt; ‘skating’</t>
  </si>
  <si>
    <t>/ V# + _</t>
  </si>
  <si>
    <t>exe-ya &gt; exe-ll-a</t>
  </si>
  <si>
    <t>write-INF &gt; write-POT-INF</t>
  </si>
  <si>
    <t>‘to write’ &gt; ‘to write’</t>
  </si>
  <si>
    <t>[-con; -long]</t>
  </si>
  <si>
    <t>[+long]</t>
  </si>
  <si>
    <t>l-ez-a &gt; l-ēz</t>
  </si>
  <si>
    <t>IV-buy-INF &gt; IV-buy.GNT</t>
  </si>
  <si>
    <t>with general tense</t>
  </si>
  <si>
    <t>dš</t>
  </si>
  <si>
    <t>šš</t>
  </si>
  <si>
    <t>durid-a &gt; durišše</t>
  </si>
  <si>
    <t>run-INF &gt; run.PRS</t>
  </si>
  <si>
    <t>25-26</t>
  </si>
  <si>
    <t>sš</t>
  </si>
  <si>
    <t>ss</t>
  </si>
  <si>
    <t>is-a &gt; isse</t>
  </si>
  <si>
    <t>tell-INF &gt; tell.PRS</t>
  </si>
  <si>
    <t>zš</t>
  </si>
  <si>
    <t>l-ez-a &gt; l-esse</t>
  </si>
  <si>
    <t>IV-buy-INF &gt; IV-buy.PRS</t>
  </si>
  <si>
    <t>cš</t>
  </si>
  <si>
    <t>cc</t>
  </si>
  <si>
    <t>cuc-a &gt; cucce</t>
  </si>
  <si>
    <t>hide-INF &gt; hide.PRS</t>
  </si>
  <si>
    <t>cʼš</t>
  </si>
  <si>
    <t>l-acʼ-a &gt; l-acce</t>
  </si>
  <si>
    <t>IV-eat-INF &gt; IV-eat.PRS</t>
  </si>
  <si>
    <t>hše</t>
  </si>
  <si>
    <t>šše</t>
  </si>
  <si>
    <t>b-uh-a &gt; b-ušše</t>
  </si>
  <si>
    <t>HPL-die-INF &gt; HPL-die.PRS</t>
  </si>
  <si>
    <t>čš</t>
  </si>
  <si>
    <t>čč</t>
  </si>
  <si>
    <t>l-eč-a &gt; l-ečče</t>
  </si>
  <si>
    <t>IV-be-INF &gt; IV-be.PRS</t>
  </si>
  <si>
    <t>čʼš</t>
  </si>
  <si>
    <t>l-ičʼ-a &gt; l-ičče</t>
  </si>
  <si>
    <t>IV-cut-INF &gt; IV-cut.PRS</t>
  </si>
  <si>
    <t>/ _# + lo</t>
  </si>
  <si>
    <t>židu &gt; žilʲlʲo</t>
  </si>
  <si>
    <t>that.PL.(D)OBL &gt; that.PL.(D)GEN2</t>
  </si>
  <si>
    <t>with suffix GEN2 lo</t>
  </si>
  <si>
    <t>after 146</t>
  </si>
  <si>
    <t>that.PL.(D)OBL &gt; that.PL.(D)GEN3</t>
  </si>
  <si>
    <t>k’</t>
  </si>
  <si>
    <t>ɣ</t>
  </si>
  <si>
    <t>/ ɣ_</t>
  </si>
  <si>
    <t>n-aɣˤ-a &gt; n-aɣˤ-ɣˤ-a</t>
  </si>
  <si>
    <t>IV-open-INF &gt; IV-open-CAUS-INF</t>
  </si>
  <si>
    <t>with suffix CAUS k’ and x</t>
  </si>
  <si>
    <t>26-27</t>
  </si>
  <si>
    <t>x</t>
  </si>
  <si>
    <t>q</t>
  </si>
  <si>
    <t>/ q(’)_</t>
  </si>
  <si>
    <t>quq-a &gt; quq-q-a</t>
  </si>
  <si>
    <t>dry-INF &gt; dry-CAUS-INF</t>
  </si>
  <si>
    <t>/ _ [-con; +nasal]</t>
  </si>
  <si>
    <t xml:space="preserve">-oⁿkʼ- &gt; m-okʼ-a </t>
  </si>
  <si>
    <t>go &gt; HPL/III-go-INF</t>
  </si>
  <si>
    <t>gender-number prefixes b - and l - have the allomorphs m- and n - before a verb stem beginning lexically with a nasalized vowel</t>
  </si>
  <si>
    <t>[-con; +nasal]</t>
  </si>
  <si>
    <t>[-nasal]</t>
  </si>
  <si>
    <t>/ m_</t>
  </si>
  <si>
    <t>after 150</t>
  </si>
  <si>
    <t>after these nasal allomorphs, the nasalization of the stem-initial vowel is lost</t>
  </si>
  <si>
    <t xml:space="preserve">-eⁿg- &gt; n-eg-a </t>
  </si>
  <si>
    <t>fall &gt; NHPL/IV-fall-INF</t>
  </si>
  <si>
    <t>after 152</t>
  </si>
  <si>
    <t>o</t>
  </si>
  <si>
    <t>/ {d, ł, λ}_k’</t>
  </si>
  <si>
    <t>c’odorł-ok’-a</t>
  </si>
  <si>
    <t>get.clever-CAUS-INF</t>
  </si>
  <si>
    <t>with suffix CAUS k’ in polysyllabic verbal stems</t>
  </si>
  <si>
    <t>/ V_k’</t>
  </si>
  <si>
    <t>b-odo-xk’-a</t>
  </si>
  <si>
    <t>HPL-work-CAUS-INF</t>
  </si>
  <si>
    <t>with suffix CAUS k’ in verbal stems with final V</t>
  </si>
  <si>
    <t>/ _# + ł</t>
  </si>
  <si>
    <t>ħayrana-l &gt; ħayran-ł-a</t>
  </si>
  <si>
    <t>surprised-IV &gt; surprised-VZ-INF</t>
  </si>
  <si>
    <t>with suffix VZ ł</t>
  </si>
  <si>
    <t>/ _# + dax</t>
  </si>
  <si>
    <t>ut’ana &gt; ut’an-dax-a</t>
  </si>
  <si>
    <t>red &gt; red-VZ-INF</t>
  </si>
  <si>
    <t>with suffix VZ dax</t>
  </si>
  <si>
    <t>y</t>
  </si>
  <si>
    <t>ze &gt; ze-y-i</t>
  </si>
  <si>
    <t>bear.ABS &gt; bear-EP-ERG</t>
  </si>
  <si>
    <t>гунзибский proper</t>
  </si>
  <si>
    <t>/ [+con; +nasal] _</t>
  </si>
  <si>
    <t>aⁿцəру &gt; мацəру</t>
  </si>
  <si>
    <t>clean &gt; clean-PL</t>
  </si>
  <si>
    <t xml:space="preserve">‘clean’ &gt; ‘clean’ </t>
  </si>
  <si>
    <t>(Isakov and Xalilov, 2012)</t>
  </si>
  <si>
    <t>Hunzib</t>
  </si>
  <si>
    <t>а</t>
  </si>
  <si>
    <t>ы</t>
  </si>
  <si>
    <t>малу &gt; мыл-ал</t>
  </si>
  <si>
    <t>nail &gt; nail-ERG</t>
  </si>
  <si>
    <t>‘nail’ &gt; ‘nail’</t>
  </si>
  <si>
    <t>а̇</t>
  </si>
  <si>
    <t>ма̇къу &gt; мыкъ-ас</t>
  </si>
  <si>
    <t>tear &gt; tear-GEN1</t>
  </si>
  <si>
    <t>‘tear’ &gt; ‘of tear’</t>
  </si>
  <si>
    <t>и</t>
  </si>
  <si>
    <t>ма̇че &gt; мич-а:</t>
  </si>
  <si>
    <t>place &gt; place-DAT</t>
  </si>
  <si>
    <t>‘place’ &gt; ‘place’</t>
  </si>
  <si>
    <t>о</t>
  </si>
  <si>
    <t>бохъ &gt; быхъ-əс</t>
  </si>
  <si>
    <t>sun &gt; sun-GEN1</t>
  </si>
  <si>
    <t>‘sun’ &gt; ‘of sun’</t>
  </si>
  <si>
    <t>у</t>
  </si>
  <si>
    <t>ə</t>
  </si>
  <si>
    <t>сукIу &gt; сə-йл</t>
  </si>
  <si>
    <t>who &gt; who-ERG</t>
  </si>
  <si>
    <t>‘who’ &gt; ‘who’</t>
  </si>
  <si>
    <t>е</t>
  </si>
  <si>
    <t>лъа̇на̇ &gt; лъел</t>
  </si>
  <si>
    <t>three &gt; three</t>
  </si>
  <si>
    <t>‘three’ &gt; ‘three’</t>
  </si>
  <si>
    <t>гəлəр &gt; гилер</t>
  </si>
  <si>
    <t>put &gt; put</t>
  </si>
  <si>
    <t>‘put’ &gt; ‘put’</t>
  </si>
  <si>
    <t>гилер &gt; гулур</t>
  </si>
  <si>
    <t>рокIола &gt; рокIала</t>
  </si>
  <si>
    <t>gather &gt; gather.PL</t>
  </si>
  <si>
    <t>‘gather’ &gt; ‘gather’</t>
  </si>
  <si>
    <t>жо &gt; жугур</t>
  </si>
  <si>
    <r>
      <rPr>
        <rFont val="Arial"/>
        <color theme="1"/>
      </rPr>
      <t xml:space="preserve">thing &gt; </t>
    </r>
    <r>
      <rPr>
        <rFont val="Arial"/>
        <color rgb="FF000000"/>
      </rPr>
      <t>thing.PL</t>
    </r>
  </si>
  <si>
    <t>‘thing’ &gt; ‘things’</t>
  </si>
  <si>
    <t>aⁿ</t>
  </si>
  <si>
    <t>цaⁿ &gt; чи-йол</t>
  </si>
  <si>
    <t>salt &gt; salt-ERG</t>
  </si>
  <si>
    <t>‘salt’ &gt; ‘salt’</t>
  </si>
  <si>
    <t>коро &gt; кaⁿс</t>
  </si>
  <si>
    <t>hand &gt; hand.GEN1</t>
  </si>
  <si>
    <t>‘hand’ &gt; ‘of hand’</t>
  </si>
  <si>
    <t>иⁿ</t>
  </si>
  <si>
    <t xml:space="preserve">кaⁿй &gt; киⁿй-ал </t>
  </si>
  <si>
    <t>berry &gt; berry-ERG</t>
  </si>
  <si>
    <t>‘berry’ &gt; ‘berry’</t>
  </si>
  <si>
    <t>/ _# + suffix</t>
  </si>
  <si>
    <t>быцу &gt; быц-ла</t>
  </si>
  <si>
    <t>hand &gt; hand-PL</t>
  </si>
  <si>
    <t>‘hand’ &gt; ‘hands’</t>
  </si>
  <si>
    <t>чIиге &gt; чIиг-ба</t>
  </si>
  <si>
    <t>flea &gt; flea-PL</t>
  </si>
  <si>
    <t>‘flea’ &gt; ‘fleas’</t>
  </si>
  <si>
    <t>бысə &gt; быс-ба</t>
  </si>
  <si>
    <t>fish &gt; fish-PL</t>
  </si>
  <si>
    <t>‘fish’ &gt; ‘fish’</t>
  </si>
  <si>
    <t>гудо &gt; гуд-ба</t>
  </si>
  <si>
    <t>hen &gt; hen-PL</t>
  </si>
  <si>
    <t>‘hen’ &gt; ‘hens’</t>
  </si>
  <si>
    <t>тIига &gt; тIиг-ба</t>
  </si>
  <si>
    <t>goat &gt; goat-PL</t>
  </si>
  <si>
    <t>‘goat’ &gt; ‘goats’</t>
  </si>
  <si>
    <t>assimilation, lenition</t>
  </si>
  <si>
    <t xml:space="preserve">д </t>
  </si>
  <si>
    <t>л</t>
  </si>
  <si>
    <t>/ _ + л</t>
  </si>
  <si>
    <t>месед-лис &gt; месел-лис</t>
  </si>
  <si>
    <t>gold-GEN1</t>
  </si>
  <si>
    <t>‘of gold’</t>
  </si>
  <si>
    <t>д + с</t>
  </si>
  <si>
    <t>цц</t>
  </si>
  <si>
    <t xml:space="preserve">бəд-сə &gt; бəц-цə </t>
  </si>
  <si>
    <t>this-EMP</t>
  </si>
  <si>
    <t>‘this’</t>
  </si>
  <si>
    <t>д + ч</t>
  </si>
  <si>
    <t>чч</t>
  </si>
  <si>
    <t>ныда-чос &gt; ныч-чос</t>
  </si>
  <si>
    <t>‘audible’</t>
  </si>
  <si>
    <t>т + д</t>
  </si>
  <si>
    <t>дд</t>
  </si>
  <si>
    <t>Райгьанат-до &gt; Райгьанад-до</t>
  </si>
  <si>
    <t>Rayganad-INSTR</t>
  </si>
  <si>
    <t xml:space="preserve">р </t>
  </si>
  <si>
    <t>хор-ла &gt; хол-ла</t>
  </si>
  <si>
    <t>sheep-PL</t>
  </si>
  <si>
    <t>‘sheep’</t>
  </si>
  <si>
    <t>тI + д</t>
  </si>
  <si>
    <t>yтI-до &gt; уд-до</t>
  </si>
  <si>
    <t>‘if he falls asleep’</t>
  </si>
  <si>
    <t>тI + ч</t>
  </si>
  <si>
    <t>буватI-чо-р &gt; бувач-чо-р</t>
  </si>
  <si>
    <t>‘would you sleep?’</t>
  </si>
  <si>
    <t>б</t>
  </si>
  <si>
    <t>м</t>
  </si>
  <si>
    <t>/ л_</t>
  </si>
  <si>
    <t>къилба &gt; къилма</t>
  </si>
  <si>
    <t>south</t>
  </si>
  <si>
    <t>‘south’</t>
  </si>
  <si>
    <t>тI + лъ</t>
  </si>
  <si>
    <t>лI</t>
  </si>
  <si>
    <t>нысатI-лъа &gt; нысалIа</t>
  </si>
  <si>
    <t>‘would not he tell?’</t>
  </si>
  <si>
    <t>тI + л</t>
  </si>
  <si>
    <t>хотI-лер &gt; холIер</t>
  </si>
  <si>
    <t>‘got fat’</t>
  </si>
  <si>
    <t>т + с</t>
  </si>
  <si>
    <t>ц</t>
  </si>
  <si>
    <t>саламат-са &gt; саламаца</t>
  </si>
  <si>
    <t>‘significantly’</t>
  </si>
  <si>
    <t>тI + з</t>
  </si>
  <si>
    <t>цI</t>
  </si>
  <si>
    <t>битI-зи &gt; бицIи</t>
  </si>
  <si>
    <t>‘to direct’</t>
  </si>
  <si>
    <t>чI</t>
  </si>
  <si>
    <t>гикьонəцIəр &gt; гикьоничIер</t>
  </si>
  <si>
    <t>‘appeared’ &gt; ‘appeared’</t>
  </si>
  <si>
    <t>ч</t>
  </si>
  <si>
    <t>ш</t>
  </si>
  <si>
    <t>с</t>
  </si>
  <si>
    <t>шийо &gt; синло</t>
  </si>
  <si>
    <t>what &gt; what.ERG</t>
  </si>
  <si>
    <t>‘what’ &gt; ‘what’</t>
  </si>
  <si>
    <t>бежтинский proper</t>
  </si>
  <si>
    <t>гъаьде &gt; гъаьди</t>
  </si>
  <si>
    <t>raven.OBL</t>
  </si>
  <si>
    <t>‘raven’</t>
  </si>
  <si>
    <t>(Comrie, Khalilov, and Khalilova, 2015)</t>
  </si>
  <si>
    <t>Bezhta</t>
  </si>
  <si>
    <t>кало &gt; кала</t>
  </si>
  <si>
    <t>fence.OBL</t>
  </si>
  <si>
    <t>‘fence’</t>
  </si>
  <si>
    <t xml:space="preserve">йакIо &gt; йакIи </t>
  </si>
  <si>
    <t>heart.OBL</t>
  </si>
  <si>
    <t>‘heart’</t>
  </si>
  <si>
    <t>йига &gt; йиги</t>
  </si>
  <si>
    <t>key.OBL</t>
  </si>
  <si>
    <t>‘key’</t>
  </si>
  <si>
    <t>нене &gt; нена</t>
  </si>
  <si>
    <t>breast.OBL</t>
  </si>
  <si>
    <t>‘breast’</t>
  </si>
  <si>
    <t>а:</t>
  </si>
  <si>
    <t>/ [ _ ]syll# + PL</t>
  </si>
  <si>
    <t>бекела &gt; бекела:</t>
  </si>
  <si>
    <t>snake &gt; snake-PL</t>
  </si>
  <si>
    <t>‘snake’ &gt; ‘snakes’</t>
  </si>
  <si>
    <t>кьокькьо &gt; кьокькьа:</t>
  </si>
  <si>
    <t>board &gt; board-PL</t>
  </si>
  <si>
    <t>‘board’ &gt; ‘boards’</t>
  </si>
  <si>
    <t>b-to-m-assimilation</t>
  </si>
  <si>
    <t>аьⁿшшоь &gt; маьшшоь</t>
  </si>
  <si>
    <t>‘low’</t>
  </si>
  <si>
    <t>70-71</t>
  </si>
  <si>
    <t>denasalisation</t>
  </si>
  <si>
    <t>/ м_</t>
  </si>
  <si>
    <t>after 202</t>
  </si>
  <si>
    <t>гь</t>
  </si>
  <si>
    <t>/ а_а</t>
  </si>
  <si>
    <t>кIисагьал &gt; кIиса:л</t>
  </si>
  <si>
    <t>‘to play’</t>
  </si>
  <si>
    <t>aa</t>
  </si>
  <si>
    <t>a:</t>
  </si>
  <si>
    <t>after 204</t>
  </si>
  <si>
    <t>кьиса:л &gt; кьисас</t>
  </si>
  <si>
    <t>‘to pull’ &gt; ‘pull’</t>
  </si>
  <si>
    <t>in PRES forms only</t>
  </si>
  <si>
    <t>/ a_a</t>
  </si>
  <si>
    <t>кIиса-а-акъа &gt; кIиса-акъа</t>
  </si>
  <si>
    <t>‘do not play’</t>
  </si>
  <si>
    <t>in prohibitive forms only</t>
  </si>
  <si>
    <t xml:space="preserve">- </t>
  </si>
  <si>
    <t>аьгь-кI-ал &gt; аьгь-кI-и-да</t>
  </si>
  <si>
    <t>‘to drill’ &gt; ‘if drilled’</t>
  </si>
  <si>
    <t>in conditional forms only (optionally)</t>
  </si>
  <si>
    <t>кетІе &gt; кетІ-бо</t>
  </si>
  <si>
    <t>spoon &gt; spoon-PL</t>
  </si>
  <si>
    <t>‘spoon’ &gt; ‘spoons’</t>
  </si>
  <si>
    <t>PL, superessive, etc</t>
  </si>
  <si>
    <t>боцо &gt; боц-бо</t>
  </si>
  <si>
    <t>moon &gt; moon-PL</t>
  </si>
  <si>
    <t>‘moon’ &gt; ‘moons’</t>
  </si>
  <si>
    <t>кома &gt; ком-бо</t>
  </si>
  <si>
    <t>kidney &gt; kidney-PL</t>
  </si>
  <si>
    <t>‘kidney’ &gt; ‘kidneys’</t>
  </si>
  <si>
    <t>гочІи &gt; гочІ-бо</t>
  </si>
  <si>
    <t>piglet &gt; piglet-PL</t>
  </si>
  <si>
    <t>‘piglet’ &gt; ‘piglets’</t>
  </si>
  <si>
    <t xml:space="preserve">V </t>
  </si>
  <si>
    <t>гугило &gt; гуглолъал</t>
  </si>
  <si>
    <t>‘lukewarm’ &gt; ‘to become lukewarm’</t>
  </si>
  <si>
    <t>conversion from Adj to Verb</t>
  </si>
  <si>
    <t>боъ-л-ал &gt; боъ-и-л-ло</t>
  </si>
  <si>
    <t>‘to lose’ &gt; ‘lost’</t>
  </si>
  <si>
    <t>in verb forms</t>
  </si>
  <si>
    <t>в</t>
  </si>
  <si>
    <t>/ о_с</t>
  </si>
  <si>
    <t>хъов-с &gt; хъо:-с</t>
  </si>
  <si>
    <t>‘read’</t>
  </si>
  <si>
    <t>о:</t>
  </si>
  <si>
    <t>/ _c</t>
  </si>
  <si>
    <t>after 214</t>
  </si>
  <si>
    <t>й</t>
  </si>
  <si>
    <t>/ и_с</t>
  </si>
  <si>
    <t>гий-с &gt; ги:с</t>
  </si>
  <si>
    <t>‘he is coming’</t>
  </si>
  <si>
    <t>и:</t>
  </si>
  <si>
    <t>after 216</t>
  </si>
  <si>
    <t>/ у_с</t>
  </si>
  <si>
    <t>гув-с &gt; гу:с</t>
  </si>
  <si>
    <t>‘they are coming’</t>
  </si>
  <si>
    <t>у:</t>
  </si>
  <si>
    <t>after 218</t>
  </si>
  <si>
    <t>harmony</t>
  </si>
  <si>
    <t>[-con; α-front]</t>
  </si>
  <si>
    <t>[β-front]</t>
  </si>
  <si>
    <t>/ [-con; β-front] + [ _ ]suffix</t>
  </si>
  <si>
    <t>во &gt; во-бо
ма:ь &gt; ма:ьⁿ-боь</t>
  </si>
  <si>
    <t>dog &gt; dog-PL
mountain &gt; mountain-PL</t>
  </si>
  <si>
    <t>‘dog’ &gt; ‘dogs’
‘mountain’ &gt; ‘mountains’</t>
  </si>
  <si>
    <t>[+con; α-place]</t>
  </si>
  <si>
    <t>[β-place]</t>
  </si>
  <si>
    <t>/ [+con; β-place] + [ _ ]suffix</t>
  </si>
  <si>
    <t>гукI-ал &gt; гукI-ца
шоьъ-аьл &gt; шоьъ-чаь</t>
  </si>
  <si>
    <t>‘to take on’ &gt; ‘takes on’
‘to forget’ &gt; ‘forgets’</t>
  </si>
  <si>
    <t>/ [-con; +front] + [ _ ]suffix</t>
  </si>
  <si>
    <t>ваьйаь-с &gt; ваьйаь-ш</t>
  </si>
  <si>
    <t>cow-GEN1</t>
  </si>
  <si>
    <t>‘cow’</t>
  </si>
  <si>
    <t>гъес-ал &gt; гъеш-ейо</t>
  </si>
  <si>
    <t>close-INF &gt; close-PST</t>
  </si>
  <si>
    <t>‘to close’ &gt; ‘closed’</t>
  </si>
  <si>
    <t>/ [-con; +front] + [ _ ] suffix</t>
  </si>
  <si>
    <t>хоьхаьл &gt; хоьх-чаь</t>
  </si>
  <si>
    <t>bite &gt; bite-PRES</t>
  </si>
  <si>
    <t>‘to bite’ &gt; ‘bites’</t>
  </si>
  <si>
    <t>з</t>
  </si>
  <si>
    <t>ж</t>
  </si>
  <si>
    <t>/ _е</t>
  </si>
  <si>
    <t>йиз-ал &gt; йиж-е-йо</t>
  </si>
  <si>
    <t>‘to win’</t>
  </si>
  <si>
    <t>йов-ал &gt; йогь-да</t>
  </si>
  <si>
    <t>‘to release’</t>
  </si>
  <si>
    <t>аварский proper</t>
  </si>
  <si>
    <t>ъ</t>
  </si>
  <si>
    <t>/ #_V</t>
  </si>
  <si>
    <t>абизе &gt; ъабизе</t>
  </si>
  <si>
    <t>‘to say’</t>
  </si>
  <si>
    <t>(Alekseev, Ataev, Magomedov, Magomedov, Madieva, Saidova, and Samedov, 2012)</t>
  </si>
  <si>
    <t>Avar</t>
  </si>
  <si>
    <t>Standard Avar</t>
  </si>
  <si>
    <t>рии &gt; риъи</t>
  </si>
  <si>
    <t>‘summer’</t>
  </si>
  <si>
    <t>чу-ал &gt; чу-й-ал</t>
  </si>
  <si>
    <t>‘horses’</t>
  </si>
  <si>
    <t>/ [ _ ]syll2 + syll3</t>
  </si>
  <si>
    <t>гамачӀ-ил &gt; ганчӀ-ил</t>
  </si>
  <si>
    <t>stone-GEN</t>
  </si>
  <si>
    <t>‘of stone’</t>
  </si>
  <si>
    <t>/ [ _ ]syll1 + suffix</t>
  </si>
  <si>
    <t>after 230</t>
  </si>
  <si>
    <t>бетӀер &gt; ботIр-ол</t>
  </si>
  <si>
    <t>head-GEN</t>
  </si>
  <si>
    <t>‘of head’</t>
  </si>
  <si>
    <t>бетӀер &gt; бутIр-ул</t>
  </si>
  <si>
    <t>head-PL</t>
  </si>
  <si>
    <t>‘heads’</t>
  </si>
  <si>
    <t>габур &gt; горб-ол</t>
  </si>
  <si>
    <t>neck-GEN</t>
  </si>
  <si>
    <t>‘of neck’</t>
  </si>
  <si>
    <t>габур &gt; гарб-ал</t>
  </si>
  <si>
    <t>neck-PL</t>
  </si>
  <si>
    <t>‘necks’</t>
  </si>
  <si>
    <t>кьибил &gt; кьолб-ол</t>
  </si>
  <si>
    <t>root-GEN</t>
  </si>
  <si>
    <t>‘of root’</t>
  </si>
  <si>
    <t>кьибил &gt; кьалб-ал</t>
  </si>
  <si>
    <t>root-PL</t>
  </si>
  <si>
    <t>‘roots’</t>
  </si>
  <si>
    <t>/ [ _ ] + suffix</t>
  </si>
  <si>
    <t>цер &gt;  цар-ал</t>
  </si>
  <si>
    <t>fox-GEN</t>
  </si>
  <si>
    <t>‘of fox’</t>
  </si>
  <si>
    <t>цер &gt; цур-дул</t>
  </si>
  <si>
    <t>fox-PL</t>
  </si>
  <si>
    <t>‘foxes’</t>
  </si>
  <si>
    <t>гIус &gt; гIос-ол</t>
  </si>
  <si>
    <t>tooth-GEN</t>
  </si>
  <si>
    <t>‘of tooth’</t>
  </si>
  <si>
    <t>лъим &gt; лъ-ел</t>
  </si>
  <si>
    <t>н</t>
  </si>
  <si>
    <t>/ р_</t>
  </si>
  <si>
    <t>керен &gt; курм-ул</t>
  </si>
  <si>
    <t>breast-PL</t>
  </si>
  <si>
    <t>‘breasts’</t>
  </si>
  <si>
    <t>methathesis</t>
  </si>
  <si>
    <t>[+con; -son][+con; +son]</t>
  </si>
  <si>
    <t>[+con; +son][+con; -son]</t>
  </si>
  <si>
    <t>цӀобло-л &gt; цӀолб-ол</t>
  </si>
  <si>
    <t>winegrape-GEN</t>
  </si>
  <si>
    <t>‘of winegrape’</t>
  </si>
  <si>
    <t>/ C_C</t>
  </si>
  <si>
    <t>туманкI &gt; тункI-ил</t>
  </si>
  <si>
    <t>gun &gt; gun-GEN</t>
  </si>
  <si>
    <t>‘gun’ &gt; ‘of gun’</t>
  </si>
  <si>
    <t>/ _ [+con; -son]</t>
  </si>
  <si>
    <t>гомог &gt; гонг-ал</t>
  </si>
  <si>
    <t>trench &gt; trench-PL</t>
  </si>
  <si>
    <t>‘trench’ &gt; ‘trenches’</t>
  </si>
  <si>
    <t>/ _ [-con; +round]</t>
  </si>
  <si>
    <t>кӀветI &gt; кӀутӀ-би</t>
  </si>
  <si>
    <t>lip &gt; lip-PL</t>
  </si>
  <si>
    <t>‘lip’ &gt; ‘lips’</t>
  </si>
  <si>
    <t>бакъвазе vs. бакъ</t>
  </si>
  <si>
    <t>dry vs. sun</t>
  </si>
  <si>
    <t>‘to dry’ vs. ‘sun’</t>
  </si>
  <si>
    <t>ia</t>
  </si>
  <si>
    <t xml:space="preserve">či-axij &gt; ča:xij </t>
  </si>
  <si>
    <t>put.on</t>
  </si>
  <si>
    <t>‘to put on’</t>
  </si>
  <si>
    <t>eu</t>
  </si>
  <si>
    <t>u:</t>
  </si>
  <si>
    <t>he:ɣe-uqij &gt; he:ɣu:qij</t>
  </si>
  <si>
    <t>‘to pursue’</t>
  </si>
  <si>
    <t>aba-ak:wa:l &gt; aba:k:wa:l</t>
  </si>
  <si>
    <t>‘motherless’</t>
  </si>
  <si>
    <t>uu</t>
  </si>
  <si>
    <t xml:space="preserve">baḳu uḳaj &gt; baḳu:ḳaj </t>
  </si>
  <si>
    <t>‘I know, says’</t>
  </si>
  <si>
    <t>če-ha-bqij &gt; ča:bqij</t>
  </si>
  <si>
    <t>‘to climb on’</t>
  </si>
  <si>
    <t>only within preverb ha-</t>
  </si>
  <si>
    <t>mux:e &gt; max</t>
  </si>
  <si>
    <t>‘our’ &gt; ‘our’</t>
  </si>
  <si>
    <t>lik:-a &gt; lik-ne</t>
  </si>
  <si>
    <t>[+con; +voice][+con; +voice]</t>
  </si>
  <si>
    <t>[+con; -voice; +gem]</t>
  </si>
  <si>
    <t>čib-busij &gt; čip:usij</t>
  </si>
  <si>
    <t>‘to hold on something’</t>
  </si>
  <si>
    <t>[+con; -voice]</t>
  </si>
  <si>
    <t>[+voice]</t>
  </si>
  <si>
    <t>/ _ [+con; +voice]</t>
  </si>
  <si>
    <t>gap-buḳij &gt; gap:uḳij</t>
  </si>
  <si>
    <t>‘to chat’</t>
  </si>
  <si>
    <t>/ _ + [+con; +bilabial]</t>
  </si>
  <si>
    <t>čar-sa-b-x-ij vs. čar-se:-j-xw-ij</t>
  </si>
  <si>
    <t>‘’ &gt; ‘’</t>
  </si>
  <si>
    <t>/ _ + u</t>
  </si>
  <si>
    <t>buɣij vs. be:ɣwij</t>
  </si>
  <si>
    <t>diɣ-ä &gt; diɣˤ-ne</t>
  </si>
  <si>
    <t>stone.wall-SG &gt; stone.wall-PL</t>
  </si>
  <si>
    <t>‘stone wall’ &gt; ‘stone walls’</t>
  </si>
  <si>
    <t>cheshirization</t>
  </si>
  <si>
    <t>[+con; -pharyng]</t>
  </si>
  <si>
    <t>/ _ + suffix</t>
  </si>
  <si>
    <t>after 259</t>
  </si>
  <si>
    <t>ä</t>
  </si>
  <si>
    <t>/ _ + [+con; +pharyng]</t>
  </si>
  <si>
    <t>&gt;</t>
  </si>
  <si>
    <t>ö</t>
  </si>
  <si>
    <t>hˤ</t>
  </si>
  <si>
    <t>/ _a + [[+con; +pharyng]]syll</t>
  </si>
  <si>
    <t>ha-q̣ˤïj &gt; hˤä-q̣ˤïj</t>
  </si>
  <si>
    <t>‘to come’</t>
  </si>
  <si>
    <t>48-49</t>
  </si>
  <si>
    <t>цезский proper</t>
  </si>
  <si>
    <t>ой</t>
  </si>
  <si>
    <t>ройх &gt; ро:х</t>
  </si>
  <si>
    <t>‘does’</t>
  </si>
  <si>
    <t>(Abdulaev, Khalilov, 2023)</t>
  </si>
  <si>
    <t>Tsez</t>
  </si>
  <si>
    <t>ий</t>
  </si>
  <si>
    <t>рийх &gt; ри:х</t>
  </si>
  <si>
    <t>‘knows’</t>
  </si>
  <si>
    <t>уа</t>
  </si>
  <si>
    <t>гулу-а &gt; гула:</t>
  </si>
  <si>
    <t>horse-ERG</t>
  </si>
  <si>
    <t>‘horse’</t>
  </si>
  <si>
    <t>оа</t>
  </si>
  <si>
    <t>бесуро-а &gt; бесура:</t>
  </si>
  <si>
    <t>fish-ERG</t>
  </si>
  <si>
    <t>‘fish’</t>
  </si>
  <si>
    <t>аа</t>
  </si>
  <si>
    <t>аса-а &gt; аса:</t>
  </si>
  <si>
    <t>rowan-ERG</t>
  </si>
  <si>
    <t>‘rowan’</t>
  </si>
  <si>
    <t>иа</t>
  </si>
  <si>
    <t>аь:</t>
  </si>
  <si>
    <t>акри-а &gt; акраь:</t>
  </si>
  <si>
    <t>cheese-ERG</t>
  </si>
  <si>
    <t>‘cheese’</t>
  </si>
  <si>
    <t>бухъ &gt; бехъ-ес</t>
  </si>
  <si>
    <t>sun &gt; sun-GEN</t>
  </si>
  <si>
    <t>unpacking</t>
  </si>
  <si>
    <t>ей</t>
  </si>
  <si>
    <t>ди &gt; дей</t>
  </si>
  <si>
    <t>I &gt; I.POSS</t>
  </si>
  <si>
    <t>‘I’ &gt; ‘my’</t>
  </si>
  <si>
    <t>мочи &gt; меч-ос</t>
  </si>
  <si>
    <t>place &gt; place-GEN</t>
  </si>
  <si>
    <t>‘place’ &gt; ‘of place’</t>
  </si>
  <si>
    <t>кеца &gt; каь:ц</t>
  </si>
  <si>
    <t>‘to sleep’ &gt; ‘sleep’</t>
  </si>
  <si>
    <t>икIа &gt; аь:кIи</t>
  </si>
  <si>
    <t>‘to go’ &gt; ‘go’</t>
  </si>
  <si>
    <t>р</t>
  </si>
  <si>
    <t>/ _н</t>
  </si>
  <si>
    <t>эгирно &gt; эгинно</t>
  </si>
  <si>
    <t>‘sent’</t>
  </si>
  <si>
    <t>п</t>
  </si>
  <si>
    <t>/ _м</t>
  </si>
  <si>
    <t>тупмо &gt; туммо</t>
  </si>
  <si>
    <t>‘shotgun’</t>
  </si>
  <si>
    <t>хъх</t>
  </si>
  <si>
    <t>хъхъ</t>
  </si>
  <si>
    <t>техъхо &gt; техъхъо</t>
  </si>
  <si>
    <t>‘put off’</t>
  </si>
  <si>
    <t>гъх</t>
  </si>
  <si>
    <t>хх</t>
  </si>
  <si>
    <t>огъхо &gt; оххо</t>
  </si>
  <si>
    <t>‘hear’</t>
  </si>
  <si>
    <t>урка &gt; улка</t>
  </si>
  <si>
    <t>‘country’</t>
  </si>
  <si>
    <t>sporadic alternation and parallel strategies</t>
  </si>
  <si>
    <t>ламус &gt; намус</t>
  </si>
  <si>
    <t>‘conscience’</t>
  </si>
  <si>
    <t>мицхер &gt; бицхер</t>
  </si>
  <si>
    <t>‘money’</t>
  </si>
  <si>
    <t>гагатлинский андийский</t>
  </si>
  <si>
    <t>C:</t>
  </si>
  <si>
    <t>угъу &gt; угъгъу
къен &gt; къенно-ла</t>
  </si>
  <si>
    <t>purring
wall-LOC</t>
  </si>
  <si>
    <t>‘purring’
‘on the wall’</t>
  </si>
  <si>
    <t>(Salimov, 2010)</t>
  </si>
  <si>
    <t>Gagatl</t>
  </si>
  <si>
    <t>Andi</t>
  </si>
  <si>
    <t>Gagatli</t>
  </si>
  <si>
    <t>[+con; +son; +gem; -trill]</t>
  </si>
  <si>
    <t>/ _йа</t>
  </si>
  <si>
    <t>гъелл-у &gt; гъел-йа</t>
  </si>
  <si>
    <t xml:space="preserve">run-INF &gt; run-FUT </t>
  </si>
  <si>
    <t>‘to run’ &gt; ‘will run’</t>
  </si>
  <si>
    <t>лл, мм, нн; йа - FUT</t>
  </si>
  <si>
    <t>/ н_</t>
  </si>
  <si>
    <t xml:space="preserve">ден=ло &gt; ден=но </t>
  </si>
  <si>
    <t>I=and</t>
  </si>
  <si>
    <t>‘and I’</t>
  </si>
  <si>
    <t>/ _л</t>
  </si>
  <si>
    <t>базар-ла &gt; базал-ла</t>
  </si>
  <si>
    <t>market-LOC</t>
  </si>
  <si>
    <t>‘on the market’</t>
  </si>
  <si>
    <t>/ _ + м</t>
  </si>
  <si>
    <t>диб милки &gt; дим милки</t>
  </si>
  <si>
    <t>my house</t>
  </si>
  <si>
    <t>‘my house’</t>
  </si>
  <si>
    <t>/ _# + PL</t>
  </si>
  <si>
    <t>зив &gt; зин-ол</t>
  </si>
  <si>
    <t>cow &gt; cow-PL</t>
  </si>
  <si>
    <t>‘cow’ &gt; ‘cows’</t>
  </si>
  <si>
    <t>бесун &gt; бесум-ол</t>
  </si>
  <si>
    <t>knife &gt; knife-PL</t>
  </si>
  <si>
    <t>‘knife’ &gt; ‘knives’</t>
  </si>
  <si>
    <t>анга &gt; анги-бол</t>
  </si>
  <si>
    <t>branch &gt; branch-PL</t>
  </si>
  <si>
    <t>‘branch’ &gt; ‘branches’</t>
  </si>
  <si>
    <t>микъи &gt; микъа-дул</t>
  </si>
  <si>
    <t>road &gt; road-PL</t>
  </si>
  <si>
    <t>‘road’ &gt; ‘roads’</t>
  </si>
  <si>
    <t>цIцIийа &gt; цIцIен-ил</t>
  </si>
  <si>
    <t>анжиди &gt; анжидо-бил</t>
  </si>
  <si>
    <t>axe &gt; axe-PL</t>
  </si>
  <si>
    <t>‘axe’ &gt; ‘axes’</t>
  </si>
  <si>
    <t>ратлубский ахвахский</t>
  </si>
  <si>
    <t>ххубура &gt; хху:ра</t>
  </si>
  <si>
    <t>(Abdulaeva, 2001)</t>
  </si>
  <si>
    <t>Southern Akhvakh</t>
  </si>
  <si>
    <t>Akhvakh</t>
  </si>
  <si>
    <t>Ratlub</t>
  </si>
  <si>
    <t>cheshirization-nasalization</t>
  </si>
  <si>
    <t>тамахьу &gt; та:ⁿхьу</t>
  </si>
  <si>
    <t>‘tobacco’</t>
  </si>
  <si>
    <t>уу</t>
  </si>
  <si>
    <t>after 294</t>
  </si>
  <si>
    <t>ие</t>
  </si>
  <si>
    <t>лIибера &gt; лIи:ра</t>
  </si>
  <si>
    <t>‘got scared’</t>
  </si>
  <si>
    <t>е:</t>
  </si>
  <si>
    <t>чIибери &gt; гIе:ри</t>
  </si>
  <si>
    <t>‘planted’</t>
  </si>
  <si>
    <t>чIабакъиру &gt; чIа:къиру</t>
  </si>
  <si>
    <t>‘corn’</t>
  </si>
  <si>
    <t>cheshirization, fusion, assimilation</t>
  </si>
  <si>
    <t>V:ⁿ</t>
  </si>
  <si>
    <t>after 295</t>
  </si>
  <si>
    <t>tamaXu &gt; ta:ⁿXu</t>
  </si>
  <si>
    <t>(Magomedbekova, 1967)</t>
  </si>
  <si>
    <t>Northern Akhvakh</t>
  </si>
  <si>
    <t>qabača &gt; qa:ča</t>
  </si>
  <si>
    <t>‘sheepskin’</t>
  </si>
  <si>
    <t>ħ</t>
  </si>
  <si>
    <t>q̣aħida &gt; q̣e:da</t>
  </si>
  <si>
    <t>‘method’</t>
  </si>
  <si>
    <t>ħaniḳo &gt; ħi:ⁿḳo</t>
  </si>
  <si>
    <t>‘hen’</t>
  </si>
  <si>
    <t>after 302, 303</t>
  </si>
  <si>
    <t xml:space="preserve">/ _ </t>
  </si>
  <si>
    <t>after 301, 304</t>
  </si>
  <si>
    <t>wa</t>
  </si>
  <si>
    <t>bix:w-ari &gt; bix:-ori</t>
  </si>
  <si>
    <t>‘stayed’</t>
  </si>
  <si>
    <t>/ w_</t>
  </si>
  <si>
    <t>b-i-turuľ̌a &gt; w-u-turuľ̌a</t>
  </si>
  <si>
    <t>‘to leave’ &gt; ‘to leave’</t>
  </si>
  <si>
    <t>b-e-q̣ʼuruľ̌a &gt; w-o-q̣ʼuruľ̌a</t>
  </si>
  <si>
    <t>‘to come’ &gt; ‘to come’</t>
  </si>
  <si>
    <t>/ j_</t>
  </si>
  <si>
    <t>ai</t>
  </si>
  <si>
    <t>e:</t>
  </si>
  <si>
    <t>o:</t>
  </si>
  <si>
    <t>awlaqe &gt; o:laqe</t>
  </si>
  <si>
    <t>‘pasture’</t>
  </si>
  <si>
    <t>au</t>
  </si>
  <si>
    <t>o(:)</t>
  </si>
  <si>
    <t>čabuwa &gt; čowa</t>
  </si>
  <si>
    <t>‘will wash’</t>
  </si>
  <si>
    <t>ua</t>
  </si>
  <si>
    <t>hudu waša &gt; hudoša</t>
  </si>
  <si>
    <t>‘that son’</t>
  </si>
  <si>
    <t>wašas:u-de &gt; wašas:we</t>
  </si>
  <si>
    <t>son-ERG</t>
  </si>
  <si>
    <t>‘son’</t>
  </si>
  <si>
    <t>only in -de - ERG suffix</t>
  </si>
  <si>
    <t>p</t>
  </si>
  <si>
    <t>hw</t>
  </si>
  <si>
    <t>pali &gt; hwali</t>
  </si>
  <si>
    <t>‘divination’</t>
  </si>
  <si>
    <t>pera &gt; hera</t>
  </si>
  <si>
    <t>‘bee’</t>
  </si>
  <si>
    <t>qaraqe &gt; qalaqe</t>
  </si>
  <si>
    <t>‘bush’</t>
  </si>
  <si>
    <t>in the northern dialects</t>
  </si>
  <si>
    <t>ботлихский proper</t>
  </si>
  <si>
    <t>/ _ + [-con; +nasal]</t>
  </si>
  <si>
    <t>биⁿси &gt; миси</t>
  </si>
  <si>
    <t>‘to find’</t>
  </si>
  <si>
    <t>(Alekseev, Azaev, 2019)</t>
  </si>
  <si>
    <t>Botlikh</t>
  </si>
  <si>
    <t>риⁿса &gt; ниса</t>
  </si>
  <si>
    <t>‘found them’</t>
  </si>
  <si>
    <t>/ _ + [+con; +nasal]</t>
  </si>
  <si>
    <t>ав</t>
  </si>
  <si>
    <t>виъав &gt; виъо</t>
  </si>
  <si>
    <t>‘dead’</t>
  </si>
  <si>
    <t>/ _ + о</t>
  </si>
  <si>
    <t>хьуъав &gt; хъоъо</t>
  </si>
  <si>
    <t>‘good’</t>
  </si>
  <si>
    <t>ви</t>
  </si>
  <si>
    <t>уй</t>
  </si>
  <si>
    <t>/ [+con; +velar] _</t>
  </si>
  <si>
    <t>инкви &gt; инкуй</t>
  </si>
  <si>
    <t>‘to eat’</t>
  </si>
  <si>
    <t>521-522</t>
  </si>
  <si>
    <t>кванадский багвалинский</t>
  </si>
  <si>
    <t>V1 + V2</t>
  </si>
  <si>
    <t>ašti + a: &gt; ašt-a:</t>
  </si>
  <si>
    <t>listen-POT.INF</t>
  </si>
  <si>
    <t>‘listen’</t>
  </si>
  <si>
    <t>(Kibrik, Kazenin, Ljutikova, and Tatevosov, 2001)</t>
  </si>
  <si>
    <t>Kvanada-Gimerso</t>
  </si>
  <si>
    <t>Bagvalal</t>
  </si>
  <si>
    <t>Kvanada</t>
  </si>
  <si>
    <t>he-ɫa + o: &gt; he-ɫa-jo:</t>
  </si>
  <si>
    <t>what-OBL.DAT-Q</t>
  </si>
  <si>
    <t>‘to what?’</t>
  </si>
  <si>
    <t>/ [-con; +long] _</t>
  </si>
  <si>
    <t>after 325</t>
  </si>
  <si>
    <t>Lʼarbe: + a + s: &gt; Lʼarb-a:-s:</t>
  </si>
  <si>
    <t>beat-POT-FUT1</t>
  </si>
  <si>
    <t>‘if would beat’</t>
  </si>
  <si>
    <t>[-con; -nasal]</t>
  </si>
  <si>
    <t>[+nasal]</t>
  </si>
  <si>
    <t>/ [-con; +nasal] _</t>
  </si>
  <si>
    <t>cʼaXXiⁿ + a + s: &gt; cʼaXX-aⁿ-s:</t>
  </si>
  <si>
    <t>steal-POT-FUT1</t>
  </si>
  <si>
    <t>‘if would steal’</t>
  </si>
  <si>
    <t>/ _ [+con; +nasal]</t>
  </si>
  <si>
    <t>after 330</t>
  </si>
  <si>
    <t>r=itaⁿ + r=o &gt; r=ita=n=o</t>
  </si>
  <si>
    <t>NPL=be.lost=NPL=CONV</t>
  </si>
  <si>
    <t>l-assimilation, r-assimilation</t>
  </si>
  <si>
    <t xml:space="preserve">[+con; +liquid] </t>
  </si>
  <si>
    <t>after 332</t>
  </si>
  <si>
    <t xml:space="preserve"> cʼaXXiⁿ + b=o &gt;  cʼaXXi=m=o</t>
  </si>
  <si>
    <t>seek=N=CONV</t>
  </si>
  <si>
    <t>after 334</t>
  </si>
  <si>
    <t>b=ačʷa + ira: + X &gt; b=ač-ura:-X</t>
  </si>
  <si>
    <t>N=spread-IPF-CONV</t>
  </si>
  <si>
    <t>/ [+con; +lab] _</t>
  </si>
  <si>
    <t>/ [-con; +lab] _</t>
  </si>
  <si>
    <t>/ T_C#</t>
  </si>
  <si>
    <t xml:space="preserve">Xʷani: + X + s: &gt; Xʷani:-X-is: </t>
  </si>
  <si>
    <t>horse-AD-EL</t>
  </si>
  <si>
    <t>ašti-bi-s:e &gt; ašti-b-s:e</t>
  </si>
  <si>
    <t>listen-BI-PROH</t>
  </si>
  <si>
    <t xml:space="preserve">if 4+ syllables so that does not result in consonant clusters other than RT and cluster not _# </t>
  </si>
  <si>
    <t>земо-алвани цова-тушинский</t>
  </si>
  <si>
    <t>lel-e-ra &gt; leler</t>
  </si>
  <si>
    <t>‘s/he is walking’</t>
  </si>
  <si>
    <t>(Holisky and Gagua, 1994)</t>
  </si>
  <si>
    <t>Bats</t>
  </si>
  <si>
    <t>Tsova-Tush</t>
  </si>
  <si>
    <t>Zemo-Alvani</t>
  </si>
  <si>
    <t>[-con; +voice]</t>
  </si>
  <si>
    <t>[-voice]</t>
  </si>
  <si>
    <t>divo &gt; divO</t>
  </si>
  <si>
    <t>‘it is planted’</t>
  </si>
  <si>
    <t>Dex-i-ra-as &gt; dixras</t>
  </si>
  <si>
    <t>‘I requested it’</t>
  </si>
  <si>
    <t>medial deletion in 3+ syllables word</t>
  </si>
  <si>
    <t>[-con; -front; -high]</t>
  </si>
  <si>
    <t>[+diphthong]</t>
  </si>
  <si>
    <t>/ _ [V&gt;∅]syll</t>
  </si>
  <si>
    <t>after 340</t>
  </si>
  <si>
    <t>seni &gt; seinI</t>
  </si>
  <si>
    <t>‘blue’</t>
  </si>
  <si>
    <t>compensatory diphthongization if the following vowel has undergone vowel deletion/reduction</t>
  </si>
  <si>
    <t>xi-in &gt; xiⁿ</t>
  </si>
  <si>
    <t>[-con; +front; +high] + V</t>
  </si>
  <si>
    <t>nekʼ-i-an &gt; nekʼaⁿ</t>
  </si>
  <si>
    <t>knife-GEN.PL</t>
  </si>
  <si>
    <t>‘of knives’</t>
  </si>
  <si>
    <t>V + [-con; +high]</t>
  </si>
  <si>
    <t>[-con; +diphthong]</t>
  </si>
  <si>
    <t>čakʼo-in &gt; čakʼoiⁿ</t>
  </si>
  <si>
    <t>‘chair-GEN’</t>
  </si>
  <si>
    <t>[-con; +back; +high] + V</t>
  </si>
  <si>
    <t>Jatʼu-as &gt; Jaitʼ-as</t>
  </si>
  <si>
    <t>‘I will burst open’</t>
  </si>
  <si>
    <t>elision, fusion</t>
  </si>
  <si>
    <t>V + [-con; +low]</t>
  </si>
  <si>
    <t>teps-o-as &gt; tepsos</t>
  </si>
  <si>
    <t>‘I am hitting it’</t>
  </si>
  <si>
    <t>di-en &gt; dijeⁿ</t>
  </si>
  <si>
    <t>‘s/he did it’</t>
  </si>
  <si>
    <t>gagan &gt; gagaⁿ</t>
  </si>
  <si>
    <t>‘egg’</t>
  </si>
  <si>
    <t>does not apply to the DAT -n</t>
  </si>
  <si>
    <t>after 348</t>
  </si>
  <si>
    <t>teps-o-aħ &gt; tepso</t>
  </si>
  <si>
    <t>‘you are hitting it’</t>
  </si>
  <si>
    <t>in words of more than one syllable</t>
  </si>
  <si>
    <t>ei</t>
  </si>
  <si>
    <t>oi</t>
  </si>
  <si>
    <t>ou</t>
  </si>
  <si>
    <t>/ _ l</t>
  </si>
  <si>
    <t>gon-liⁿ &gt; gol-liⁿ</t>
  </si>
  <si>
    <t>‘intelligent’</t>
  </si>
  <si>
    <t>sporadic</t>
  </si>
  <si>
    <t>/ _ [+con; -voice]</t>
  </si>
  <si>
    <t>tebxar &gt; tepxar</t>
  </si>
  <si>
    <t>‘hit’</t>
  </si>
  <si>
    <t>r-dissimilation</t>
  </si>
  <si>
    <t>/ [r]syll _</t>
  </si>
  <si>
    <t>bazr-e-reⁿ &gt; bazr-e-leⁿ</t>
  </si>
  <si>
    <t xml:space="preserve">‘from the market’ </t>
  </si>
  <si>
    <t>motʼ: &gt; matʼ:iⁿ</t>
  </si>
  <si>
    <t>‘word’ &gt; ‘of word’</t>
  </si>
  <si>
    <t>butʼ: &gt; batʼ:iⁿ</t>
  </si>
  <si>
    <t>‘moon’ &gt; ‘of moon’</t>
  </si>
  <si>
    <t>niqʼ: &gt; naqʼ:iⁿ</t>
  </si>
  <si>
    <t>‘path’ &gt; ‘of path’</t>
  </si>
  <si>
    <t>xat:ar vs. xet:ar</t>
  </si>
  <si>
    <t>‘has read’ &gt; ‘reading’</t>
  </si>
  <si>
    <t xml:space="preserve">toxar &gt; tepxar </t>
  </si>
  <si>
    <t>‘has hit’ &gt; ‘hitting’</t>
  </si>
  <si>
    <t>tit'ar &gt; tet'ar</t>
  </si>
  <si>
    <t>‘has cut’ &gt; ‘cutting’</t>
  </si>
  <si>
    <t>чеченский proper</t>
  </si>
  <si>
    <t>/ # _ V</t>
  </si>
  <si>
    <t>(Nichols, 1994a)</t>
  </si>
  <si>
    <t>Chechen</t>
  </si>
  <si>
    <t>Standard Chechen</t>
  </si>
  <si>
    <t>/ _ g</t>
  </si>
  <si>
    <t>t'usig &gt; tüsk</t>
  </si>
  <si>
    <t>‘occipital bone’</t>
  </si>
  <si>
    <t xml:space="preserve">with DIM suffix -ig </t>
  </si>
  <si>
    <t>k</t>
  </si>
  <si>
    <t>after 366</t>
  </si>
  <si>
    <t>[+front; +high]</t>
  </si>
  <si>
    <t>/ _ [ [-con; +high] ]syll</t>
  </si>
  <si>
    <t>duzaⁿ vs. düzira</t>
  </si>
  <si>
    <t>‘to fill’ vs. ‘filled’</t>
  </si>
  <si>
    <t>15-16</t>
  </si>
  <si>
    <t>/ [-con; +stress] _</t>
  </si>
  <si>
    <t>[-con; +long]</t>
  </si>
  <si>
    <t>[-long]</t>
  </si>
  <si>
    <t>/ _ #</t>
  </si>
  <si>
    <t>/ VC _ na</t>
  </si>
  <si>
    <t>liepaⁿ &gt; liepna</t>
  </si>
  <si>
    <t>‘twinkle’</t>
  </si>
  <si>
    <t>/ l _</t>
  </si>
  <si>
    <t>after 372</t>
  </si>
  <si>
    <t>s</t>
  </si>
  <si>
    <t>/ s _</t>
  </si>
  <si>
    <t>t</t>
  </si>
  <si>
    <t>/ t _</t>
  </si>
  <si>
    <t>lataⁿ &gt; letta</t>
  </si>
  <si>
    <t>‘enter’</t>
  </si>
  <si>
    <t>uo</t>
  </si>
  <si>
    <t>buolx &gt; balxana</t>
  </si>
  <si>
    <t>‘work’ &gt; ‘work’</t>
  </si>
  <si>
    <t>wo</t>
  </si>
  <si>
    <t>dwog &gt; dagna</t>
  </si>
  <si>
    <t>‘heart’ &gt; ‘heart’</t>
  </si>
  <si>
    <t>dig &gt; dagarna</t>
  </si>
  <si>
    <t>‘axe’ &gt; ‘axe’</t>
  </si>
  <si>
    <t>ie</t>
  </si>
  <si>
    <t>c'a &gt; c'ienna</t>
  </si>
  <si>
    <t>‘room’ &gt; ‘room’</t>
  </si>
  <si>
    <t>ингушский proper</t>
  </si>
  <si>
    <t>(Nichols, 2011)</t>
  </si>
  <si>
    <t>Ingush</t>
  </si>
  <si>
    <t>Standard Ingush</t>
  </si>
  <si>
    <t>kuorta &gt; kuortᵊ</t>
  </si>
  <si>
    <t>‘head’</t>
  </si>
  <si>
    <t>except after geminants in focus geminated words and in the enclitic phrasal coordinator =ji 'and'</t>
  </si>
  <si>
    <t>/ [+con; +nasal] _ [+con; +obstruent]</t>
  </si>
  <si>
    <t>beanak'al &gt; beank'al</t>
  </si>
  <si>
    <t>grass.DAT under</t>
  </si>
  <si>
    <t>‘under the grass’</t>
  </si>
  <si>
    <t>/ _ j</t>
  </si>
  <si>
    <t>leatta-j &gt; leatt-i:</t>
  </si>
  <si>
    <t>earth-GEN.SG</t>
  </si>
  <si>
    <t>‘earth’</t>
  </si>
  <si>
    <t>/ C# _ + [#C]clitic</t>
  </si>
  <si>
    <t>hwazaljga=ji &gt; hwazaljga=ji</t>
  </si>
  <si>
    <t>/ C _ CC</t>
  </si>
  <si>
    <t>/ C _ C#</t>
  </si>
  <si>
    <t>tuoxa &gt; tox</t>
  </si>
  <si>
    <t>hit.INF &gt; hit.PRS</t>
  </si>
  <si>
    <t>‘to hit’ &gt; ‘hitting’</t>
  </si>
  <si>
    <t xml:space="preserve">[+con; +voice] </t>
  </si>
  <si>
    <t>cysig &gt; cysjk</t>
  </si>
  <si>
    <t>‘cat’</t>
  </si>
  <si>
    <t>g:</t>
  </si>
  <si>
    <t>/ _v</t>
  </si>
  <si>
    <t xml:space="preserve">d </t>
  </si>
  <si>
    <t>/ _ d</t>
  </si>
  <si>
    <t>/ _ b</t>
  </si>
  <si>
    <t>76-77</t>
  </si>
  <si>
    <t xml:space="preserve">/ [V _ ]syll1 </t>
  </si>
  <si>
    <t>dz</t>
  </si>
  <si>
    <t>/ _ -#</t>
  </si>
  <si>
    <t>dzh</t>
  </si>
  <si>
    <t>zh</t>
  </si>
  <si>
    <t>/ uu _</t>
  </si>
  <si>
    <t>/ ii _</t>
  </si>
  <si>
    <t>l:</t>
  </si>
  <si>
    <t>/ [-con; -long] _</t>
  </si>
  <si>
    <t>[-con; +front]</t>
  </si>
  <si>
    <t>[-front]</t>
  </si>
  <si>
    <t>/ _ [+con; +pharyng]</t>
  </si>
  <si>
    <t>[-con; -round]</t>
  </si>
  <si>
    <t>[+round]</t>
  </si>
  <si>
    <t>/ [-con; +round] [+con; +velar] _</t>
  </si>
  <si>
    <t>/ [-con; +round] [+con; +uvular] _</t>
  </si>
  <si>
    <t>[+con; -palatal]</t>
  </si>
  <si>
    <t>[+palatal]</t>
  </si>
  <si>
    <t>/ _ [+con; +palatal]</t>
  </si>
  <si>
    <t>/ _ [ [-con; +long] ]syll</t>
  </si>
  <si>
    <t xml:space="preserve">мухадский рутульский </t>
  </si>
  <si>
    <t>(Ibragimov, 2004)</t>
  </si>
  <si>
    <t>Rutul</t>
  </si>
  <si>
    <t>Mukhad</t>
  </si>
  <si>
    <t>/ [V2]syll + _</t>
  </si>
  <si>
    <t>in INF suffix</t>
  </si>
  <si>
    <t>аь</t>
  </si>
  <si>
    <t>[-con; -stress]</t>
  </si>
  <si>
    <t>C1</t>
  </si>
  <si>
    <t>C2</t>
  </si>
  <si>
    <t>/ C2(V) _</t>
  </si>
  <si>
    <t>/ _ Vл</t>
  </si>
  <si>
    <t>дцI</t>
  </si>
  <si>
    <t>/ _цI</t>
  </si>
  <si>
    <t>дс</t>
  </si>
  <si>
    <t>/ _с</t>
  </si>
  <si>
    <t>д</t>
  </si>
  <si>
    <t>т</t>
  </si>
  <si>
    <t>d-dissimilation</t>
  </si>
  <si>
    <t>/ _ д</t>
  </si>
  <si>
    <t>к</t>
  </si>
  <si>
    <t>хъ</t>
  </si>
  <si>
    <t>43-44</t>
  </si>
  <si>
    <t>х'</t>
  </si>
  <si>
    <t>гъ'</t>
  </si>
  <si>
    <t>х</t>
  </si>
  <si>
    <t>кь</t>
  </si>
  <si>
    <t>г</t>
  </si>
  <si>
    <t>кв</t>
  </si>
  <si>
    <t>хьв</t>
  </si>
  <si>
    <t>гъ</t>
  </si>
  <si>
    <t>/ V _ ш</t>
  </si>
  <si>
    <t>/ б _</t>
  </si>
  <si>
    <t>/ п _</t>
  </si>
  <si>
    <t>/ _ # + suffix/root</t>
  </si>
  <si>
    <t>/ м _</t>
  </si>
  <si>
    <t>цахурский proper</t>
  </si>
  <si>
    <t>n-assimilation, b-to-m assimilation</t>
  </si>
  <si>
    <t>нб</t>
  </si>
  <si>
    <t>мм</t>
  </si>
  <si>
    <t>(Ibragimov and Nurmamedov, 2010)</t>
  </si>
  <si>
    <t>Tsakhur</t>
  </si>
  <si>
    <t>Tsakh</t>
  </si>
  <si>
    <t>л'</t>
  </si>
  <si>
    <t>/ _ н</t>
  </si>
  <si>
    <t>/ _ л</t>
  </si>
  <si>
    <t>[+con; +voice]</t>
  </si>
  <si>
    <t>[+con; -gem]</t>
  </si>
  <si>
    <t>[+gem]</t>
  </si>
  <si>
    <t>/ _ # + V</t>
  </si>
  <si>
    <t>after 443</t>
  </si>
  <si>
    <t>/ _ б</t>
  </si>
  <si>
    <t>/ р _</t>
  </si>
  <si>
    <t>/ _ р</t>
  </si>
  <si>
    <t>after 446</t>
  </si>
  <si>
    <t>бб</t>
  </si>
  <si>
    <t>пп</t>
  </si>
  <si>
    <t>тт</t>
  </si>
  <si>
    <t>[-con; α-back]</t>
  </si>
  <si>
    <t>[β-back]</t>
  </si>
  <si>
    <t>/ _ [-con; β-back]</t>
  </si>
  <si>
    <t>[-con; α-high]</t>
  </si>
  <si>
    <t>[β-high]</t>
  </si>
  <si>
    <t>/ _ [-con; β-high]</t>
  </si>
  <si>
    <t>/ [-con; +palatal] _</t>
  </si>
  <si>
    <t>/ _ [+con; +sonor]</t>
  </si>
  <si>
    <t>будухский proper</t>
  </si>
  <si>
    <t>(Talibov, 2007)</t>
  </si>
  <si>
    <t>Budukh</t>
  </si>
  <si>
    <t>/ V _ [+con; +sonor]</t>
  </si>
  <si>
    <t>/ д _</t>
  </si>
  <si>
    <t>[+con; -ejective]</t>
  </si>
  <si>
    <t>[+ejective]</t>
  </si>
  <si>
    <t>/ _ [+con; +ejective]</t>
  </si>
  <si>
    <t>[-con; +front; -pharyng]</t>
  </si>
  <si>
    <t>/ _ + [+con; +uvular]</t>
  </si>
  <si>
    <t>(Mejlanova, 1984)</t>
  </si>
  <si>
    <t>after 465</t>
  </si>
  <si>
    <t>арчинский proper</t>
  </si>
  <si>
    <t>/ [ _ ]syll [V2; +stress]syll</t>
  </si>
  <si>
    <t>(Mikajlov, 1967)</t>
  </si>
  <si>
    <t>Archi</t>
  </si>
  <si>
    <t>Archib</t>
  </si>
  <si>
    <t xml:space="preserve">ы </t>
  </si>
  <si>
    <t>/ [ _ ]syll1 + [ +stress ]suffix</t>
  </si>
  <si>
    <t>ыI</t>
  </si>
  <si>
    <t>after 468</t>
  </si>
  <si>
    <t>/ [V1]syll1 [ _ ]syll2 + suffix</t>
  </si>
  <si>
    <t>17-18</t>
  </si>
  <si>
    <t>/ [V2]syll2 [ _ ]syll3 + suffix</t>
  </si>
  <si>
    <t>/ н _</t>
  </si>
  <si>
    <t>/ _ м</t>
  </si>
  <si>
    <t>[+con; +sonor]</t>
  </si>
  <si>
    <t>/ [ _ ]syll# + suffix</t>
  </si>
  <si>
    <t>[+con; +ejective]</t>
  </si>
  <si>
    <t>[+con; +voice; +spirant]</t>
  </si>
  <si>
    <t>/ _ [+con; +dental; +stop]</t>
  </si>
  <si>
    <t>[+con; +aspirate]</t>
  </si>
  <si>
    <t>[+con; -voice; +spirant]</t>
  </si>
  <si>
    <t>[+con; -voice; +stop; -gem]</t>
  </si>
  <si>
    <t>[+con; +spirant; -gem]</t>
  </si>
  <si>
    <t>/ V _ V</t>
  </si>
  <si>
    <t>/ _ [-con; +stress]</t>
  </si>
  <si>
    <t>/ _ [+con; +labial]</t>
  </si>
  <si>
    <t>/ _ [+con; round]</t>
  </si>
  <si>
    <t>удинский proper</t>
  </si>
  <si>
    <t>(Mobili, 2010)</t>
  </si>
  <si>
    <t>Udi</t>
  </si>
  <si>
    <t>C1V1</t>
  </si>
  <si>
    <t>/ C1V1 _</t>
  </si>
  <si>
    <t>/ _ + р</t>
  </si>
  <si>
    <t>/ _ + д</t>
  </si>
  <si>
    <t>мI</t>
  </si>
  <si>
    <t>/ _ + мI</t>
  </si>
  <si>
    <t>тI</t>
  </si>
  <si>
    <t>/ _ + ш</t>
  </si>
  <si>
    <t>/ _ + с</t>
  </si>
  <si>
    <t>/ _ ц</t>
  </si>
  <si>
    <t>[+con; +stop; +dental] [+con; +spirant]</t>
  </si>
  <si>
    <t xml:space="preserve">[+con; +spirant] [+con; +stop; +dental] </t>
  </si>
  <si>
    <t>/ V# _ + Vsuffix</t>
  </si>
  <si>
    <t>дж</t>
  </si>
  <si>
    <t>жI</t>
  </si>
  <si>
    <t>джабинский лезгинский</t>
  </si>
  <si>
    <t>(Ganieva 2007)</t>
  </si>
  <si>
    <t>Lezgian</t>
  </si>
  <si>
    <t>Jabin</t>
  </si>
  <si>
    <t>after 500</t>
  </si>
  <si>
    <t>/ [-con; β-back] + _</t>
  </si>
  <si>
    <t>/ [-con; β-high] + _</t>
  </si>
  <si>
    <t>к:</t>
  </si>
  <si>
    <t>/ V_# + Vsuffix</t>
  </si>
  <si>
    <t>т:</t>
  </si>
  <si>
    <t>/ V _# + Vsuffix</t>
  </si>
  <si>
    <t>къ</t>
  </si>
  <si>
    <t>ц:</t>
  </si>
  <si>
    <t>ч:</t>
  </si>
  <si>
    <t>/ _Vsuffix</t>
  </si>
  <si>
    <t>ф</t>
  </si>
  <si>
    <t>34-35</t>
  </si>
  <si>
    <t>[+con; +stop; +dental]</t>
  </si>
  <si>
    <t>/ _ [-con; +high]</t>
  </si>
  <si>
    <t>/ _ и</t>
  </si>
  <si>
    <t>[+con; +stop; +velar; +lab]</t>
  </si>
  <si>
    <t>[-stop; +affricate]</t>
  </si>
  <si>
    <t>godoberi</t>
  </si>
  <si>
    <t>иккилIибугьикъу &gt; иккилIибу:кьу</t>
  </si>
  <si>
    <t>‘I will give’</t>
  </si>
  <si>
    <t>(Saidova, 1973)</t>
  </si>
  <si>
    <t>Godoberi</t>
  </si>
  <si>
    <t>on word boundaries in word-formation</t>
  </si>
  <si>
    <t>[-con; -nasal] н</t>
  </si>
  <si>
    <t>after 519</t>
  </si>
  <si>
    <t>/ _ + н</t>
  </si>
  <si>
    <t>бежун-бе &gt; бежуме</t>
  </si>
  <si>
    <t>куⁿйи-бе &gt; куме</t>
  </si>
  <si>
    <t>тIинд- &gt; тIинн-</t>
  </si>
  <si>
    <t>[+con; +velar; +stop; -palatal]</t>
  </si>
  <si>
    <t>/ _ [-con; -back]</t>
  </si>
  <si>
    <t>[+con; +labial]</t>
  </si>
  <si>
    <t>[-labial]</t>
  </si>
  <si>
    <t>/ _ + [-con; +round]</t>
  </si>
  <si>
    <t>/ _ V</t>
  </si>
  <si>
    <t>[-con; -labial]</t>
  </si>
  <si>
    <t>[+labial]</t>
  </si>
  <si>
    <t>/ w _</t>
  </si>
  <si>
    <t>after 528</t>
  </si>
  <si>
    <t>[-con; +round]</t>
  </si>
  <si>
    <t>/ _ # + [#V]suffix</t>
  </si>
  <si>
    <t>baku &gt; bakʷ-a</t>
  </si>
  <si>
    <t>[+con; -labial]</t>
  </si>
  <si>
    <t>after 530</t>
  </si>
  <si>
    <t>karata</t>
  </si>
  <si>
    <t>ej</t>
  </si>
  <si>
    <t>in polysyllable words</t>
  </si>
  <si>
    <t>(Magomedbekova, 1971)</t>
  </si>
  <si>
    <t>Karata</t>
  </si>
  <si>
    <t>e(:)</t>
  </si>
  <si>
    <t>in monosyllable words</t>
  </si>
  <si>
    <t>in closed syllables</t>
  </si>
  <si>
    <t>wi</t>
  </si>
  <si>
    <t>/ a _ e</t>
  </si>
  <si>
    <t>ae</t>
  </si>
  <si>
    <t>after 538</t>
  </si>
  <si>
    <t>bučaⁿ &gt; muča</t>
  </si>
  <si>
    <t>/ _ + n</t>
  </si>
  <si>
    <t>c̣ihoⁿ-r-i &gt; c̣iho-n-i</t>
  </si>
  <si>
    <t>new-IV-PL</t>
  </si>
  <si>
    <t>‘new ones’</t>
  </si>
  <si>
    <t>21, 86</t>
  </si>
  <si>
    <t>rišin &gt; niši</t>
  </si>
  <si>
    <t>year</t>
  </si>
  <si>
    <t>‘year’</t>
  </si>
  <si>
    <t>/ [-con; -labial] _ [-con; -labial]</t>
  </si>
  <si>
    <t>anči &gt; anči-j-a</t>
  </si>
  <si>
    <t>24-25</t>
  </si>
  <si>
    <t>/ [-con; +labial] _ V</t>
  </si>
  <si>
    <t>jac:i &gt; jac:o-w-a</t>
  </si>
  <si>
    <t>sb</t>
  </si>
  <si>
    <t>bs</t>
  </si>
  <si>
    <t>[+con; +velar; -labial]</t>
  </si>
  <si>
    <t>/ u + _</t>
  </si>
  <si>
    <t>/ _ [-con; -labial]</t>
  </si>
  <si>
    <t>tindi</t>
  </si>
  <si>
    <t>(Magomedova, 2012)</t>
  </si>
  <si>
    <t>Tindi</t>
  </si>
  <si>
    <t>after 553</t>
  </si>
  <si>
    <t>V1V2</t>
  </si>
  <si>
    <t>V1:</t>
  </si>
  <si>
    <t>и + а</t>
  </si>
  <si>
    <t>у + и</t>
  </si>
  <si>
    <t>/ _ # + suffix</t>
  </si>
  <si>
    <t>basaⁿbas:a &gt; basamas:a</t>
  </si>
  <si>
    <t>/ _ # + л</t>
  </si>
  <si>
    <t>usturla &gt; ustul:a</t>
  </si>
  <si>
    <t>эгьу + аби &gt; эгьʷаби</t>
  </si>
  <si>
    <t>after 562, 563</t>
  </si>
  <si>
    <t>chamalal</t>
  </si>
  <si>
    <t>(Magomedova, 1999)</t>
  </si>
  <si>
    <t>Chamalal</t>
  </si>
  <si>
    <t>Lower Gakvari</t>
  </si>
  <si>
    <t>/ л _</t>
  </si>
  <si>
    <t>гьаъал-да &gt; гьаъал:а</t>
  </si>
  <si>
    <t>‘showed’</t>
  </si>
  <si>
    <t>[]syll</t>
  </si>
  <si>
    <t>/ _ # + е</t>
  </si>
  <si>
    <t>/ [-con; +nasal]# + _</t>
  </si>
  <si>
    <t>[-con; +labial]</t>
  </si>
  <si>
    <t>gurguⁿ &gt; gurgme</t>
  </si>
  <si>
    <t>‘jar’ &gt; ‘jars’</t>
  </si>
  <si>
    <t>/ _ + [-con; +labial]</t>
  </si>
  <si>
    <t>after 573</t>
  </si>
  <si>
    <t>hinuq</t>
  </si>
  <si>
    <t>(Forker, 2013)</t>
  </si>
  <si>
    <t>Hinuq</t>
  </si>
  <si>
    <t>/ _ # + [#a]suffix</t>
  </si>
  <si>
    <t>/ V# _ + [#V]suffix</t>
  </si>
  <si>
    <t>y-edo:-z &gt; y-edo:-yoru</t>
  </si>
  <si>
    <t>‘II-work-PURP’ &gt; ‘II-work-PTCP.PST’</t>
  </si>
  <si>
    <t>iy</t>
  </si>
  <si>
    <t>/ _ m</t>
  </si>
  <si>
    <t>magazin-ma-s &gt; magazimmas</t>
  </si>
  <si>
    <t>‘shop-IN-ABL1’</t>
  </si>
  <si>
    <t>/ _ n</t>
  </si>
  <si>
    <t>hil-no &gt; hinno</t>
  </si>
  <si>
    <t>‘bite-UWPST’</t>
  </si>
  <si>
    <t>[+con; +dental; +fricative; -palatal]</t>
  </si>
  <si>
    <t>/ [-con; +front; +high] _</t>
  </si>
  <si>
    <t>lak</t>
  </si>
  <si>
    <t>[+con; +dorsal; -labial]</t>
  </si>
  <si>
    <t>/ _ u</t>
  </si>
  <si>
    <t>(Friedman, 2021)</t>
  </si>
  <si>
    <t>Lak</t>
  </si>
  <si>
    <t>Standard Lak</t>
  </si>
  <si>
    <t>[+con; +velar; -palatal]</t>
  </si>
  <si>
    <t>/ i _</t>
  </si>
  <si>
    <t>/ [ _ ]pharyngalized</t>
  </si>
  <si>
    <t>šanma &gt; šamma</t>
  </si>
  <si>
    <t>/ n _</t>
  </si>
  <si>
    <t>ä</t>
  </si>
  <si>
    <t>ü</t>
  </si>
  <si>
    <t>/ a _</t>
  </si>
  <si>
    <t>RV</t>
  </si>
  <si>
    <t>VR</t>
  </si>
  <si>
    <t>(Žirkov, 1955)</t>
  </si>
  <si>
    <t>/ _ C</t>
  </si>
  <si>
    <t>/ [р]syll1 + [ _ ]syll2</t>
  </si>
  <si>
    <t>tabasaran</t>
  </si>
  <si>
    <t>[-con; +stress]</t>
  </si>
  <si>
    <t>/ [ _ ]syll# + [-con; +stress]suffix</t>
  </si>
  <si>
    <t>(Alekseev and Šixalieva, 2003)</t>
  </si>
  <si>
    <t>Tabasaran</t>
  </si>
  <si>
    <t>Standard Tabasaran</t>
  </si>
  <si>
    <t>/ _ у</t>
  </si>
  <si>
    <t>after 612</t>
  </si>
  <si>
    <t>э</t>
  </si>
  <si>
    <t>/ гь _ и</t>
  </si>
  <si>
    <t>[+con; +gem; -long]</t>
  </si>
  <si>
    <t>/ [ V# ]syll1 [ #_ ]syll2</t>
  </si>
  <si>
    <t>agul</t>
  </si>
  <si>
    <t>/ _ + ü</t>
  </si>
  <si>
    <t>(Magometov, 1970)</t>
  </si>
  <si>
    <t>Central Agul</t>
  </si>
  <si>
    <t>Agul</t>
  </si>
  <si>
    <t xml:space="preserve">	Central</t>
  </si>
  <si>
    <t>ü</t>
  </si>
  <si>
    <t>/ _ + e</t>
  </si>
  <si>
    <t>/ [+con; +bilabial] _ [+con; +bilabial]</t>
  </si>
  <si>
    <t>after 625</t>
  </si>
  <si>
    <t>/ u _ #</t>
  </si>
  <si>
    <t>/ _ + [+con; +labial]</t>
  </si>
  <si>
    <t>/ [+con; +pharyng] _</t>
  </si>
  <si>
    <t>[+con; +pharyng]</t>
  </si>
  <si>
    <t>[-pharyng]</t>
  </si>
  <si>
    <t>/ _ e</t>
  </si>
  <si>
    <t>after 626</t>
  </si>
  <si>
    <t>/ _ ö</t>
  </si>
  <si>
    <t>after 627</t>
  </si>
  <si>
    <t>l-dissimilation</t>
  </si>
  <si>
    <t>/ _ + l</t>
  </si>
  <si>
    <t>kryz</t>
  </si>
  <si>
    <t>[+con; +spirant]</t>
  </si>
  <si>
    <t>(Saadiev, 1972)</t>
  </si>
  <si>
    <t>Kryz</t>
  </si>
  <si>
    <t>after 633</t>
  </si>
  <si>
    <t>/ _ в</t>
  </si>
  <si>
    <t>/ [+con; +labial] _</t>
  </si>
  <si>
    <t>/ _ [-con; +labial]</t>
  </si>
  <si>
    <t>after 637</t>
  </si>
  <si>
    <t>хиналугский proper</t>
  </si>
  <si>
    <t>/ _ n [+con; +stop; +velar]</t>
  </si>
  <si>
    <t>(Kibrik, Kodzasov, and Olovjannikova, 1972)</t>
  </si>
  <si>
    <t>Khinalug</t>
  </si>
  <si>
    <t>/ _ n [+con; +stop; +uvular]</t>
  </si>
  <si>
    <t>ɨ</t>
  </si>
  <si>
    <t>/ [+con; +sibilant; +affricate] _</t>
  </si>
  <si>
    <t>/ [+con; +uvular] _</t>
  </si>
  <si>
    <t>ɯ</t>
  </si>
  <si>
    <t>if unstressed in fluent speech</t>
  </si>
  <si>
    <t>k'</t>
  </si>
  <si>
    <t>k'ʷ</t>
  </si>
  <si>
    <t>/ [-con; +round] n _</t>
  </si>
  <si>
    <t>gʷ</t>
  </si>
  <si>
    <t>[+con; +laryng; +glide; -voice]</t>
  </si>
  <si>
    <t>ŋ</t>
  </si>
  <si>
    <t>/ _ [+con; +velar]</t>
  </si>
  <si>
    <t>/ _ [+con; +uvular]</t>
  </si>
  <si>
    <t>V3</t>
  </si>
  <si>
    <t>v</t>
  </si>
  <si>
    <t>epenthesis, assimilation</t>
  </si>
  <si>
    <t>[-con; +high; α-front]</t>
  </si>
  <si>
    <t>/ [[-con; α-front]C#]root _ [C]suffix</t>
  </si>
  <si>
    <t>if *C1C2 is forbidden</t>
  </si>
  <si>
    <t>[-con; +high]</t>
  </si>
  <si>
    <t>if C1C2 is allowed</t>
  </si>
  <si>
    <t>[-con; +high; -front; -labial]</t>
  </si>
  <si>
    <t>/ [ [-con; +round] ]syll + [ _ ]syll</t>
  </si>
  <si>
    <t>/ _ [+con; -palatal]</t>
  </si>
  <si>
    <t>[+con; -aspirated]</t>
  </si>
  <si>
    <t>[+aspirated]</t>
  </si>
  <si>
    <t>/ _ [+con; +stop; +aspirated]</t>
  </si>
  <si>
    <t>[+con; α-voice]</t>
  </si>
  <si>
    <t>[β-voice]</t>
  </si>
  <si>
    <t>/ _ [+con; β-voice]</t>
  </si>
  <si>
    <t>[+con; +fricative]</t>
  </si>
  <si>
    <t>[-fricative; +affricate]</t>
  </si>
  <si>
    <t>/ #_ [+con; +fricative]</t>
  </si>
  <si>
    <t>ʒ</t>
  </si>
  <si>
    <t>[-ejective]</t>
  </si>
  <si>
    <t>/ _ [+con; +obstruent]</t>
  </si>
  <si>
    <t>/ [-con; +front] _#</t>
  </si>
  <si>
    <t>[-con; +posttonic]</t>
  </si>
  <si>
    <t>av</t>
  </si>
  <si>
    <t>/ C_j</t>
  </si>
  <si>
    <t>/ C_ʔ</t>
  </si>
  <si>
    <t>/ [ C _ C]syll</t>
  </si>
  <si>
    <t>/ [+con; β-voice] _</t>
  </si>
  <si>
    <t>change_description</t>
  </si>
  <si>
    <t>признаки для карты cheshirization: labialization</t>
  </si>
  <si>
    <t>not attested</t>
  </si>
  <si>
    <t>attested</t>
  </si>
  <si>
    <t>признаки для карты cheshirization: nasalization</t>
  </si>
  <si>
    <t>признаки для карты b-to-m assimilation</t>
  </si>
  <si>
    <t>признаки для карты glide vowel breaking</t>
  </si>
  <si>
    <t>j или y или й</t>
  </si>
  <si>
    <t>признаки для карты l-assimilation / l-dissimilation</t>
  </si>
  <si>
    <t>n или н</t>
  </si>
  <si>
    <t>r или р</t>
  </si>
  <si>
    <t>признаки для карты r-assimilation / r-dissimilation</t>
  </si>
  <si>
    <t>l или л</t>
  </si>
  <si>
    <t>признаки для карты d-assimilation / d-dissimilation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</si>
</sst>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4" fontId="2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8.75"/>
    <col customWidth="1" min="4" max="4" width="15.75"/>
    <col customWidth="1" min="5" max="5" width="9.25"/>
    <col customWidth="1" min="6" max="6" width="12.88"/>
    <col customWidth="1" min="7" max="7" width="9.88"/>
    <col customWidth="1" min="8" max="8" width="11.13"/>
    <col customWidth="1" min="9" max="9" width="7.5"/>
    <col customWidth="1" min="10" max="10" width="11.13"/>
    <col customWidth="1" min="11" max="11" width="9.13"/>
    <col customWidth="1" min="12" max="12" width="13.0"/>
    <col customWidth="1" min="13" max="13" width="11.25"/>
    <col customWidth="1" min="14" max="14" width="11.38"/>
    <col customWidth="1" min="15" max="15" width="9.88"/>
    <col customWidth="1" min="17" max="17" width="8.0"/>
    <col customWidth="1" min="19" max="19" width="9.5"/>
    <col customWidth="1" min="20" max="20" width="16.0"/>
  </cols>
  <sheetData>
    <row r="1">
      <c r="Q1" s="1"/>
    </row>
    <row r="2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3" t="s">
        <v>12</v>
      </c>
      <c r="R2" s="2" t="s">
        <v>13</v>
      </c>
      <c r="S2" s="2" t="s">
        <v>14</v>
      </c>
      <c r="T2" s="2" t="s">
        <v>15</v>
      </c>
    </row>
    <row r="3">
      <c r="C3" s="4" t="s">
        <v>16</v>
      </c>
      <c r="E3" s="5">
        <v>1.0</v>
      </c>
      <c r="F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21</v>
      </c>
      <c r="O3" s="5" t="s">
        <v>24</v>
      </c>
      <c r="P3" s="5" t="s">
        <v>25</v>
      </c>
      <c r="Q3" s="6">
        <v>31.0</v>
      </c>
      <c r="R3" s="5" t="s">
        <v>26</v>
      </c>
      <c r="S3" s="5" t="s">
        <v>27</v>
      </c>
      <c r="T3" s="5" t="s">
        <v>26</v>
      </c>
    </row>
    <row r="4">
      <c r="E4" s="5">
        <v>2.0</v>
      </c>
      <c r="F4" s="5" t="s">
        <v>17</v>
      </c>
      <c r="G4" s="5" t="s">
        <v>28</v>
      </c>
      <c r="H4" s="5" t="s">
        <v>29</v>
      </c>
      <c r="I4" s="5" t="s">
        <v>19</v>
      </c>
      <c r="J4" s="5" t="s">
        <v>30</v>
      </c>
      <c r="K4" s="5" t="s">
        <v>21</v>
      </c>
      <c r="L4" s="5" t="s">
        <v>31</v>
      </c>
      <c r="M4" s="7" t="s">
        <v>32</v>
      </c>
      <c r="N4" s="7" t="s">
        <v>33</v>
      </c>
      <c r="O4" s="5" t="s">
        <v>34</v>
      </c>
      <c r="P4" s="5" t="s">
        <v>25</v>
      </c>
      <c r="Q4" s="6">
        <v>31.0</v>
      </c>
      <c r="R4" s="5" t="s">
        <v>26</v>
      </c>
      <c r="S4" s="5" t="s">
        <v>27</v>
      </c>
      <c r="T4" s="5" t="s">
        <v>26</v>
      </c>
    </row>
    <row r="5">
      <c r="E5" s="5">
        <v>3.0</v>
      </c>
      <c r="F5" s="5" t="s">
        <v>17</v>
      </c>
      <c r="H5" s="5" t="s">
        <v>18</v>
      </c>
      <c r="I5" s="5" t="s">
        <v>19</v>
      </c>
      <c r="J5" s="8" t="s">
        <v>35</v>
      </c>
      <c r="K5" s="8" t="s">
        <v>21</v>
      </c>
      <c r="L5" s="5" t="s">
        <v>36</v>
      </c>
      <c r="M5" s="5" t="s">
        <v>37</v>
      </c>
      <c r="N5" s="5" t="s">
        <v>38</v>
      </c>
      <c r="O5" s="9"/>
      <c r="P5" s="5" t="s">
        <v>25</v>
      </c>
      <c r="Q5" s="6">
        <v>31.0</v>
      </c>
      <c r="R5" s="5" t="s">
        <v>26</v>
      </c>
      <c r="S5" s="5" t="s">
        <v>27</v>
      </c>
      <c r="T5" s="5" t="s">
        <v>26</v>
      </c>
    </row>
    <row r="6">
      <c r="E6" s="5">
        <v>4.0</v>
      </c>
      <c r="F6" s="5" t="s">
        <v>17</v>
      </c>
      <c r="H6" s="5" t="s">
        <v>39</v>
      </c>
      <c r="I6" s="5" t="s">
        <v>19</v>
      </c>
      <c r="J6" s="8" t="s">
        <v>35</v>
      </c>
      <c r="K6" s="8" t="s">
        <v>21</v>
      </c>
      <c r="L6" s="5" t="s">
        <v>40</v>
      </c>
      <c r="M6" s="5" t="s">
        <v>41</v>
      </c>
      <c r="N6" s="5" t="s">
        <v>42</v>
      </c>
      <c r="O6" s="9"/>
      <c r="P6" s="5" t="s">
        <v>25</v>
      </c>
      <c r="Q6" s="6">
        <v>31.0</v>
      </c>
      <c r="R6" s="5" t="s">
        <v>26</v>
      </c>
      <c r="S6" s="5" t="s">
        <v>27</v>
      </c>
      <c r="T6" s="5" t="s">
        <v>26</v>
      </c>
    </row>
    <row r="7">
      <c r="E7" s="5">
        <v>5.0</v>
      </c>
      <c r="F7" s="5" t="s">
        <v>17</v>
      </c>
      <c r="H7" s="5" t="s">
        <v>29</v>
      </c>
      <c r="I7" s="5" t="s">
        <v>19</v>
      </c>
      <c r="J7" s="8" t="s">
        <v>35</v>
      </c>
      <c r="K7" s="8" t="s">
        <v>21</v>
      </c>
      <c r="L7" s="5" t="s">
        <v>43</v>
      </c>
      <c r="M7" s="5" t="s">
        <v>44</v>
      </c>
      <c r="N7" s="5" t="s">
        <v>45</v>
      </c>
      <c r="O7" s="9"/>
      <c r="P7" s="5" t="s">
        <v>25</v>
      </c>
      <c r="Q7" s="6">
        <v>31.0</v>
      </c>
      <c r="R7" s="5" t="s">
        <v>26</v>
      </c>
      <c r="S7" s="5" t="s">
        <v>27</v>
      </c>
      <c r="T7" s="5" t="s">
        <v>26</v>
      </c>
    </row>
    <row r="8">
      <c r="E8" s="5">
        <v>6.0</v>
      </c>
      <c r="F8" s="5" t="s">
        <v>17</v>
      </c>
      <c r="H8" s="5" t="s">
        <v>46</v>
      </c>
      <c r="I8" s="5" t="s">
        <v>19</v>
      </c>
      <c r="J8" s="5" t="s">
        <v>47</v>
      </c>
      <c r="K8" s="5" t="s">
        <v>21</v>
      </c>
      <c r="L8" s="5" t="s">
        <v>48</v>
      </c>
      <c r="M8" s="5" t="s">
        <v>49</v>
      </c>
      <c r="N8" s="5" t="s">
        <v>50</v>
      </c>
      <c r="O8" s="5"/>
      <c r="P8" s="5" t="s">
        <v>25</v>
      </c>
      <c r="Q8" s="6" t="s">
        <v>51</v>
      </c>
      <c r="R8" s="5" t="s">
        <v>26</v>
      </c>
      <c r="S8" s="5" t="s">
        <v>27</v>
      </c>
      <c r="T8" s="5" t="s">
        <v>26</v>
      </c>
    </row>
    <row r="9">
      <c r="E9" s="5">
        <v>7.0</v>
      </c>
      <c r="F9" s="5" t="s">
        <v>52</v>
      </c>
      <c r="G9" s="5" t="s">
        <v>53</v>
      </c>
      <c r="H9" s="5" t="s">
        <v>19</v>
      </c>
      <c r="I9" s="5" t="s">
        <v>54</v>
      </c>
      <c r="J9" s="5" t="s">
        <v>55</v>
      </c>
      <c r="K9" s="5" t="s">
        <v>21</v>
      </c>
      <c r="L9" s="5" t="s">
        <v>56</v>
      </c>
      <c r="M9" s="5" t="s">
        <v>57</v>
      </c>
      <c r="N9" s="5" t="s">
        <v>58</v>
      </c>
      <c r="O9" s="5" t="s">
        <v>59</v>
      </c>
      <c r="P9" s="5" t="s">
        <v>25</v>
      </c>
      <c r="Q9" s="6">
        <v>32.0</v>
      </c>
      <c r="R9" s="5" t="s">
        <v>26</v>
      </c>
      <c r="S9" s="5" t="s">
        <v>27</v>
      </c>
      <c r="T9" s="5" t="s">
        <v>26</v>
      </c>
    </row>
    <row r="10">
      <c r="E10" s="5">
        <v>8.0</v>
      </c>
      <c r="F10" s="5" t="s">
        <v>52</v>
      </c>
      <c r="G10" s="5" t="s">
        <v>60</v>
      </c>
      <c r="H10" s="5" t="s">
        <v>19</v>
      </c>
      <c r="I10" s="5" t="s">
        <v>61</v>
      </c>
      <c r="J10" s="5" t="s">
        <v>62</v>
      </c>
      <c r="K10" s="5" t="s">
        <v>21</v>
      </c>
      <c r="L10" s="5" t="s">
        <v>63</v>
      </c>
      <c r="M10" s="5" t="s">
        <v>64</v>
      </c>
      <c r="N10" s="5" t="s">
        <v>65</v>
      </c>
      <c r="O10" s="5" t="s">
        <v>66</v>
      </c>
      <c r="P10" s="5" t="s">
        <v>25</v>
      </c>
      <c r="Q10" s="6" t="s">
        <v>67</v>
      </c>
      <c r="R10" s="5" t="s">
        <v>26</v>
      </c>
      <c r="S10" s="5" t="s">
        <v>27</v>
      </c>
      <c r="T10" s="5" t="s">
        <v>26</v>
      </c>
    </row>
    <row r="11">
      <c r="E11" s="5">
        <v>9.0</v>
      </c>
      <c r="F11" s="5" t="s">
        <v>68</v>
      </c>
      <c r="H11" s="5" t="s">
        <v>69</v>
      </c>
      <c r="I11" s="5" t="s">
        <v>70</v>
      </c>
      <c r="J11" s="5" t="s">
        <v>71</v>
      </c>
      <c r="K11" s="5" t="s">
        <v>21</v>
      </c>
      <c r="L11" s="5" t="s">
        <v>72</v>
      </c>
      <c r="M11" s="5" t="s">
        <v>73</v>
      </c>
      <c r="N11" s="5" t="s">
        <v>74</v>
      </c>
      <c r="O11" s="5" t="s">
        <v>75</v>
      </c>
      <c r="P11" s="5" t="s">
        <v>25</v>
      </c>
      <c r="Q11" s="6" t="s">
        <v>76</v>
      </c>
      <c r="R11" s="5" t="s">
        <v>26</v>
      </c>
      <c r="S11" s="5" t="s">
        <v>27</v>
      </c>
      <c r="T11" s="5" t="s">
        <v>26</v>
      </c>
    </row>
    <row r="12">
      <c r="E12" s="5">
        <v>10.0</v>
      </c>
      <c r="F12" s="5" t="s">
        <v>68</v>
      </c>
      <c r="H12" s="5" t="s">
        <v>77</v>
      </c>
      <c r="I12" s="5" t="s">
        <v>78</v>
      </c>
      <c r="J12" s="5" t="s">
        <v>71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79</v>
      </c>
      <c r="P12" s="5" t="s">
        <v>25</v>
      </c>
      <c r="Q12" s="6">
        <v>34.0</v>
      </c>
      <c r="R12" s="5" t="s">
        <v>26</v>
      </c>
      <c r="S12" s="5" t="s">
        <v>27</v>
      </c>
      <c r="T12" s="5" t="s">
        <v>26</v>
      </c>
    </row>
    <row r="13">
      <c r="E13" s="5">
        <v>11.0</v>
      </c>
      <c r="F13" s="5" t="s">
        <v>17</v>
      </c>
      <c r="H13" s="5" t="s">
        <v>80</v>
      </c>
      <c r="I13" s="5" t="s">
        <v>19</v>
      </c>
      <c r="J13" s="5" t="s">
        <v>81</v>
      </c>
      <c r="K13" s="5" t="s">
        <v>21</v>
      </c>
      <c r="L13" s="5" t="s">
        <v>82</v>
      </c>
      <c r="M13" s="5" t="s">
        <v>83</v>
      </c>
      <c r="N13" s="5" t="s">
        <v>84</v>
      </c>
      <c r="O13" s="5" t="s">
        <v>85</v>
      </c>
      <c r="P13" s="5" t="s">
        <v>25</v>
      </c>
      <c r="Q13" s="6">
        <v>34.0</v>
      </c>
      <c r="R13" s="5" t="s">
        <v>26</v>
      </c>
      <c r="S13" s="5" t="s">
        <v>27</v>
      </c>
      <c r="T13" s="5" t="s">
        <v>26</v>
      </c>
    </row>
    <row r="14">
      <c r="E14" s="5">
        <v>12.0</v>
      </c>
      <c r="F14" s="5" t="s">
        <v>68</v>
      </c>
      <c r="H14" s="5" t="s">
        <v>39</v>
      </c>
      <c r="I14" s="5" t="s">
        <v>54</v>
      </c>
      <c r="J14" s="5" t="s">
        <v>86</v>
      </c>
      <c r="K14" s="5" t="s">
        <v>21</v>
      </c>
      <c r="L14" s="5" t="s">
        <v>87</v>
      </c>
      <c r="M14" s="10" t="s">
        <v>88</v>
      </c>
      <c r="N14" s="5" t="s">
        <v>89</v>
      </c>
      <c r="O14" s="5" t="s">
        <v>90</v>
      </c>
      <c r="P14" s="5" t="s">
        <v>25</v>
      </c>
      <c r="Q14" s="6">
        <v>34.0</v>
      </c>
      <c r="R14" s="5" t="s">
        <v>26</v>
      </c>
      <c r="S14" s="5" t="s">
        <v>27</v>
      </c>
      <c r="T14" s="5" t="s">
        <v>26</v>
      </c>
    </row>
    <row r="15">
      <c r="E15" s="5">
        <v>13.0</v>
      </c>
      <c r="F15" s="5" t="s">
        <v>68</v>
      </c>
      <c r="H15" s="5" t="s">
        <v>29</v>
      </c>
      <c r="I15" s="5" t="s">
        <v>80</v>
      </c>
      <c r="J15" s="5" t="s">
        <v>86</v>
      </c>
      <c r="K15" s="5" t="s">
        <v>21</v>
      </c>
      <c r="L15" s="5" t="s">
        <v>91</v>
      </c>
      <c r="M15" s="5" t="s">
        <v>92</v>
      </c>
      <c r="N15" s="5" t="s">
        <v>93</v>
      </c>
      <c r="O15" s="5" t="s">
        <v>94</v>
      </c>
      <c r="P15" s="5" t="s">
        <v>25</v>
      </c>
      <c r="Q15" s="6">
        <v>35.0</v>
      </c>
      <c r="R15" s="5" t="s">
        <v>26</v>
      </c>
      <c r="S15" s="5" t="s">
        <v>27</v>
      </c>
      <c r="T15" s="5" t="s">
        <v>26</v>
      </c>
    </row>
    <row r="16">
      <c r="E16" s="5">
        <v>14.0</v>
      </c>
      <c r="F16" s="5" t="s">
        <v>95</v>
      </c>
      <c r="H16" s="5" t="s">
        <v>18</v>
      </c>
      <c r="I16" s="5" t="s">
        <v>29</v>
      </c>
      <c r="J16" s="5" t="s">
        <v>96</v>
      </c>
      <c r="K16" s="5" t="s">
        <v>21</v>
      </c>
      <c r="L16" s="5" t="s">
        <v>97</v>
      </c>
      <c r="M16" s="5" t="s">
        <v>98</v>
      </c>
      <c r="N16" s="5" t="s">
        <v>99</v>
      </c>
      <c r="P16" s="5" t="s">
        <v>25</v>
      </c>
      <c r="Q16" s="6" t="s">
        <v>100</v>
      </c>
      <c r="R16" s="5" t="s">
        <v>26</v>
      </c>
      <c r="S16" s="5" t="s">
        <v>27</v>
      </c>
      <c r="T16" s="5" t="s">
        <v>26</v>
      </c>
    </row>
    <row r="17">
      <c r="E17" s="5">
        <v>15.0</v>
      </c>
      <c r="F17" s="5" t="s">
        <v>95</v>
      </c>
      <c r="H17" s="5" t="s">
        <v>101</v>
      </c>
      <c r="I17" s="5" t="s">
        <v>102</v>
      </c>
      <c r="J17" s="5" t="s">
        <v>96</v>
      </c>
      <c r="K17" s="5" t="s">
        <v>21</v>
      </c>
      <c r="L17" s="5" t="s">
        <v>103</v>
      </c>
      <c r="M17" s="5" t="s">
        <v>104</v>
      </c>
      <c r="N17" s="5" t="s">
        <v>105</v>
      </c>
      <c r="P17" s="5" t="s">
        <v>25</v>
      </c>
      <c r="Q17" s="6" t="s">
        <v>106</v>
      </c>
      <c r="R17" s="5" t="s">
        <v>26</v>
      </c>
      <c r="S17" s="5" t="s">
        <v>27</v>
      </c>
      <c r="T17" s="5" t="s">
        <v>26</v>
      </c>
    </row>
    <row r="18">
      <c r="E18" s="5">
        <v>16.0</v>
      </c>
      <c r="F18" s="5" t="s">
        <v>95</v>
      </c>
      <c r="H18" s="5" t="s">
        <v>107</v>
      </c>
      <c r="I18" s="5" t="s">
        <v>29</v>
      </c>
      <c r="J18" s="5" t="s">
        <v>96</v>
      </c>
      <c r="K18" s="5" t="s">
        <v>21</v>
      </c>
      <c r="L18" s="5" t="s">
        <v>108</v>
      </c>
      <c r="M18" s="5" t="s">
        <v>109</v>
      </c>
      <c r="N18" s="5" t="s">
        <v>110</v>
      </c>
      <c r="P18" s="5" t="s">
        <v>25</v>
      </c>
      <c r="Q18" s="6" t="s">
        <v>100</v>
      </c>
      <c r="R18" s="5" t="s">
        <v>26</v>
      </c>
      <c r="S18" s="5" t="s">
        <v>27</v>
      </c>
      <c r="T18" s="5" t="s">
        <v>26</v>
      </c>
    </row>
    <row r="19">
      <c r="E19" s="5">
        <v>17.0</v>
      </c>
      <c r="F19" s="5" t="s">
        <v>95</v>
      </c>
      <c r="H19" s="5" t="s">
        <v>107</v>
      </c>
      <c r="I19" s="5" t="s">
        <v>39</v>
      </c>
      <c r="J19" s="5" t="s">
        <v>96</v>
      </c>
      <c r="K19" s="5" t="s">
        <v>21</v>
      </c>
      <c r="L19" s="5" t="s">
        <v>111</v>
      </c>
      <c r="M19" s="5" t="s">
        <v>112</v>
      </c>
      <c r="N19" s="5" t="s">
        <v>113</v>
      </c>
      <c r="P19" s="5" t="s">
        <v>25</v>
      </c>
      <c r="Q19" s="6" t="s">
        <v>100</v>
      </c>
      <c r="R19" s="5" t="s">
        <v>26</v>
      </c>
      <c r="S19" s="5" t="s">
        <v>27</v>
      </c>
      <c r="T19" s="5" t="s">
        <v>26</v>
      </c>
    </row>
    <row r="20">
      <c r="E20" s="5">
        <v>18.0</v>
      </c>
      <c r="F20" s="5" t="s">
        <v>68</v>
      </c>
      <c r="H20" s="5" t="s">
        <v>114</v>
      </c>
      <c r="I20" s="5" t="s">
        <v>107</v>
      </c>
      <c r="J20" s="5" t="s">
        <v>115</v>
      </c>
      <c r="K20" s="5" t="s">
        <v>21</v>
      </c>
      <c r="L20" s="5" t="s">
        <v>116</v>
      </c>
      <c r="M20" s="5" t="s">
        <v>117</v>
      </c>
      <c r="N20" s="5" t="s">
        <v>118</v>
      </c>
      <c r="O20" s="5" t="s">
        <v>119</v>
      </c>
      <c r="P20" s="5" t="s">
        <v>25</v>
      </c>
      <c r="Q20" s="6">
        <v>36.0</v>
      </c>
      <c r="R20" s="5" t="s">
        <v>26</v>
      </c>
      <c r="S20" s="5" t="s">
        <v>27</v>
      </c>
      <c r="T20" s="5" t="s">
        <v>26</v>
      </c>
    </row>
    <row r="21">
      <c r="E21" s="5">
        <v>19.0</v>
      </c>
      <c r="F21" s="5" t="s">
        <v>68</v>
      </c>
      <c r="H21" s="5" t="s">
        <v>120</v>
      </c>
      <c r="I21" s="5" t="s">
        <v>107</v>
      </c>
      <c r="J21" s="5" t="s">
        <v>115</v>
      </c>
      <c r="K21" s="5" t="s">
        <v>21</v>
      </c>
      <c r="L21" s="5" t="s">
        <v>121</v>
      </c>
      <c r="M21" s="5" t="s">
        <v>122</v>
      </c>
      <c r="N21" s="5" t="s">
        <v>50</v>
      </c>
      <c r="O21" s="5" t="s">
        <v>123</v>
      </c>
      <c r="P21" s="5" t="s">
        <v>25</v>
      </c>
      <c r="Q21" s="6">
        <v>36.0</v>
      </c>
      <c r="R21" s="5" t="s">
        <v>26</v>
      </c>
      <c r="S21" s="5" t="s">
        <v>27</v>
      </c>
      <c r="T21" s="5" t="s">
        <v>26</v>
      </c>
    </row>
    <row r="22">
      <c r="E22" s="5">
        <v>20.0</v>
      </c>
      <c r="F22" s="5" t="s">
        <v>68</v>
      </c>
      <c r="H22" s="5" t="s">
        <v>124</v>
      </c>
      <c r="I22" s="5" t="s">
        <v>107</v>
      </c>
      <c r="J22" s="5" t="s">
        <v>115</v>
      </c>
      <c r="K22" s="5" t="s">
        <v>21</v>
      </c>
      <c r="L22" s="5" t="s">
        <v>125</v>
      </c>
      <c r="M22" s="5" t="s">
        <v>126</v>
      </c>
      <c r="N22" s="5" t="s">
        <v>127</v>
      </c>
      <c r="P22" s="5" t="s">
        <v>25</v>
      </c>
      <c r="Q22" s="1"/>
      <c r="R22" s="5" t="s">
        <v>26</v>
      </c>
      <c r="S22" s="5" t="s">
        <v>27</v>
      </c>
      <c r="T22" s="5" t="s">
        <v>26</v>
      </c>
    </row>
    <row r="23">
      <c r="E23" s="5">
        <v>21.0</v>
      </c>
      <c r="F23" s="5" t="s">
        <v>17</v>
      </c>
      <c r="H23" s="5" t="s">
        <v>128</v>
      </c>
      <c r="I23" s="5" t="s">
        <v>19</v>
      </c>
      <c r="J23" s="5" t="s">
        <v>129</v>
      </c>
      <c r="K23" s="5" t="s">
        <v>21</v>
      </c>
      <c r="L23" s="5" t="s">
        <v>130</v>
      </c>
      <c r="M23" s="5" t="s">
        <v>131</v>
      </c>
      <c r="N23" s="5" t="s">
        <v>132</v>
      </c>
      <c r="O23" s="5" t="s">
        <v>133</v>
      </c>
      <c r="P23" s="5" t="s">
        <v>25</v>
      </c>
      <c r="Q23" s="6">
        <v>37.0</v>
      </c>
      <c r="R23" s="5" t="s">
        <v>26</v>
      </c>
      <c r="S23" s="5" t="s">
        <v>27</v>
      </c>
      <c r="T23" s="5" t="s">
        <v>26</v>
      </c>
    </row>
    <row r="24">
      <c r="E24" s="5">
        <v>22.0</v>
      </c>
      <c r="F24" s="5" t="s">
        <v>95</v>
      </c>
      <c r="G24" s="5" t="s">
        <v>134</v>
      </c>
      <c r="H24" s="5" t="s">
        <v>135</v>
      </c>
      <c r="I24" s="5" t="s">
        <v>136</v>
      </c>
      <c r="J24" s="5" t="s">
        <v>137</v>
      </c>
      <c r="K24" s="5" t="s">
        <v>21</v>
      </c>
      <c r="L24" s="5" t="s">
        <v>138</v>
      </c>
      <c r="M24" s="5" t="s">
        <v>139</v>
      </c>
      <c r="N24" s="5" t="s">
        <v>140</v>
      </c>
      <c r="O24" s="5" t="s">
        <v>141</v>
      </c>
      <c r="P24" s="5" t="s">
        <v>25</v>
      </c>
      <c r="Q24" s="6">
        <v>37.0</v>
      </c>
      <c r="R24" s="5" t="s">
        <v>26</v>
      </c>
      <c r="S24" s="5" t="s">
        <v>27</v>
      </c>
      <c r="T24" s="5" t="s">
        <v>26</v>
      </c>
    </row>
    <row r="25">
      <c r="E25" s="5">
        <v>23.0</v>
      </c>
      <c r="F25" s="5" t="s">
        <v>95</v>
      </c>
      <c r="G25" s="5" t="s">
        <v>134</v>
      </c>
      <c r="H25" s="5" t="s">
        <v>135</v>
      </c>
      <c r="I25" s="5" t="s">
        <v>142</v>
      </c>
      <c r="J25" s="5" t="s">
        <v>143</v>
      </c>
      <c r="K25" s="5" t="s">
        <v>21</v>
      </c>
      <c r="L25" s="5" t="s">
        <v>144</v>
      </c>
      <c r="M25" s="5" t="s">
        <v>145</v>
      </c>
      <c r="N25" s="5" t="s">
        <v>21</v>
      </c>
      <c r="O25" s="5" t="s">
        <v>141</v>
      </c>
      <c r="P25" s="5" t="s">
        <v>25</v>
      </c>
      <c r="Q25" s="6">
        <v>37.0</v>
      </c>
      <c r="R25" s="5" t="s">
        <v>26</v>
      </c>
      <c r="S25" s="5" t="s">
        <v>27</v>
      </c>
      <c r="T25" s="5" t="s">
        <v>26</v>
      </c>
    </row>
    <row r="26">
      <c r="E26" s="5">
        <v>24.0</v>
      </c>
      <c r="F26" s="5" t="s">
        <v>95</v>
      </c>
      <c r="H26" s="5" t="s">
        <v>146</v>
      </c>
      <c r="I26" s="5" t="s">
        <v>147</v>
      </c>
      <c r="J26" s="5" t="s">
        <v>148</v>
      </c>
      <c r="K26" s="5" t="s">
        <v>21</v>
      </c>
      <c r="L26" s="5" t="s">
        <v>149</v>
      </c>
      <c r="M26" s="10" t="s">
        <v>150</v>
      </c>
      <c r="N26" s="5" t="s">
        <v>151</v>
      </c>
      <c r="P26" s="5" t="s">
        <v>25</v>
      </c>
      <c r="Q26" s="6" t="s">
        <v>152</v>
      </c>
      <c r="R26" s="5" t="s">
        <v>26</v>
      </c>
      <c r="S26" s="5" t="s">
        <v>27</v>
      </c>
      <c r="T26" s="5" t="s">
        <v>26</v>
      </c>
    </row>
    <row r="27">
      <c r="E27" s="5">
        <v>25.0</v>
      </c>
      <c r="F27" s="5" t="s">
        <v>95</v>
      </c>
      <c r="H27" s="5" t="s">
        <v>146</v>
      </c>
      <c r="I27" s="5" t="s">
        <v>147</v>
      </c>
      <c r="J27" s="5" t="s">
        <v>153</v>
      </c>
      <c r="K27" s="5" t="s">
        <v>21</v>
      </c>
      <c r="L27" s="5" t="s">
        <v>154</v>
      </c>
      <c r="M27" s="11" t="s">
        <v>155</v>
      </c>
      <c r="N27" s="5" t="s">
        <v>156</v>
      </c>
      <c r="P27" s="5" t="s">
        <v>25</v>
      </c>
      <c r="Q27" s="6" t="s">
        <v>152</v>
      </c>
      <c r="R27" s="5" t="s">
        <v>26</v>
      </c>
      <c r="S27" s="5" t="s">
        <v>27</v>
      </c>
      <c r="T27" s="5" t="s">
        <v>26</v>
      </c>
    </row>
    <row r="28">
      <c r="E28" s="5">
        <v>26.0</v>
      </c>
      <c r="F28" s="5" t="s">
        <v>95</v>
      </c>
      <c r="H28" s="5" t="s">
        <v>146</v>
      </c>
      <c r="I28" s="5" t="s">
        <v>147</v>
      </c>
      <c r="J28" s="5" t="s">
        <v>157</v>
      </c>
      <c r="K28" s="5" t="s">
        <v>21</v>
      </c>
      <c r="L28" s="5" t="s">
        <v>21</v>
      </c>
      <c r="M28" s="5" t="s">
        <v>21</v>
      </c>
      <c r="N28" s="5" t="s">
        <v>21</v>
      </c>
      <c r="O28" s="5" t="s">
        <v>158</v>
      </c>
      <c r="P28" s="5" t="s">
        <v>25</v>
      </c>
      <c r="Q28" s="6" t="s">
        <v>152</v>
      </c>
      <c r="R28" s="5" t="s">
        <v>26</v>
      </c>
      <c r="S28" s="5" t="s">
        <v>27</v>
      </c>
      <c r="T28" s="5" t="s">
        <v>26</v>
      </c>
    </row>
    <row r="29">
      <c r="E29" s="5">
        <v>27.0</v>
      </c>
      <c r="F29" s="5" t="s">
        <v>95</v>
      </c>
      <c r="H29" s="5" t="s">
        <v>146</v>
      </c>
      <c r="I29" s="5" t="s">
        <v>147</v>
      </c>
      <c r="J29" s="5" t="s">
        <v>159</v>
      </c>
      <c r="K29" s="5" t="s">
        <v>21</v>
      </c>
      <c r="L29" s="5" t="s">
        <v>21</v>
      </c>
      <c r="M29" s="5" t="s">
        <v>21</v>
      </c>
      <c r="N29" s="5" t="s">
        <v>21</v>
      </c>
      <c r="O29" s="5" t="s">
        <v>160</v>
      </c>
      <c r="P29" s="5" t="s">
        <v>25</v>
      </c>
      <c r="Q29" s="6" t="s">
        <v>152</v>
      </c>
      <c r="R29" s="5" t="s">
        <v>26</v>
      </c>
      <c r="S29" s="5" t="s">
        <v>27</v>
      </c>
      <c r="T29" s="5" t="s">
        <v>26</v>
      </c>
    </row>
    <row r="30">
      <c r="E30" s="5">
        <v>28.0</v>
      </c>
      <c r="F30" s="5" t="s">
        <v>95</v>
      </c>
      <c r="H30" s="5" t="s">
        <v>161</v>
      </c>
      <c r="I30" s="5" t="s">
        <v>162</v>
      </c>
      <c r="J30" s="5" t="s">
        <v>148</v>
      </c>
      <c r="K30" s="5" t="s">
        <v>21</v>
      </c>
      <c r="L30" s="5" t="s">
        <v>163</v>
      </c>
      <c r="M30" s="5" t="s">
        <v>164</v>
      </c>
      <c r="N30" s="5" t="s">
        <v>165</v>
      </c>
      <c r="P30" s="5" t="s">
        <v>25</v>
      </c>
      <c r="Q30" s="6" t="s">
        <v>152</v>
      </c>
      <c r="R30" s="5" t="s">
        <v>26</v>
      </c>
      <c r="S30" s="5" t="s">
        <v>27</v>
      </c>
      <c r="T30" s="5" t="s">
        <v>26</v>
      </c>
    </row>
    <row r="31">
      <c r="E31" s="5">
        <v>29.0</v>
      </c>
      <c r="F31" s="5" t="s">
        <v>95</v>
      </c>
      <c r="H31" s="5" t="s">
        <v>161</v>
      </c>
      <c r="I31" s="5" t="s">
        <v>162</v>
      </c>
      <c r="J31" s="5" t="s">
        <v>153</v>
      </c>
      <c r="K31" s="5" t="s">
        <v>21</v>
      </c>
      <c r="L31" s="5" t="s">
        <v>21</v>
      </c>
      <c r="M31" s="5" t="s">
        <v>21</v>
      </c>
      <c r="N31" s="5" t="s">
        <v>21</v>
      </c>
      <c r="P31" s="5" t="s">
        <v>25</v>
      </c>
      <c r="Q31" s="6" t="s">
        <v>152</v>
      </c>
      <c r="R31" s="5" t="s">
        <v>26</v>
      </c>
      <c r="S31" s="5" t="s">
        <v>27</v>
      </c>
      <c r="T31" s="5" t="s">
        <v>26</v>
      </c>
    </row>
    <row r="32">
      <c r="E32" s="5">
        <v>30.0</v>
      </c>
      <c r="F32" s="5" t="s">
        <v>95</v>
      </c>
      <c r="H32" s="5" t="s">
        <v>161</v>
      </c>
      <c r="I32" s="5" t="s">
        <v>162</v>
      </c>
      <c r="J32" s="5" t="s">
        <v>157</v>
      </c>
      <c r="K32" s="5" t="s">
        <v>21</v>
      </c>
      <c r="L32" s="5" t="s">
        <v>21</v>
      </c>
      <c r="M32" s="5" t="s">
        <v>21</v>
      </c>
      <c r="N32" s="5" t="s">
        <v>21</v>
      </c>
      <c r="O32" s="5" t="s">
        <v>158</v>
      </c>
      <c r="P32" s="5" t="s">
        <v>25</v>
      </c>
      <c r="Q32" s="6" t="s">
        <v>152</v>
      </c>
      <c r="R32" s="5" t="s">
        <v>26</v>
      </c>
      <c r="S32" s="5" t="s">
        <v>27</v>
      </c>
      <c r="T32" s="5" t="s">
        <v>26</v>
      </c>
    </row>
    <row r="33">
      <c r="E33" s="5">
        <v>31.0</v>
      </c>
      <c r="F33" s="5" t="s">
        <v>95</v>
      </c>
      <c r="H33" s="5" t="s">
        <v>161</v>
      </c>
      <c r="I33" s="5" t="s">
        <v>162</v>
      </c>
      <c r="J33" s="5" t="s">
        <v>159</v>
      </c>
      <c r="K33" s="5" t="s">
        <v>21</v>
      </c>
      <c r="L33" s="5" t="s">
        <v>21</v>
      </c>
      <c r="M33" s="5" t="s">
        <v>21</v>
      </c>
      <c r="N33" s="5" t="s">
        <v>21</v>
      </c>
      <c r="O33" s="5" t="s">
        <v>160</v>
      </c>
      <c r="P33" s="5" t="s">
        <v>25</v>
      </c>
      <c r="Q33" s="6" t="s">
        <v>152</v>
      </c>
      <c r="R33" s="5" t="s">
        <v>26</v>
      </c>
      <c r="S33" s="5" t="s">
        <v>27</v>
      </c>
      <c r="T33" s="5" t="s">
        <v>26</v>
      </c>
    </row>
    <row r="34">
      <c r="E34" s="5">
        <v>32.0</v>
      </c>
      <c r="F34" s="5" t="s">
        <v>95</v>
      </c>
      <c r="H34" s="5" t="s">
        <v>166</v>
      </c>
      <c r="I34" s="5" t="s">
        <v>167</v>
      </c>
      <c r="J34" s="5" t="s">
        <v>148</v>
      </c>
      <c r="K34" s="5" t="s">
        <v>21</v>
      </c>
      <c r="L34" s="5" t="s">
        <v>168</v>
      </c>
      <c r="M34" s="5" t="s">
        <v>169</v>
      </c>
      <c r="N34" s="5" t="s">
        <v>170</v>
      </c>
      <c r="P34" s="5" t="s">
        <v>25</v>
      </c>
      <c r="Q34" s="6" t="s">
        <v>152</v>
      </c>
      <c r="R34" s="5" t="s">
        <v>26</v>
      </c>
      <c r="S34" s="5" t="s">
        <v>27</v>
      </c>
      <c r="T34" s="5" t="s">
        <v>26</v>
      </c>
    </row>
    <row r="35">
      <c r="E35" s="5">
        <v>33.0</v>
      </c>
      <c r="F35" s="5" t="s">
        <v>95</v>
      </c>
      <c r="H35" s="5" t="s">
        <v>166</v>
      </c>
      <c r="I35" s="5" t="s">
        <v>167</v>
      </c>
      <c r="J35" s="5" t="s">
        <v>153</v>
      </c>
      <c r="K35" s="5" t="s">
        <v>21</v>
      </c>
      <c r="L35" s="5" t="s">
        <v>171</v>
      </c>
      <c r="M35" s="11" t="s">
        <v>172</v>
      </c>
      <c r="N35" s="5"/>
      <c r="P35" s="5" t="s">
        <v>25</v>
      </c>
      <c r="Q35" s="6" t="s">
        <v>152</v>
      </c>
      <c r="R35" s="5" t="s">
        <v>26</v>
      </c>
      <c r="S35" s="5" t="s">
        <v>27</v>
      </c>
      <c r="T35" s="5" t="s">
        <v>26</v>
      </c>
    </row>
    <row r="36">
      <c r="E36" s="5">
        <v>34.0</v>
      </c>
      <c r="F36" s="5" t="s">
        <v>95</v>
      </c>
      <c r="H36" s="5" t="s">
        <v>166</v>
      </c>
      <c r="I36" s="5" t="s">
        <v>167</v>
      </c>
      <c r="J36" s="5" t="s">
        <v>157</v>
      </c>
      <c r="K36" s="5" t="s">
        <v>21</v>
      </c>
      <c r="L36" s="5" t="s">
        <v>21</v>
      </c>
      <c r="M36" s="5" t="s">
        <v>21</v>
      </c>
      <c r="N36" s="5" t="s">
        <v>21</v>
      </c>
      <c r="O36" s="5" t="s">
        <v>158</v>
      </c>
      <c r="P36" s="5" t="s">
        <v>25</v>
      </c>
      <c r="Q36" s="6" t="s">
        <v>152</v>
      </c>
      <c r="R36" s="5" t="s">
        <v>26</v>
      </c>
      <c r="S36" s="5" t="s">
        <v>27</v>
      </c>
      <c r="T36" s="5" t="s">
        <v>26</v>
      </c>
    </row>
    <row r="37">
      <c r="E37" s="5">
        <v>35.0</v>
      </c>
      <c r="F37" s="5" t="s">
        <v>95</v>
      </c>
      <c r="H37" s="5" t="s">
        <v>166</v>
      </c>
      <c r="I37" s="5" t="s">
        <v>167</v>
      </c>
      <c r="J37" s="5" t="s">
        <v>159</v>
      </c>
      <c r="K37" s="5" t="s">
        <v>21</v>
      </c>
      <c r="L37" s="5" t="s">
        <v>173</v>
      </c>
      <c r="M37" s="5" t="s">
        <v>174</v>
      </c>
      <c r="N37" s="5" t="s">
        <v>175</v>
      </c>
      <c r="O37" s="5" t="s">
        <v>160</v>
      </c>
      <c r="P37" s="5" t="s">
        <v>25</v>
      </c>
      <c r="Q37" s="6" t="s">
        <v>152</v>
      </c>
      <c r="R37" s="5" t="s">
        <v>26</v>
      </c>
      <c r="S37" s="5" t="s">
        <v>27</v>
      </c>
      <c r="T37" s="5" t="s">
        <v>26</v>
      </c>
    </row>
    <row r="38">
      <c r="E38" s="5">
        <v>36.0</v>
      </c>
      <c r="F38" s="5" t="s">
        <v>176</v>
      </c>
      <c r="G38" s="5" t="s">
        <v>28</v>
      </c>
      <c r="H38" s="5" t="s">
        <v>177</v>
      </c>
      <c r="I38" s="5" t="s">
        <v>178</v>
      </c>
      <c r="J38" s="5" t="s">
        <v>179</v>
      </c>
      <c r="K38" s="5" t="s">
        <v>180</v>
      </c>
      <c r="L38" s="5" t="s">
        <v>181</v>
      </c>
      <c r="M38" s="5" t="s">
        <v>182</v>
      </c>
      <c r="N38" s="5" t="s">
        <v>183</v>
      </c>
      <c r="O38" s="5" t="s">
        <v>184</v>
      </c>
      <c r="P38" s="5" t="s">
        <v>25</v>
      </c>
      <c r="Q38" s="6">
        <v>38.0</v>
      </c>
      <c r="R38" s="5" t="s">
        <v>26</v>
      </c>
      <c r="S38" s="5" t="s">
        <v>27</v>
      </c>
      <c r="T38" s="5" t="s">
        <v>26</v>
      </c>
    </row>
    <row r="39">
      <c r="E39" s="5">
        <v>37.0</v>
      </c>
      <c r="F39" s="5" t="s">
        <v>176</v>
      </c>
      <c r="G39" s="5" t="s">
        <v>28</v>
      </c>
      <c r="H39" s="5" t="s">
        <v>177</v>
      </c>
      <c r="I39" s="5" t="s">
        <v>178</v>
      </c>
      <c r="J39" s="5" t="s">
        <v>185</v>
      </c>
      <c r="K39" s="5" t="s">
        <v>180</v>
      </c>
      <c r="L39" s="5" t="s">
        <v>186</v>
      </c>
      <c r="M39" s="5" t="s">
        <v>187</v>
      </c>
      <c r="N39" s="5" t="s">
        <v>188</v>
      </c>
      <c r="O39" s="5" t="s">
        <v>189</v>
      </c>
      <c r="P39" s="5" t="s">
        <v>25</v>
      </c>
      <c r="Q39" s="6">
        <v>38.0</v>
      </c>
      <c r="R39" s="5" t="s">
        <v>26</v>
      </c>
      <c r="S39" s="5" t="s">
        <v>27</v>
      </c>
      <c r="T39" s="5" t="s">
        <v>26</v>
      </c>
    </row>
    <row r="40">
      <c r="E40" s="5">
        <v>38.0</v>
      </c>
      <c r="F40" s="5" t="s">
        <v>190</v>
      </c>
      <c r="G40" s="5" t="s">
        <v>191</v>
      </c>
      <c r="H40" s="5" t="s">
        <v>192</v>
      </c>
      <c r="I40" s="5" t="s">
        <v>193</v>
      </c>
      <c r="J40" s="5" t="s">
        <v>194</v>
      </c>
      <c r="K40" s="5" t="s">
        <v>21</v>
      </c>
      <c r="L40" s="5" t="s">
        <v>195</v>
      </c>
      <c r="M40" s="5" t="s">
        <v>196</v>
      </c>
      <c r="N40" s="5" t="s">
        <v>197</v>
      </c>
      <c r="O40" s="5" t="s">
        <v>198</v>
      </c>
      <c r="P40" s="5" t="s">
        <v>25</v>
      </c>
      <c r="Q40" s="6">
        <v>39.0</v>
      </c>
      <c r="R40" s="5" t="s">
        <v>26</v>
      </c>
      <c r="S40" s="5" t="s">
        <v>27</v>
      </c>
      <c r="T40" s="5" t="s">
        <v>26</v>
      </c>
    </row>
    <row r="41">
      <c r="E41" s="5">
        <v>39.0</v>
      </c>
      <c r="F41" s="5" t="s">
        <v>190</v>
      </c>
      <c r="G41" s="5" t="s">
        <v>191</v>
      </c>
      <c r="H41" s="5" t="s">
        <v>192</v>
      </c>
      <c r="I41" s="5" t="s">
        <v>193</v>
      </c>
      <c r="J41" s="5" t="s">
        <v>179</v>
      </c>
      <c r="K41" s="5" t="s">
        <v>199</v>
      </c>
      <c r="L41" s="5" t="s">
        <v>200</v>
      </c>
      <c r="M41" s="5" t="s">
        <v>201</v>
      </c>
      <c r="N41" s="5" t="s">
        <v>202</v>
      </c>
      <c r="O41" s="5" t="s">
        <v>203</v>
      </c>
      <c r="P41" s="5" t="s">
        <v>25</v>
      </c>
      <c r="Q41" s="6">
        <v>39.0</v>
      </c>
      <c r="R41" s="5" t="s">
        <v>26</v>
      </c>
      <c r="S41" s="5" t="s">
        <v>27</v>
      </c>
      <c r="T41" s="5" t="s">
        <v>26</v>
      </c>
    </row>
    <row r="42">
      <c r="E42" s="5">
        <v>40.0</v>
      </c>
      <c r="F42" s="5" t="s">
        <v>190</v>
      </c>
      <c r="G42" s="5" t="s">
        <v>191</v>
      </c>
      <c r="H42" s="5" t="s">
        <v>192</v>
      </c>
      <c r="I42" s="5" t="s">
        <v>193</v>
      </c>
      <c r="J42" s="5" t="s">
        <v>185</v>
      </c>
      <c r="K42" s="5" t="s">
        <v>204</v>
      </c>
      <c r="L42" s="5" t="s">
        <v>205</v>
      </c>
      <c r="M42" s="5" t="s">
        <v>206</v>
      </c>
      <c r="N42" s="5" t="s">
        <v>207</v>
      </c>
      <c r="O42" s="5" t="s">
        <v>208</v>
      </c>
      <c r="P42" s="5" t="s">
        <v>25</v>
      </c>
      <c r="Q42" s="6">
        <v>39.0</v>
      </c>
      <c r="R42" s="5" t="s">
        <v>26</v>
      </c>
      <c r="S42" s="5" t="s">
        <v>27</v>
      </c>
      <c r="T42" s="5" t="s">
        <v>26</v>
      </c>
    </row>
    <row r="43">
      <c r="E43" s="5">
        <v>41.0</v>
      </c>
      <c r="F43" s="5" t="s">
        <v>209</v>
      </c>
      <c r="H43" s="5" t="s">
        <v>210</v>
      </c>
      <c r="I43" s="5" t="s">
        <v>211</v>
      </c>
      <c r="J43" s="5" t="s">
        <v>71</v>
      </c>
      <c r="K43" s="5" t="s">
        <v>21</v>
      </c>
      <c r="L43" s="5" t="s">
        <v>212</v>
      </c>
      <c r="M43" s="5" t="s">
        <v>213</v>
      </c>
      <c r="N43" s="5" t="s">
        <v>214</v>
      </c>
      <c r="O43" s="5" t="s">
        <v>215</v>
      </c>
      <c r="P43" s="5" t="s">
        <v>25</v>
      </c>
      <c r="Q43" s="6">
        <v>39.0</v>
      </c>
      <c r="R43" s="5" t="s">
        <v>26</v>
      </c>
      <c r="S43" s="5" t="s">
        <v>27</v>
      </c>
      <c r="T43" s="5" t="s">
        <v>26</v>
      </c>
    </row>
    <row r="44">
      <c r="E44" s="5">
        <v>42.0</v>
      </c>
      <c r="F44" s="5" t="s">
        <v>209</v>
      </c>
      <c r="H44" s="5" t="s">
        <v>216</v>
      </c>
      <c r="I44" s="5" t="s">
        <v>211</v>
      </c>
      <c r="J44" s="5" t="s">
        <v>71</v>
      </c>
      <c r="K44" s="5" t="s">
        <v>21</v>
      </c>
      <c r="L44" s="5" t="s">
        <v>217</v>
      </c>
      <c r="M44" s="10" t="s">
        <v>218</v>
      </c>
      <c r="N44" s="5" t="s">
        <v>219</v>
      </c>
      <c r="O44" s="5" t="s">
        <v>215</v>
      </c>
      <c r="P44" s="5" t="s">
        <v>25</v>
      </c>
      <c r="Q44" s="6">
        <v>39.0</v>
      </c>
      <c r="R44" s="5" t="s">
        <v>26</v>
      </c>
      <c r="S44" s="5" t="s">
        <v>27</v>
      </c>
      <c r="T44" s="5" t="s">
        <v>26</v>
      </c>
    </row>
    <row r="45">
      <c r="E45" s="5">
        <v>43.0</v>
      </c>
      <c r="F45" s="5" t="s">
        <v>209</v>
      </c>
      <c r="H45" s="5" t="s">
        <v>220</v>
      </c>
      <c r="I45" s="5" t="s">
        <v>221</v>
      </c>
      <c r="J45" s="5" t="s">
        <v>71</v>
      </c>
      <c r="K45" s="5" t="s">
        <v>21</v>
      </c>
      <c r="L45" s="5" t="s">
        <v>222</v>
      </c>
      <c r="M45" s="5" t="s">
        <v>223</v>
      </c>
      <c r="N45" s="5" t="s">
        <v>224</v>
      </c>
      <c r="O45" s="5" t="s">
        <v>215</v>
      </c>
      <c r="P45" s="5" t="s">
        <v>25</v>
      </c>
      <c r="Q45" s="6">
        <v>39.0</v>
      </c>
      <c r="R45" s="5" t="s">
        <v>26</v>
      </c>
      <c r="S45" s="5" t="s">
        <v>27</v>
      </c>
      <c r="T45" s="5" t="s">
        <v>26</v>
      </c>
    </row>
    <row r="46">
      <c r="E46" s="5">
        <v>44.0</v>
      </c>
      <c r="F46" s="5" t="s">
        <v>209</v>
      </c>
      <c r="H46" s="5" t="s">
        <v>225</v>
      </c>
      <c r="I46" s="5" t="s">
        <v>221</v>
      </c>
      <c r="J46" s="5" t="s">
        <v>71</v>
      </c>
      <c r="K46" s="5" t="s">
        <v>21</v>
      </c>
      <c r="L46" s="5" t="s">
        <v>226</v>
      </c>
      <c r="M46" s="5" t="s">
        <v>227</v>
      </c>
      <c r="N46" s="5" t="s">
        <v>228</v>
      </c>
      <c r="O46" s="5" t="s">
        <v>215</v>
      </c>
      <c r="P46" s="5" t="s">
        <v>25</v>
      </c>
      <c r="Q46" s="6">
        <v>39.0</v>
      </c>
      <c r="R46" s="5" t="s">
        <v>26</v>
      </c>
      <c r="S46" s="5" t="s">
        <v>27</v>
      </c>
      <c r="T46" s="5" t="s">
        <v>26</v>
      </c>
    </row>
    <row r="47">
      <c r="E47" s="5">
        <v>45.0</v>
      </c>
      <c r="F47" s="5" t="s">
        <v>229</v>
      </c>
      <c r="H47" s="5" t="s">
        <v>230</v>
      </c>
      <c r="I47" s="5" t="s">
        <v>231</v>
      </c>
      <c r="J47" s="5" t="s">
        <v>232</v>
      </c>
      <c r="K47" s="5" t="s">
        <v>21</v>
      </c>
      <c r="L47" s="5" t="s">
        <v>233</v>
      </c>
      <c r="M47" s="5" t="s">
        <v>234</v>
      </c>
      <c r="N47" s="5" t="s">
        <v>235</v>
      </c>
      <c r="O47" s="5" t="s">
        <v>236</v>
      </c>
      <c r="P47" s="5" t="s">
        <v>25</v>
      </c>
      <c r="Q47" s="6">
        <v>40.0</v>
      </c>
      <c r="R47" s="5" t="s">
        <v>26</v>
      </c>
      <c r="S47" s="5" t="s">
        <v>27</v>
      </c>
      <c r="T47" s="5" t="s">
        <v>26</v>
      </c>
    </row>
    <row r="48">
      <c r="E48" s="5">
        <v>46.0</v>
      </c>
      <c r="F48" s="5" t="s">
        <v>229</v>
      </c>
      <c r="H48" s="5" t="s">
        <v>230</v>
      </c>
      <c r="I48" s="5" t="s">
        <v>231</v>
      </c>
      <c r="J48" s="5" t="s">
        <v>237</v>
      </c>
      <c r="K48" s="5" t="s">
        <v>21</v>
      </c>
      <c r="L48" s="5" t="s">
        <v>238</v>
      </c>
      <c r="M48" s="5" t="s">
        <v>239</v>
      </c>
      <c r="N48" s="5" t="s">
        <v>240</v>
      </c>
      <c r="P48" s="5" t="s">
        <v>25</v>
      </c>
      <c r="Q48" s="6">
        <v>40.0</v>
      </c>
      <c r="R48" s="5" t="s">
        <v>26</v>
      </c>
      <c r="S48" s="5" t="s">
        <v>27</v>
      </c>
      <c r="T48" s="5" t="s">
        <v>26</v>
      </c>
    </row>
    <row r="49">
      <c r="E49" s="5">
        <v>47.0</v>
      </c>
      <c r="F49" s="5" t="s">
        <v>229</v>
      </c>
      <c r="H49" s="5" t="s">
        <v>230</v>
      </c>
      <c r="I49" s="5" t="s">
        <v>231</v>
      </c>
      <c r="J49" s="5" t="s">
        <v>241</v>
      </c>
      <c r="K49" s="5" t="s">
        <v>21</v>
      </c>
      <c r="L49" s="5" t="s">
        <v>242</v>
      </c>
      <c r="M49" s="5" t="s">
        <v>243</v>
      </c>
      <c r="N49" s="5" t="s">
        <v>50</v>
      </c>
      <c r="P49" s="5" t="s">
        <v>25</v>
      </c>
      <c r="Q49" s="6">
        <v>40.0</v>
      </c>
      <c r="R49" s="5" t="s">
        <v>26</v>
      </c>
      <c r="S49" s="5" t="s">
        <v>27</v>
      </c>
      <c r="T49" s="5" t="s">
        <v>26</v>
      </c>
    </row>
    <row r="50">
      <c r="C50" s="4" t="s">
        <v>244</v>
      </c>
      <c r="E50" s="5">
        <v>48.0</v>
      </c>
      <c r="F50" s="5" t="s">
        <v>229</v>
      </c>
      <c r="H50" s="5" t="s">
        <v>230</v>
      </c>
      <c r="I50" s="5" t="s">
        <v>231</v>
      </c>
      <c r="J50" s="5" t="s">
        <v>241</v>
      </c>
      <c r="K50" s="5" t="s">
        <v>21</v>
      </c>
      <c r="L50" s="5" t="s">
        <v>245</v>
      </c>
      <c r="M50" s="5" t="s">
        <v>246</v>
      </c>
      <c r="N50" s="5" t="s">
        <v>247</v>
      </c>
      <c r="P50" s="5" t="s">
        <v>248</v>
      </c>
      <c r="Q50" s="6">
        <v>41.0</v>
      </c>
      <c r="R50" s="5" t="s">
        <v>249</v>
      </c>
      <c r="S50" s="5" t="s">
        <v>27</v>
      </c>
      <c r="T50" s="5" t="s">
        <v>250</v>
      </c>
    </row>
    <row r="51">
      <c r="E51" s="5">
        <v>49.0</v>
      </c>
      <c r="F51" s="5" t="s">
        <v>229</v>
      </c>
      <c r="H51" s="5" t="s">
        <v>230</v>
      </c>
      <c r="I51" s="5" t="s">
        <v>231</v>
      </c>
      <c r="J51" s="5" t="s">
        <v>237</v>
      </c>
      <c r="K51" s="5" t="s">
        <v>21</v>
      </c>
      <c r="L51" s="5" t="s">
        <v>251</v>
      </c>
      <c r="M51" s="5" t="s">
        <v>252</v>
      </c>
      <c r="N51" s="5" t="s">
        <v>253</v>
      </c>
      <c r="P51" s="5" t="s">
        <v>248</v>
      </c>
      <c r="Q51" s="6" t="s">
        <v>254</v>
      </c>
      <c r="R51" s="5" t="s">
        <v>249</v>
      </c>
      <c r="S51" s="5" t="s">
        <v>27</v>
      </c>
      <c r="T51" s="5" t="s">
        <v>250</v>
      </c>
    </row>
    <row r="52">
      <c r="E52" s="5">
        <v>50.0</v>
      </c>
      <c r="F52" s="5" t="s">
        <v>209</v>
      </c>
      <c r="H52" s="5" t="s">
        <v>255</v>
      </c>
      <c r="I52" s="5" t="s">
        <v>256</v>
      </c>
      <c r="J52" s="5" t="s">
        <v>81</v>
      </c>
      <c r="K52" s="5" t="s">
        <v>21</v>
      </c>
      <c r="L52" s="5" t="s">
        <v>257</v>
      </c>
      <c r="M52" s="5" t="s">
        <v>258</v>
      </c>
      <c r="N52" s="5" t="s">
        <v>259</v>
      </c>
      <c r="P52" s="5" t="s">
        <v>248</v>
      </c>
      <c r="Q52" s="6">
        <v>41.0</v>
      </c>
      <c r="R52" s="5" t="s">
        <v>249</v>
      </c>
      <c r="S52" s="5" t="s">
        <v>27</v>
      </c>
      <c r="T52" s="5" t="s">
        <v>250</v>
      </c>
    </row>
    <row r="53">
      <c r="E53" s="5">
        <v>51.0</v>
      </c>
      <c r="F53" s="5" t="s">
        <v>95</v>
      </c>
      <c r="H53" s="5" t="s">
        <v>260</v>
      </c>
      <c r="I53" s="5" t="s">
        <v>261</v>
      </c>
      <c r="J53" s="5" t="s">
        <v>262</v>
      </c>
      <c r="K53" s="5" t="s">
        <v>21</v>
      </c>
      <c r="L53" s="5" t="s">
        <v>263</v>
      </c>
      <c r="M53" s="5" t="s">
        <v>264</v>
      </c>
      <c r="N53" s="5" t="s">
        <v>265</v>
      </c>
      <c r="P53" s="5" t="s">
        <v>248</v>
      </c>
      <c r="Q53" s="6">
        <v>41.0</v>
      </c>
      <c r="R53" s="5" t="s">
        <v>249</v>
      </c>
      <c r="S53" s="5" t="s">
        <v>27</v>
      </c>
      <c r="T53" s="5" t="s">
        <v>250</v>
      </c>
    </row>
    <row r="54">
      <c r="E54" s="5">
        <v>52.0</v>
      </c>
      <c r="F54" s="5" t="s">
        <v>95</v>
      </c>
      <c r="H54" s="5" t="s">
        <v>166</v>
      </c>
      <c r="I54" s="5" t="s">
        <v>167</v>
      </c>
      <c r="J54" s="5" t="s">
        <v>148</v>
      </c>
      <c r="K54" s="5" t="s">
        <v>21</v>
      </c>
      <c r="L54" s="5" t="s">
        <v>21</v>
      </c>
      <c r="M54" s="5" t="s">
        <v>21</v>
      </c>
      <c r="N54" s="5" t="s">
        <v>266</v>
      </c>
      <c r="O54" s="5" t="s">
        <v>267</v>
      </c>
      <c r="P54" s="5" t="s">
        <v>248</v>
      </c>
      <c r="Q54" s="6">
        <v>42.0</v>
      </c>
      <c r="R54" s="5" t="s">
        <v>249</v>
      </c>
      <c r="S54" s="5" t="s">
        <v>27</v>
      </c>
      <c r="T54" s="5" t="s">
        <v>250</v>
      </c>
    </row>
    <row r="55">
      <c r="E55" s="5">
        <v>53.0</v>
      </c>
      <c r="F55" s="5" t="s">
        <v>95</v>
      </c>
      <c r="H55" s="5" t="s">
        <v>166</v>
      </c>
      <c r="I55" s="5" t="s">
        <v>167</v>
      </c>
      <c r="J55" s="5" t="s">
        <v>157</v>
      </c>
      <c r="K55" s="5" t="s">
        <v>21</v>
      </c>
      <c r="L55" s="5" t="s">
        <v>21</v>
      </c>
      <c r="M55" s="5" t="s">
        <v>21</v>
      </c>
      <c r="N55" s="5" t="s">
        <v>266</v>
      </c>
      <c r="O55" s="5" t="s">
        <v>158</v>
      </c>
      <c r="P55" s="5" t="s">
        <v>248</v>
      </c>
      <c r="Q55" s="6">
        <v>42.0</v>
      </c>
      <c r="R55" s="5" t="s">
        <v>249</v>
      </c>
      <c r="S55" s="5" t="s">
        <v>27</v>
      </c>
      <c r="T55" s="5" t="s">
        <v>250</v>
      </c>
    </row>
    <row r="56">
      <c r="E56" s="5">
        <v>54.0</v>
      </c>
      <c r="F56" s="5" t="s">
        <v>95</v>
      </c>
      <c r="H56" s="5" t="s">
        <v>166</v>
      </c>
      <c r="I56" s="5" t="s">
        <v>167</v>
      </c>
      <c r="J56" s="5" t="s">
        <v>159</v>
      </c>
      <c r="K56" s="5" t="s">
        <v>21</v>
      </c>
      <c r="L56" s="5" t="s">
        <v>21</v>
      </c>
      <c r="M56" s="5" t="s">
        <v>21</v>
      </c>
      <c r="N56" s="5" t="s">
        <v>266</v>
      </c>
      <c r="O56" s="5" t="s">
        <v>268</v>
      </c>
      <c r="P56" s="5" t="s">
        <v>248</v>
      </c>
      <c r="Q56" s="6">
        <v>42.0</v>
      </c>
      <c r="R56" s="5" t="s">
        <v>249</v>
      </c>
      <c r="S56" s="5" t="s">
        <v>27</v>
      </c>
      <c r="T56" s="5" t="s">
        <v>250</v>
      </c>
    </row>
    <row r="57">
      <c r="E57" s="5">
        <v>55.0</v>
      </c>
      <c r="F57" s="5" t="s">
        <v>95</v>
      </c>
      <c r="H57" s="5" t="s">
        <v>146</v>
      </c>
      <c r="I57" s="5" t="s">
        <v>147</v>
      </c>
      <c r="J57" s="5" t="s">
        <v>148</v>
      </c>
      <c r="K57" s="5" t="s">
        <v>21</v>
      </c>
      <c r="L57" s="5" t="s">
        <v>21</v>
      </c>
      <c r="M57" s="5" t="s">
        <v>21</v>
      </c>
      <c r="N57" s="5" t="s">
        <v>266</v>
      </c>
      <c r="O57" s="5" t="s">
        <v>267</v>
      </c>
      <c r="P57" s="5" t="s">
        <v>248</v>
      </c>
      <c r="Q57" s="6">
        <v>42.0</v>
      </c>
      <c r="R57" s="5" t="s">
        <v>249</v>
      </c>
      <c r="S57" s="5" t="s">
        <v>27</v>
      </c>
      <c r="T57" s="5" t="s">
        <v>250</v>
      </c>
    </row>
    <row r="58">
      <c r="E58" s="5">
        <v>56.0</v>
      </c>
      <c r="F58" s="5" t="s">
        <v>95</v>
      </c>
      <c r="H58" s="5" t="s">
        <v>146</v>
      </c>
      <c r="I58" s="5" t="s">
        <v>147</v>
      </c>
      <c r="J58" s="5" t="s">
        <v>157</v>
      </c>
      <c r="K58" s="5" t="s">
        <v>21</v>
      </c>
      <c r="L58" s="5" t="s">
        <v>21</v>
      </c>
      <c r="M58" s="5" t="s">
        <v>21</v>
      </c>
      <c r="N58" s="5" t="s">
        <v>266</v>
      </c>
      <c r="O58" s="5" t="s">
        <v>158</v>
      </c>
      <c r="P58" s="5" t="s">
        <v>248</v>
      </c>
      <c r="Q58" s="6">
        <v>42.0</v>
      </c>
      <c r="R58" s="5" t="s">
        <v>249</v>
      </c>
      <c r="S58" s="5" t="s">
        <v>27</v>
      </c>
      <c r="T58" s="5" t="s">
        <v>250</v>
      </c>
    </row>
    <row r="59">
      <c r="E59" s="5">
        <v>57.0</v>
      </c>
      <c r="F59" s="5" t="s">
        <v>95</v>
      </c>
      <c r="H59" s="5" t="s">
        <v>146</v>
      </c>
      <c r="I59" s="5" t="s">
        <v>147</v>
      </c>
      <c r="J59" s="5" t="s">
        <v>159</v>
      </c>
      <c r="K59" s="5" t="s">
        <v>21</v>
      </c>
      <c r="L59" s="5" t="s">
        <v>21</v>
      </c>
      <c r="M59" s="5" t="s">
        <v>21</v>
      </c>
      <c r="N59" s="5" t="s">
        <v>266</v>
      </c>
      <c r="O59" s="5" t="s">
        <v>268</v>
      </c>
      <c r="P59" s="5" t="s">
        <v>248</v>
      </c>
      <c r="Q59" s="6">
        <v>42.0</v>
      </c>
      <c r="R59" s="5" t="s">
        <v>249</v>
      </c>
      <c r="S59" s="5" t="s">
        <v>27</v>
      </c>
      <c r="T59" s="5" t="s">
        <v>250</v>
      </c>
    </row>
    <row r="60">
      <c r="E60" s="5">
        <v>58.0</v>
      </c>
      <c r="F60" s="5" t="s">
        <v>95</v>
      </c>
      <c r="H60" s="5" t="s">
        <v>161</v>
      </c>
      <c r="I60" s="5" t="s">
        <v>162</v>
      </c>
      <c r="J60" s="5" t="s">
        <v>148</v>
      </c>
      <c r="K60" s="5" t="s">
        <v>21</v>
      </c>
      <c r="L60" s="5" t="s">
        <v>21</v>
      </c>
      <c r="M60" s="5" t="s">
        <v>21</v>
      </c>
      <c r="N60" s="5" t="s">
        <v>266</v>
      </c>
      <c r="O60" s="5" t="s">
        <v>267</v>
      </c>
      <c r="P60" s="5" t="s">
        <v>248</v>
      </c>
      <c r="Q60" s="6">
        <v>42.0</v>
      </c>
      <c r="R60" s="5" t="s">
        <v>249</v>
      </c>
      <c r="S60" s="5" t="s">
        <v>27</v>
      </c>
      <c r="T60" s="5" t="s">
        <v>250</v>
      </c>
    </row>
    <row r="61">
      <c r="E61" s="5">
        <v>59.0</v>
      </c>
      <c r="F61" s="5" t="s">
        <v>95</v>
      </c>
      <c r="H61" s="5" t="s">
        <v>161</v>
      </c>
      <c r="I61" s="5" t="s">
        <v>162</v>
      </c>
      <c r="J61" s="5" t="s">
        <v>157</v>
      </c>
      <c r="K61" s="5" t="s">
        <v>21</v>
      </c>
      <c r="L61" s="5" t="s">
        <v>21</v>
      </c>
      <c r="M61" s="5" t="s">
        <v>21</v>
      </c>
      <c r="N61" s="5" t="s">
        <v>266</v>
      </c>
      <c r="O61" s="5" t="s">
        <v>158</v>
      </c>
      <c r="P61" s="5" t="s">
        <v>248</v>
      </c>
      <c r="Q61" s="6">
        <v>42.0</v>
      </c>
      <c r="R61" s="5" t="s">
        <v>249</v>
      </c>
      <c r="S61" s="5" t="s">
        <v>27</v>
      </c>
      <c r="T61" s="5" t="s">
        <v>250</v>
      </c>
    </row>
    <row r="62">
      <c r="E62" s="5">
        <v>60.0</v>
      </c>
      <c r="F62" s="5" t="s">
        <v>95</v>
      </c>
      <c r="H62" s="5" t="s">
        <v>161</v>
      </c>
      <c r="I62" s="5" t="s">
        <v>162</v>
      </c>
      <c r="J62" s="5" t="s">
        <v>159</v>
      </c>
      <c r="K62" s="5" t="s">
        <v>21</v>
      </c>
      <c r="L62" s="5" t="s">
        <v>21</v>
      </c>
      <c r="M62" s="5" t="s">
        <v>21</v>
      </c>
      <c r="N62" s="5" t="s">
        <v>266</v>
      </c>
      <c r="O62" s="5" t="s">
        <v>268</v>
      </c>
      <c r="P62" s="5" t="s">
        <v>248</v>
      </c>
      <c r="Q62" s="6">
        <v>42.0</v>
      </c>
      <c r="R62" s="5" t="s">
        <v>249</v>
      </c>
      <c r="S62" s="5" t="s">
        <v>27</v>
      </c>
      <c r="T62" s="5" t="s">
        <v>250</v>
      </c>
    </row>
    <row r="63">
      <c r="E63" s="5">
        <v>61.0</v>
      </c>
      <c r="F63" s="5" t="s">
        <v>68</v>
      </c>
      <c r="H63" s="5" t="s">
        <v>269</v>
      </c>
      <c r="I63" s="5" t="s">
        <v>29</v>
      </c>
      <c r="J63" s="5" t="s">
        <v>71</v>
      </c>
      <c r="K63" s="5" t="s">
        <v>21</v>
      </c>
      <c r="L63" s="5" t="s">
        <v>270</v>
      </c>
      <c r="M63" s="5" t="s">
        <v>21</v>
      </c>
      <c r="N63" s="5" t="s">
        <v>271</v>
      </c>
      <c r="O63" s="5" t="s">
        <v>272</v>
      </c>
      <c r="P63" s="5" t="s">
        <v>248</v>
      </c>
      <c r="Q63" s="6">
        <v>42.0</v>
      </c>
      <c r="R63" s="5" t="s">
        <v>249</v>
      </c>
      <c r="S63" s="5" t="s">
        <v>27</v>
      </c>
      <c r="T63" s="5" t="s">
        <v>250</v>
      </c>
    </row>
    <row r="64">
      <c r="E64" s="5">
        <v>62.0</v>
      </c>
      <c r="F64" s="5" t="s">
        <v>68</v>
      </c>
      <c r="H64" s="5" t="s">
        <v>114</v>
      </c>
      <c r="I64" s="5" t="s">
        <v>107</v>
      </c>
      <c r="J64" s="5" t="s">
        <v>71</v>
      </c>
      <c r="K64" s="5" t="s">
        <v>21</v>
      </c>
      <c r="L64" s="5" t="s">
        <v>273</v>
      </c>
      <c r="M64" s="5" t="s">
        <v>21</v>
      </c>
      <c r="N64" s="5" t="s">
        <v>274</v>
      </c>
      <c r="O64" s="5" t="s">
        <v>272</v>
      </c>
      <c r="P64" s="5" t="s">
        <v>248</v>
      </c>
      <c r="Q64" s="6">
        <v>42.0</v>
      </c>
      <c r="R64" s="5" t="s">
        <v>249</v>
      </c>
      <c r="S64" s="5" t="s">
        <v>27</v>
      </c>
      <c r="T64" s="5" t="s">
        <v>250</v>
      </c>
    </row>
    <row r="65">
      <c r="E65" s="5">
        <v>63.0</v>
      </c>
      <c r="F65" s="5" t="s">
        <v>68</v>
      </c>
      <c r="H65" s="5" t="s">
        <v>275</v>
      </c>
      <c r="I65" s="5" t="s">
        <v>39</v>
      </c>
      <c r="J65" s="5" t="s">
        <v>71</v>
      </c>
      <c r="K65" s="5" t="s">
        <v>21</v>
      </c>
      <c r="L65" s="12" t="s">
        <v>276</v>
      </c>
      <c r="M65" s="12" t="s">
        <v>277</v>
      </c>
      <c r="N65" s="5" t="s">
        <v>266</v>
      </c>
      <c r="O65" s="5" t="s">
        <v>272</v>
      </c>
      <c r="P65" s="5" t="s">
        <v>248</v>
      </c>
      <c r="Q65" s="6">
        <v>42.0</v>
      </c>
      <c r="R65" s="5" t="s">
        <v>249</v>
      </c>
      <c r="S65" s="5" t="s">
        <v>27</v>
      </c>
      <c r="T65" s="5" t="s">
        <v>250</v>
      </c>
    </row>
    <row r="66">
      <c r="E66" s="5">
        <v>64.0</v>
      </c>
      <c r="F66" s="5" t="s">
        <v>68</v>
      </c>
      <c r="H66" s="5" t="s">
        <v>278</v>
      </c>
      <c r="I66" s="5" t="s">
        <v>107</v>
      </c>
      <c r="J66" s="5" t="s">
        <v>71</v>
      </c>
      <c r="K66" s="5" t="s">
        <v>21</v>
      </c>
      <c r="L66" s="5" t="s">
        <v>279</v>
      </c>
      <c r="M66" s="5" t="s">
        <v>280</v>
      </c>
      <c r="N66" s="5" t="s">
        <v>266</v>
      </c>
      <c r="O66" s="5" t="s">
        <v>272</v>
      </c>
      <c r="P66" s="5" t="s">
        <v>248</v>
      </c>
      <c r="Q66" s="6">
        <v>42.0</v>
      </c>
      <c r="R66" s="5" t="s">
        <v>249</v>
      </c>
      <c r="S66" s="5" t="s">
        <v>27</v>
      </c>
      <c r="T66" s="5" t="s">
        <v>250</v>
      </c>
    </row>
    <row r="67">
      <c r="E67" s="5">
        <v>65.0</v>
      </c>
      <c r="F67" s="5" t="s">
        <v>281</v>
      </c>
      <c r="H67" s="5" t="s">
        <v>282</v>
      </c>
      <c r="I67" s="5" t="s">
        <v>283</v>
      </c>
      <c r="J67" s="5" t="s">
        <v>284</v>
      </c>
      <c r="K67" s="5" t="s">
        <v>21</v>
      </c>
      <c r="L67" s="5" t="s">
        <v>285</v>
      </c>
      <c r="M67" s="5" t="s">
        <v>21</v>
      </c>
      <c r="N67" s="5" t="s">
        <v>286</v>
      </c>
      <c r="P67" s="5" t="s">
        <v>248</v>
      </c>
      <c r="Q67" s="6">
        <v>42.0</v>
      </c>
      <c r="R67" s="5" t="s">
        <v>249</v>
      </c>
      <c r="S67" s="5" t="s">
        <v>27</v>
      </c>
      <c r="T67" s="5" t="s">
        <v>250</v>
      </c>
    </row>
    <row r="68">
      <c r="E68" s="5">
        <v>66.0</v>
      </c>
      <c r="F68" s="5" t="s">
        <v>17</v>
      </c>
      <c r="H68" s="5" t="s">
        <v>80</v>
      </c>
      <c r="I68" s="5" t="s">
        <v>19</v>
      </c>
      <c r="J68" s="5" t="s">
        <v>287</v>
      </c>
      <c r="K68" s="5" t="s">
        <v>21</v>
      </c>
      <c r="L68" s="5" t="s">
        <v>288</v>
      </c>
      <c r="M68" s="5" t="s">
        <v>21</v>
      </c>
      <c r="N68" s="5" t="s">
        <v>289</v>
      </c>
      <c r="P68" s="5" t="s">
        <v>248</v>
      </c>
      <c r="Q68" s="6">
        <v>435.0</v>
      </c>
      <c r="R68" s="5" t="s">
        <v>249</v>
      </c>
      <c r="S68" s="5" t="s">
        <v>27</v>
      </c>
      <c r="T68" s="5" t="s">
        <v>250</v>
      </c>
    </row>
    <row r="69">
      <c r="E69" s="5">
        <v>67.0</v>
      </c>
      <c r="F69" s="5" t="s">
        <v>95</v>
      </c>
      <c r="H69" s="5" t="s">
        <v>290</v>
      </c>
      <c r="I69" s="5" t="s">
        <v>291</v>
      </c>
      <c r="J69" s="5" t="s">
        <v>71</v>
      </c>
      <c r="K69" s="5" t="s">
        <v>21</v>
      </c>
      <c r="L69" s="5" t="s">
        <v>292</v>
      </c>
      <c r="M69" s="5" t="s">
        <v>293</v>
      </c>
      <c r="N69" s="5" t="s">
        <v>294</v>
      </c>
      <c r="P69" s="5" t="s">
        <v>248</v>
      </c>
      <c r="Q69" s="6">
        <v>42.0</v>
      </c>
      <c r="R69" s="5" t="s">
        <v>249</v>
      </c>
      <c r="S69" s="5" t="s">
        <v>27</v>
      </c>
      <c r="T69" s="5" t="s">
        <v>250</v>
      </c>
    </row>
    <row r="70">
      <c r="E70" s="5">
        <v>68.0</v>
      </c>
      <c r="F70" s="5" t="s">
        <v>95</v>
      </c>
      <c r="G70" s="5" t="s">
        <v>134</v>
      </c>
      <c r="H70" s="5" t="s">
        <v>135</v>
      </c>
      <c r="I70" s="5" t="s">
        <v>136</v>
      </c>
      <c r="J70" s="5" t="s">
        <v>295</v>
      </c>
      <c r="K70" s="5" t="s">
        <v>21</v>
      </c>
      <c r="L70" s="5" t="s">
        <v>296</v>
      </c>
      <c r="M70" s="5" t="s">
        <v>21</v>
      </c>
      <c r="N70" s="5" t="s">
        <v>297</v>
      </c>
      <c r="P70" s="5" t="s">
        <v>248</v>
      </c>
      <c r="Q70" s="6">
        <v>42.0</v>
      </c>
      <c r="R70" s="5" t="s">
        <v>249</v>
      </c>
      <c r="S70" s="5" t="s">
        <v>27</v>
      </c>
      <c r="T70" s="5" t="s">
        <v>250</v>
      </c>
    </row>
    <row r="71">
      <c r="E71" s="5">
        <v>69.0</v>
      </c>
      <c r="F71" s="5" t="s">
        <v>17</v>
      </c>
      <c r="H71" s="5" t="s">
        <v>46</v>
      </c>
      <c r="I71" s="5" t="s">
        <v>19</v>
      </c>
      <c r="J71" s="5" t="s">
        <v>298</v>
      </c>
      <c r="K71" s="5" t="s">
        <v>21</v>
      </c>
      <c r="L71" s="5" t="s">
        <v>299</v>
      </c>
      <c r="M71" s="5" t="s">
        <v>300</v>
      </c>
      <c r="N71" s="5" t="s">
        <v>301</v>
      </c>
      <c r="P71" s="5" t="s">
        <v>248</v>
      </c>
      <c r="Q71" s="6">
        <v>43.0</v>
      </c>
      <c r="R71" s="5" t="s">
        <v>249</v>
      </c>
      <c r="S71" s="5" t="s">
        <v>27</v>
      </c>
      <c r="T71" s="5" t="s">
        <v>250</v>
      </c>
    </row>
    <row r="72">
      <c r="E72" s="5">
        <v>70.0</v>
      </c>
      <c r="F72" s="5" t="s">
        <v>52</v>
      </c>
      <c r="G72" s="5"/>
      <c r="H72" s="5" t="s">
        <v>19</v>
      </c>
      <c r="I72" s="5" t="s">
        <v>302</v>
      </c>
      <c r="J72" s="5" t="s">
        <v>303</v>
      </c>
      <c r="K72" s="5" t="s">
        <v>21</v>
      </c>
      <c r="L72" s="5" t="s">
        <v>251</v>
      </c>
      <c r="M72" s="5" t="s">
        <v>252</v>
      </c>
      <c r="N72" s="5" t="s">
        <v>253</v>
      </c>
      <c r="P72" s="5" t="s">
        <v>248</v>
      </c>
      <c r="Q72" s="6">
        <v>43.0</v>
      </c>
      <c r="R72" s="5" t="s">
        <v>249</v>
      </c>
      <c r="S72" s="5" t="s">
        <v>27</v>
      </c>
      <c r="T72" s="5" t="s">
        <v>250</v>
      </c>
    </row>
    <row r="73">
      <c r="C73" s="4" t="s">
        <v>304</v>
      </c>
      <c r="E73" s="5">
        <v>71.0</v>
      </c>
      <c r="F73" s="5" t="s">
        <v>209</v>
      </c>
      <c r="H73" s="5" t="s">
        <v>305</v>
      </c>
      <c r="I73" s="5" t="s">
        <v>306</v>
      </c>
      <c r="J73" s="5" t="s">
        <v>71</v>
      </c>
      <c r="K73" s="5" t="s">
        <v>21</v>
      </c>
      <c r="L73" s="5" t="s">
        <v>307</v>
      </c>
      <c r="M73" s="5" t="s">
        <v>308</v>
      </c>
      <c r="N73" s="5" t="s">
        <v>309</v>
      </c>
      <c r="O73" s="5" t="s">
        <v>310</v>
      </c>
      <c r="P73" s="5" t="s">
        <v>311</v>
      </c>
      <c r="Q73" s="6">
        <v>18.0</v>
      </c>
      <c r="R73" s="5" t="s">
        <v>312</v>
      </c>
      <c r="S73" s="5" t="s">
        <v>27</v>
      </c>
      <c r="T73" s="5" t="s">
        <v>313</v>
      </c>
    </row>
    <row r="74">
      <c r="E74" s="5">
        <v>72.0</v>
      </c>
      <c r="F74" s="5" t="s">
        <v>17</v>
      </c>
      <c r="H74" s="5" t="s">
        <v>61</v>
      </c>
      <c r="I74" s="5" t="s">
        <v>19</v>
      </c>
      <c r="J74" s="5" t="s">
        <v>20</v>
      </c>
      <c r="K74" s="5" t="s">
        <v>21</v>
      </c>
      <c r="L74" s="5" t="s">
        <v>21</v>
      </c>
      <c r="M74" s="5" t="s">
        <v>21</v>
      </c>
      <c r="N74" s="5" t="s">
        <v>266</v>
      </c>
      <c r="P74" s="5" t="s">
        <v>311</v>
      </c>
      <c r="Q74" s="6">
        <v>19.0</v>
      </c>
      <c r="R74" s="5" t="s">
        <v>312</v>
      </c>
      <c r="S74" s="5" t="s">
        <v>27</v>
      </c>
      <c r="T74" s="5" t="s">
        <v>313</v>
      </c>
    </row>
    <row r="75">
      <c r="E75" s="5">
        <v>73.0</v>
      </c>
      <c r="F75" s="5" t="s">
        <v>17</v>
      </c>
      <c r="H75" s="5" t="s">
        <v>61</v>
      </c>
      <c r="I75" s="5" t="s">
        <v>19</v>
      </c>
      <c r="J75" s="5" t="s">
        <v>81</v>
      </c>
      <c r="K75" s="5" t="s">
        <v>21</v>
      </c>
      <c r="L75" s="5" t="s">
        <v>21</v>
      </c>
      <c r="M75" s="5" t="s">
        <v>21</v>
      </c>
      <c r="N75" s="5" t="s">
        <v>266</v>
      </c>
      <c r="P75" s="5" t="s">
        <v>311</v>
      </c>
      <c r="Q75" s="6">
        <v>19.0</v>
      </c>
      <c r="R75" s="5" t="s">
        <v>312</v>
      </c>
      <c r="S75" s="5" t="s">
        <v>27</v>
      </c>
      <c r="T75" s="5" t="s">
        <v>313</v>
      </c>
    </row>
    <row r="76">
      <c r="E76" s="5">
        <v>74.0</v>
      </c>
      <c r="F76" s="5" t="s">
        <v>95</v>
      </c>
      <c r="H76" s="5" t="s">
        <v>260</v>
      </c>
      <c r="I76" s="5" t="s">
        <v>261</v>
      </c>
      <c r="J76" s="5" t="s">
        <v>314</v>
      </c>
      <c r="K76" s="5" t="s">
        <v>21</v>
      </c>
      <c r="L76" s="5" t="s">
        <v>21</v>
      </c>
      <c r="M76" s="5" t="s">
        <v>21</v>
      </c>
      <c r="N76" s="5" t="s">
        <v>266</v>
      </c>
      <c r="P76" s="5" t="s">
        <v>311</v>
      </c>
      <c r="Q76" s="6">
        <v>20.0</v>
      </c>
      <c r="R76" s="5" t="s">
        <v>312</v>
      </c>
      <c r="S76" s="5" t="s">
        <v>27</v>
      </c>
      <c r="T76" s="5" t="s">
        <v>313</v>
      </c>
    </row>
    <row r="77">
      <c r="E77" s="5">
        <v>75.0</v>
      </c>
      <c r="F77" s="5" t="s">
        <v>95</v>
      </c>
      <c r="H77" s="5" t="s">
        <v>260</v>
      </c>
      <c r="I77" s="5" t="s">
        <v>261</v>
      </c>
      <c r="J77" s="5" t="s">
        <v>315</v>
      </c>
      <c r="K77" s="5" t="s">
        <v>21</v>
      </c>
      <c r="L77" s="5" t="s">
        <v>21</v>
      </c>
      <c r="M77" s="5" t="s">
        <v>21</v>
      </c>
      <c r="N77" s="5" t="s">
        <v>266</v>
      </c>
      <c r="P77" s="5" t="s">
        <v>311</v>
      </c>
      <c r="Q77" s="6">
        <v>20.0</v>
      </c>
      <c r="R77" s="5" t="s">
        <v>312</v>
      </c>
      <c r="S77" s="5" t="s">
        <v>27</v>
      </c>
      <c r="T77" s="5" t="s">
        <v>313</v>
      </c>
    </row>
    <row r="78">
      <c r="E78" s="5">
        <v>76.0</v>
      </c>
      <c r="F78" s="5" t="s">
        <v>281</v>
      </c>
      <c r="H78" s="5" t="s">
        <v>316</v>
      </c>
      <c r="I78" s="5" t="s">
        <v>317</v>
      </c>
      <c r="J78" s="5" t="s">
        <v>318</v>
      </c>
      <c r="K78" s="5" t="s">
        <v>21</v>
      </c>
      <c r="L78" s="5" t="s">
        <v>319</v>
      </c>
      <c r="M78" s="5" t="s">
        <v>320</v>
      </c>
      <c r="N78" s="5" t="s">
        <v>321</v>
      </c>
      <c r="P78" s="5" t="s">
        <v>311</v>
      </c>
      <c r="Q78" s="6">
        <v>20.0</v>
      </c>
      <c r="R78" s="5" t="s">
        <v>312</v>
      </c>
      <c r="S78" s="5" t="s">
        <v>27</v>
      </c>
      <c r="T78" s="5" t="s">
        <v>313</v>
      </c>
    </row>
    <row r="79">
      <c r="E79" s="5">
        <v>77.0</v>
      </c>
      <c r="F79" s="5" t="s">
        <v>281</v>
      </c>
      <c r="H79" s="5" t="s">
        <v>316</v>
      </c>
      <c r="I79" s="5" t="s">
        <v>322</v>
      </c>
      <c r="J79" s="5" t="s">
        <v>318</v>
      </c>
      <c r="K79" s="5" t="s">
        <v>21</v>
      </c>
      <c r="L79" s="5" t="s">
        <v>323</v>
      </c>
      <c r="M79" s="5" t="s">
        <v>324</v>
      </c>
      <c r="N79" s="5" t="s">
        <v>325</v>
      </c>
      <c r="P79" s="5" t="s">
        <v>311</v>
      </c>
      <c r="Q79" s="6">
        <v>21.0</v>
      </c>
      <c r="R79" s="5" t="s">
        <v>312</v>
      </c>
      <c r="S79" s="5" t="s">
        <v>27</v>
      </c>
      <c r="T79" s="5" t="s">
        <v>313</v>
      </c>
    </row>
    <row r="80">
      <c r="E80" s="5">
        <v>78.0</v>
      </c>
      <c r="F80" s="5" t="s">
        <v>281</v>
      </c>
      <c r="H80" s="5" t="s">
        <v>29</v>
      </c>
      <c r="I80" s="5" t="s">
        <v>316</v>
      </c>
      <c r="J80" s="5" t="s">
        <v>318</v>
      </c>
      <c r="K80" s="5" t="s">
        <v>21</v>
      </c>
      <c r="L80" s="5" t="s">
        <v>326</v>
      </c>
      <c r="M80" s="5" t="s">
        <v>327</v>
      </c>
      <c r="N80" s="5" t="s">
        <v>328</v>
      </c>
      <c r="P80" s="5" t="s">
        <v>311</v>
      </c>
      <c r="Q80" s="6">
        <v>21.0</v>
      </c>
      <c r="R80" s="5" t="s">
        <v>312</v>
      </c>
      <c r="S80" s="5" t="s">
        <v>27</v>
      </c>
      <c r="T80" s="5" t="s">
        <v>313</v>
      </c>
    </row>
    <row r="81">
      <c r="E81" s="5">
        <v>79.0</v>
      </c>
      <c r="F81" s="5" t="s">
        <v>281</v>
      </c>
      <c r="H81" s="5" t="s">
        <v>29</v>
      </c>
      <c r="I81" s="5" t="s">
        <v>322</v>
      </c>
      <c r="J81" s="5" t="s">
        <v>318</v>
      </c>
      <c r="K81" s="5" t="s">
        <v>21</v>
      </c>
      <c r="L81" s="5" t="s">
        <v>329</v>
      </c>
      <c r="M81" s="5" t="s">
        <v>330</v>
      </c>
      <c r="N81" s="5" t="s">
        <v>331</v>
      </c>
      <c r="P81" s="5" t="s">
        <v>311</v>
      </c>
      <c r="Q81" s="6">
        <v>21.0</v>
      </c>
      <c r="R81" s="5" t="s">
        <v>312</v>
      </c>
      <c r="S81" s="5" t="s">
        <v>27</v>
      </c>
      <c r="T81" s="5" t="s">
        <v>313</v>
      </c>
    </row>
    <row r="82">
      <c r="E82" s="5">
        <v>80.0</v>
      </c>
      <c r="F82" s="5" t="s">
        <v>281</v>
      </c>
      <c r="H82" s="5" t="s">
        <v>29</v>
      </c>
      <c r="I82" s="5" t="s">
        <v>317</v>
      </c>
      <c r="J82" s="5" t="s">
        <v>318</v>
      </c>
      <c r="K82" s="5" t="s">
        <v>21</v>
      </c>
      <c r="L82" s="5" t="s">
        <v>332</v>
      </c>
      <c r="M82" s="5" t="s">
        <v>330</v>
      </c>
      <c r="N82" s="5" t="s">
        <v>331</v>
      </c>
      <c r="P82" s="5" t="s">
        <v>311</v>
      </c>
      <c r="Q82" s="6">
        <v>21.0</v>
      </c>
      <c r="R82" s="5" t="s">
        <v>312</v>
      </c>
      <c r="S82" s="5" t="s">
        <v>27</v>
      </c>
      <c r="T82" s="5" t="s">
        <v>313</v>
      </c>
    </row>
    <row r="83">
      <c r="E83" s="5">
        <v>81.0</v>
      </c>
      <c r="F83" s="5" t="s">
        <v>281</v>
      </c>
      <c r="H83" s="5" t="s">
        <v>317</v>
      </c>
      <c r="I83" s="5" t="s">
        <v>316</v>
      </c>
      <c r="J83" s="5" t="s">
        <v>318</v>
      </c>
      <c r="K83" s="5" t="s">
        <v>21</v>
      </c>
      <c r="L83" s="5" t="s">
        <v>333</v>
      </c>
      <c r="M83" s="5" t="s">
        <v>334</v>
      </c>
      <c r="N83" s="5" t="s">
        <v>335</v>
      </c>
      <c r="P83" s="5" t="s">
        <v>311</v>
      </c>
      <c r="Q83" s="6">
        <v>21.0</v>
      </c>
      <c r="R83" s="5" t="s">
        <v>312</v>
      </c>
      <c r="S83" s="5" t="s">
        <v>27</v>
      </c>
      <c r="T83" s="5" t="s">
        <v>313</v>
      </c>
    </row>
    <row r="84">
      <c r="E84" s="5">
        <v>82.0</v>
      </c>
      <c r="F84" s="5" t="s">
        <v>68</v>
      </c>
      <c r="H84" s="5" t="s">
        <v>39</v>
      </c>
      <c r="I84" s="5" t="s">
        <v>54</v>
      </c>
      <c r="J84" s="5" t="s">
        <v>336</v>
      </c>
      <c r="K84" s="5" t="s">
        <v>21</v>
      </c>
      <c r="L84" s="5" t="s">
        <v>337</v>
      </c>
      <c r="M84" s="5" t="s">
        <v>338</v>
      </c>
      <c r="N84" s="5" t="s">
        <v>339</v>
      </c>
      <c r="P84" s="5" t="s">
        <v>311</v>
      </c>
      <c r="Q84" s="6">
        <v>27.0</v>
      </c>
      <c r="R84" s="5" t="s">
        <v>312</v>
      </c>
      <c r="S84" s="5" t="s">
        <v>27</v>
      </c>
      <c r="T84" s="5" t="s">
        <v>313</v>
      </c>
    </row>
    <row r="85">
      <c r="E85" s="5">
        <v>83.0</v>
      </c>
      <c r="F85" s="5" t="s">
        <v>68</v>
      </c>
      <c r="H85" s="5" t="s">
        <v>29</v>
      </c>
      <c r="I85" s="5" t="s">
        <v>80</v>
      </c>
      <c r="J85" s="5" t="s">
        <v>336</v>
      </c>
      <c r="K85" s="5" t="s">
        <v>21</v>
      </c>
      <c r="L85" s="5" t="s">
        <v>340</v>
      </c>
      <c r="M85" s="5" t="s">
        <v>341</v>
      </c>
      <c r="N85" s="5" t="s">
        <v>342</v>
      </c>
      <c r="P85" s="5" t="s">
        <v>311</v>
      </c>
      <c r="Q85" s="6">
        <v>27.0</v>
      </c>
      <c r="R85" s="5" t="s">
        <v>312</v>
      </c>
      <c r="S85" s="5" t="s">
        <v>27</v>
      </c>
      <c r="T85" s="5" t="s">
        <v>313</v>
      </c>
    </row>
    <row r="86">
      <c r="E86" s="5">
        <v>84.0</v>
      </c>
      <c r="F86" s="5" t="s">
        <v>17</v>
      </c>
      <c r="H86" s="5" t="s">
        <v>46</v>
      </c>
      <c r="I86" s="5" t="s">
        <v>19</v>
      </c>
      <c r="J86" s="5" t="s">
        <v>343</v>
      </c>
      <c r="K86" s="5" t="s">
        <v>21</v>
      </c>
      <c r="L86" s="5" t="s">
        <v>344</v>
      </c>
      <c r="M86" s="5" t="s">
        <v>345</v>
      </c>
      <c r="N86" s="5" t="s">
        <v>346</v>
      </c>
      <c r="P86" s="5" t="s">
        <v>311</v>
      </c>
      <c r="Q86" s="6">
        <v>27.0</v>
      </c>
      <c r="R86" s="5" t="s">
        <v>312</v>
      </c>
      <c r="S86" s="5" t="s">
        <v>27</v>
      </c>
      <c r="T86" s="5" t="s">
        <v>313</v>
      </c>
    </row>
    <row r="87">
      <c r="E87" s="5">
        <v>85.0</v>
      </c>
      <c r="F87" s="5" t="s">
        <v>347</v>
      </c>
      <c r="G87" s="5" t="s">
        <v>28</v>
      </c>
      <c r="H87" s="5" t="s">
        <v>348</v>
      </c>
      <c r="I87" s="5" t="s">
        <v>349</v>
      </c>
      <c r="J87" s="5" t="s">
        <v>350</v>
      </c>
      <c r="K87" s="5" t="s">
        <v>21</v>
      </c>
      <c r="L87" s="5" t="s">
        <v>351</v>
      </c>
      <c r="M87" s="5" t="s">
        <v>352</v>
      </c>
      <c r="N87" s="5" t="s">
        <v>353</v>
      </c>
      <c r="P87" s="5" t="s">
        <v>311</v>
      </c>
      <c r="Q87" s="6" t="s">
        <v>354</v>
      </c>
      <c r="R87" s="5" t="s">
        <v>312</v>
      </c>
      <c r="S87" s="5" t="s">
        <v>27</v>
      </c>
      <c r="T87" s="5" t="s">
        <v>313</v>
      </c>
    </row>
    <row r="88">
      <c r="E88" s="5">
        <v>86.0</v>
      </c>
      <c r="F88" s="5" t="s">
        <v>355</v>
      </c>
      <c r="H88" s="5" t="s">
        <v>356</v>
      </c>
      <c r="I88" s="5" t="s">
        <v>357</v>
      </c>
      <c r="J88" s="5" t="s">
        <v>358</v>
      </c>
      <c r="K88" s="5" t="s">
        <v>21</v>
      </c>
      <c r="L88" s="5" t="s">
        <v>359</v>
      </c>
      <c r="M88" s="5" t="s">
        <v>360</v>
      </c>
      <c r="N88" s="5" t="s">
        <v>361</v>
      </c>
      <c r="P88" s="5" t="s">
        <v>311</v>
      </c>
      <c r="Q88" s="6">
        <v>28.0</v>
      </c>
      <c r="R88" s="5" t="s">
        <v>312</v>
      </c>
      <c r="S88" s="5" t="s">
        <v>27</v>
      </c>
      <c r="T88" s="5" t="s">
        <v>313</v>
      </c>
    </row>
    <row r="89">
      <c r="E89" s="5">
        <v>87.0</v>
      </c>
      <c r="F89" s="5" t="s">
        <v>95</v>
      </c>
      <c r="G89" s="5" t="s">
        <v>362</v>
      </c>
      <c r="H89" s="5" t="s">
        <v>363</v>
      </c>
      <c r="I89" s="5" t="s">
        <v>364</v>
      </c>
      <c r="J89" s="5" t="s">
        <v>365</v>
      </c>
      <c r="K89" s="5" t="s">
        <v>21</v>
      </c>
      <c r="L89" s="5" t="s">
        <v>366</v>
      </c>
      <c r="M89" s="5" t="s">
        <v>367</v>
      </c>
      <c r="N89" s="5" t="s">
        <v>368</v>
      </c>
      <c r="O89" s="5" t="s">
        <v>369</v>
      </c>
      <c r="P89" s="5" t="s">
        <v>311</v>
      </c>
      <c r="Q89" s="6">
        <v>28.0</v>
      </c>
      <c r="R89" s="5" t="s">
        <v>312</v>
      </c>
      <c r="S89" s="5" t="s">
        <v>27</v>
      </c>
      <c r="T89" s="5" t="s">
        <v>313</v>
      </c>
    </row>
    <row r="90">
      <c r="E90" s="5">
        <v>88.0</v>
      </c>
      <c r="F90" s="5" t="s">
        <v>229</v>
      </c>
      <c r="H90" s="5" t="s">
        <v>370</v>
      </c>
      <c r="I90" s="5" t="s">
        <v>80</v>
      </c>
      <c r="J90" s="5" t="s">
        <v>371</v>
      </c>
      <c r="K90" s="5" t="s">
        <v>21</v>
      </c>
      <c r="L90" s="5" t="s">
        <v>372</v>
      </c>
      <c r="M90" s="5" t="s">
        <v>373</v>
      </c>
      <c r="N90" s="5" t="s">
        <v>374</v>
      </c>
      <c r="P90" s="5" t="s">
        <v>311</v>
      </c>
      <c r="Q90" s="6">
        <v>29.0</v>
      </c>
      <c r="R90" s="5" t="s">
        <v>312</v>
      </c>
      <c r="S90" s="5" t="s">
        <v>27</v>
      </c>
      <c r="T90" s="5" t="s">
        <v>313</v>
      </c>
    </row>
    <row r="91">
      <c r="E91" s="5">
        <v>89.0</v>
      </c>
      <c r="F91" s="5" t="s">
        <v>229</v>
      </c>
      <c r="H91" s="5" t="s">
        <v>375</v>
      </c>
      <c r="I91" s="5" t="s">
        <v>80</v>
      </c>
      <c r="J91" s="5" t="s">
        <v>371</v>
      </c>
      <c r="K91" s="5" t="s">
        <v>21</v>
      </c>
      <c r="L91" s="5" t="s">
        <v>376</v>
      </c>
      <c r="M91" s="5" t="s">
        <v>377</v>
      </c>
      <c r="N91" s="5" t="s">
        <v>378</v>
      </c>
      <c r="P91" s="5" t="s">
        <v>311</v>
      </c>
      <c r="Q91" s="6">
        <v>29.0</v>
      </c>
      <c r="R91" s="5" t="s">
        <v>312</v>
      </c>
      <c r="S91" s="5" t="s">
        <v>27</v>
      </c>
      <c r="T91" s="5" t="s">
        <v>313</v>
      </c>
    </row>
    <row r="92">
      <c r="E92" s="5">
        <v>90.0</v>
      </c>
      <c r="F92" s="5" t="s">
        <v>229</v>
      </c>
      <c r="H92" s="5" t="s">
        <v>370</v>
      </c>
      <c r="I92" s="5" t="s">
        <v>379</v>
      </c>
      <c r="J92" s="5" t="s">
        <v>380</v>
      </c>
      <c r="K92" s="5" t="s">
        <v>21</v>
      </c>
      <c r="L92" s="5" t="s">
        <v>381</v>
      </c>
      <c r="M92" s="5" t="s">
        <v>373</v>
      </c>
      <c r="N92" s="5" t="s">
        <v>374</v>
      </c>
      <c r="P92" s="5" t="s">
        <v>311</v>
      </c>
      <c r="Q92" s="6">
        <v>29.0</v>
      </c>
      <c r="R92" s="5" t="s">
        <v>312</v>
      </c>
      <c r="S92" s="5" t="s">
        <v>27</v>
      </c>
      <c r="T92" s="5" t="s">
        <v>313</v>
      </c>
    </row>
    <row r="93">
      <c r="E93" s="5">
        <v>91.0</v>
      </c>
      <c r="F93" s="5" t="s">
        <v>229</v>
      </c>
      <c r="H93" s="5" t="s">
        <v>375</v>
      </c>
      <c r="I93" s="5" t="s">
        <v>379</v>
      </c>
      <c r="J93" s="5" t="s">
        <v>380</v>
      </c>
      <c r="K93" s="5" t="s">
        <v>21</v>
      </c>
      <c r="L93" s="5" t="s">
        <v>382</v>
      </c>
      <c r="M93" s="5" t="s">
        <v>377</v>
      </c>
      <c r="N93" s="5" t="s">
        <v>378</v>
      </c>
      <c r="P93" s="5" t="s">
        <v>311</v>
      </c>
      <c r="Q93" s="6">
        <v>29.0</v>
      </c>
      <c r="R93" s="5" t="s">
        <v>312</v>
      </c>
      <c r="S93" s="5" t="s">
        <v>27</v>
      </c>
      <c r="T93" s="5" t="s">
        <v>313</v>
      </c>
    </row>
    <row r="94">
      <c r="E94" s="5">
        <v>92.0</v>
      </c>
      <c r="F94" s="5" t="s">
        <v>383</v>
      </c>
      <c r="H94" s="5" t="s">
        <v>384</v>
      </c>
      <c r="I94" s="5" t="s">
        <v>54</v>
      </c>
      <c r="J94" s="5" t="s">
        <v>336</v>
      </c>
      <c r="K94" s="5" t="s">
        <v>21</v>
      </c>
      <c r="L94" s="5" t="s">
        <v>385</v>
      </c>
      <c r="M94" s="5" t="s">
        <v>386</v>
      </c>
      <c r="N94" s="5" t="s">
        <v>387</v>
      </c>
      <c r="P94" s="5" t="s">
        <v>311</v>
      </c>
      <c r="Q94" s="6" t="s">
        <v>388</v>
      </c>
      <c r="R94" s="5" t="s">
        <v>312</v>
      </c>
      <c r="S94" s="5" t="s">
        <v>27</v>
      </c>
      <c r="T94" s="5" t="s">
        <v>313</v>
      </c>
    </row>
    <row r="95">
      <c r="E95" s="5">
        <v>93.0</v>
      </c>
      <c r="F95" s="5" t="s">
        <v>383</v>
      </c>
      <c r="H95" s="5" t="s">
        <v>389</v>
      </c>
      <c r="I95" s="5" t="s">
        <v>54</v>
      </c>
      <c r="J95" s="5" t="s">
        <v>336</v>
      </c>
      <c r="K95" s="5" t="s">
        <v>21</v>
      </c>
      <c r="L95" s="5" t="s">
        <v>390</v>
      </c>
      <c r="M95" s="5" t="s">
        <v>391</v>
      </c>
      <c r="N95" s="5" t="s">
        <v>392</v>
      </c>
      <c r="P95" s="5" t="s">
        <v>311</v>
      </c>
      <c r="Q95" s="6" t="s">
        <v>388</v>
      </c>
      <c r="R95" s="5" t="s">
        <v>312</v>
      </c>
      <c r="S95" s="5" t="s">
        <v>27</v>
      </c>
      <c r="T95" s="5" t="s">
        <v>313</v>
      </c>
    </row>
    <row r="96">
      <c r="E96" s="5">
        <v>94.0</v>
      </c>
      <c r="F96" s="5" t="s">
        <v>17</v>
      </c>
      <c r="H96" s="5" t="s">
        <v>393</v>
      </c>
      <c r="I96" s="5" t="s">
        <v>370</v>
      </c>
      <c r="J96" s="5" t="s">
        <v>394</v>
      </c>
      <c r="K96" s="5" t="s">
        <v>21</v>
      </c>
      <c r="L96" s="5" t="s">
        <v>395</v>
      </c>
      <c r="M96" s="5" t="s">
        <v>396</v>
      </c>
      <c r="N96" s="5" t="s">
        <v>397</v>
      </c>
      <c r="P96" s="5" t="s">
        <v>311</v>
      </c>
      <c r="Q96" s="6">
        <v>30.0</v>
      </c>
      <c r="R96" s="5" t="s">
        <v>312</v>
      </c>
      <c r="S96" s="5" t="s">
        <v>27</v>
      </c>
      <c r="T96" s="5" t="s">
        <v>313</v>
      </c>
    </row>
    <row r="97">
      <c r="E97" s="5">
        <v>95.0</v>
      </c>
      <c r="F97" s="5" t="s">
        <v>17</v>
      </c>
      <c r="H97" s="5" t="s">
        <v>398</v>
      </c>
      <c r="I97" s="5" t="s">
        <v>375</v>
      </c>
      <c r="J97" s="5" t="s">
        <v>394</v>
      </c>
      <c r="K97" s="5" t="s">
        <v>21</v>
      </c>
      <c r="L97" s="5" t="s">
        <v>21</v>
      </c>
      <c r="M97" s="5" t="s">
        <v>21</v>
      </c>
      <c r="N97" s="5" t="s">
        <v>266</v>
      </c>
      <c r="P97" s="5" t="s">
        <v>311</v>
      </c>
      <c r="Q97" s="6">
        <v>30.0</v>
      </c>
      <c r="R97" s="5" t="s">
        <v>312</v>
      </c>
      <c r="S97" s="5" t="s">
        <v>27</v>
      </c>
      <c r="T97" s="5" t="s">
        <v>313</v>
      </c>
    </row>
    <row r="98">
      <c r="E98" s="5">
        <v>96.0</v>
      </c>
      <c r="F98" s="5" t="s">
        <v>17</v>
      </c>
      <c r="H98" s="5" t="s">
        <v>399</v>
      </c>
      <c r="I98" s="5" t="s">
        <v>370</v>
      </c>
      <c r="J98" s="5" t="s">
        <v>350</v>
      </c>
      <c r="K98" s="5" t="s">
        <v>21</v>
      </c>
      <c r="L98" s="5" t="s">
        <v>21</v>
      </c>
      <c r="M98" s="5" t="s">
        <v>21</v>
      </c>
      <c r="N98" s="5" t="s">
        <v>266</v>
      </c>
      <c r="O98" s="5" t="s">
        <v>400</v>
      </c>
      <c r="P98" s="5" t="s">
        <v>311</v>
      </c>
      <c r="Q98" s="6">
        <v>30.0</v>
      </c>
      <c r="R98" s="5" t="s">
        <v>312</v>
      </c>
      <c r="S98" s="5" t="s">
        <v>27</v>
      </c>
      <c r="T98" s="5" t="s">
        <v>313</v>
      </c>
    </row>
    <row r="99">
      <c r="E99" s="5">
        <v>97.0</v>
      </c>
      <c r="F99" s="5" t="s">
        <v>17</v>
      </c>
      <c r="H99" s="5" t="s">
        <v>401</v>
      </c>
      <c r="I99" s="5" t="s">
        <v>375</v>
      </c>
      <c r="J99" s="5" t="s">
        <v>350</v>
      </c>
      <c r="K99" s="5" t="s">
        <v>21</v>
      </c>
      <c r="L99" s="5" t="s">
        <v>402</v>
      </c>
      <c r="M99" s="5" t="s">
        <v>403</v>
      </c>
      <c r="N99" s="5" t="s">
        <v>404</v>
      </c>
      <c r="O99" s="5" t="s">
        <v>400</v>
      </c>
      <c r="P99" s="5" t="s">
        <v>311</v>
      </c>
      <c r="Q99" s="6">
        <v>30.0</v>
      </c>
      <c r="R99" s="5" t="s">
        <v>312</v>
      </c>
      <c r="S99" s="5" t="s">
        <v>27</v>
      </c>
      <c r="T99" s="5" t="s">
        <v>313</v>
      </c>
    </row>
    <row r="100">
      <c r="E100" s="5">
        <v>98.0</v>
      </c>
      <c r="F100" s="5" t="s">
        <v>17</v>
      </c>
      <c r="H100" s="5" t="s">
        <v>46</v>
      </c>
      <c r="I100" s="5" t="s">
        <v>19</v>
      </c>
      <c r="J100" s="5" t="s">
        <v>405</v>
      </c>
      <c r="K100" s="5" t="s">
        <v>21</v>
      </c>
      <c r="L100" s="5" t="s">
        <v>406</v>
      </c>
      <c r="M100" s="5" t="s">
        <v>407</v>
      </c>
      <c r="N100" s="5" t="s">
        <v>408</v>
      </c>
      <c r="P100" s="5" t="s">
        <v>311</v>
      </c>
      <c r="Q100" s="6">
        <v>31.0</v>
      </c>
      <c r="R100" s="5" t="s">
        <v>312</v>
      </c>
      <c r="S100" s="5" t="s">
        <v>27</v>
      </c>
      <c r="T100" s="5" t="s">
        <v>313</v>
      </c>
    </row>
    <row r="101">
      <c r="E101" s="5">
        <v>99.0</v>
      </c>
      <c r="F101" s="5" t="s">
        <v>95</v>
      </c>
      <c r="G101" s="5" t="s">
        <v>409</v>
      </c>
      <c r="H101" s="5" t="s">
        <v>142</v>
      </c>
      <c r="I101" s="5" t="s">
        <v>136</v>
      </c>
      <c r="J101" s="5" t="s">
        <v>137</v>
      </c>
      <c r="K101" s="5" t="s">
        <v>410</v>
      </c>
      <c r="L101" s="5" t="s">
        <v>411</v>
      </c>
      <c r="M101" s="5" t="s">
        <v>412</v>
      </c>
      <c r="N101" s="5" t="s">
        <v>413</v>
      </c>
      <c r="O101" s="5" t="s">
        <v>414</v>
      </c>
      <c r="P101" s="5" t="s">
        <v>311</v>
      </c>
      <c r="Q101" s="6">
        <v>31.0</v>
      </c>
      <c r="R101" s="5" t="s">
        <v>312</v>
      </c>
      <c r="S101" s="5" t="s">
        <v>27</v>
      </c>
      <c r="T101" s="5" t="s">
        <v>313</v>
      </c>
    </row>
    <row r="102">
      <c r="E102" s="5">
        <v>100.0</v>
      </c>
      <c r="F102" s="5" t="s">
        <v>95</v>
      </c>
      <c r="G102" s="5" t="s">
        <v>409</v>
      </c>
      <c r="H102" s="5" t="s">
        <v>142</v>
      </c>
      <c r="I102" s="5" t="s">
        <v>135</v>
      </c>
      <c r="J102" s="5" t="s">
        <v>415</v>
      </c>
      <c r="K102" s="5" t="s">
        <v>410</v>
      </c>
      <c r="L102" s="5" t="s">
        <v>416</v>
      </c>
      <c r="M102" s="5" t="s">
        <v>417</v>
      </c>
      <c r="N102" s="5" t="s">
        <v>418</v>
      </c>
      <c r="O102" s="5" t="s">
        <v>414</v>
      </c>
      <c r="P102" s="5" t="s">
        <v>311</v>
      </c>
      <c r="Q102" s="6">
        <v>31.0</v>
      </c>
      <c r="R102" s="5" t="s">
        <v>312</v>
      </c>
      <c r="S102" s="5" t="s">
        <v>27</v>
      </c>
      <c r="T102" s="5" t="s">
        <v>313</v>
      </c>
    </row>
    <row r="103">
      <c r="E103" s="5">
        <v>101.0</v>
      </c>
      <c r="F103" s="5" t="s">
        <v>17</v>
      </c>
      <c r="G103" s="5" t="s">
        <v>419</v>
      </c>
      <c r="H103" s="5" t="s">
        <v>46</v>
      </c>
      <c r="I103" s="5" t="s">
        <v>19</v>
      </c>
      <c r="J103" s="5" t="s">
        <v>420</v>
      </c>
      <c r="K103" s="5" t="s">
        <v>21</v>
      </c>
      <c r="L103" s="5" t="s">
        <v>332</v>
      </c>
      <c r="M103" s="5" t="s">
        <v>421</v>
      </c>
      <c r="N103" s="5" t="s">
        <v>331</v>
      </c>
      <c r="O103" s="5" t="s">
        <v>422</v>
      </c>
      <c r="P103" s="5" t="s">
        <v>311</v>
      </c>
      <c r="Q103" s="6">
        <v>31.0</v>
      </c>
      <c r="R103" s="5" t="s">
        <v>312</v>
      </c>
      <c r="S103" s="5" t="s">
        <v>27</v>
      </c>
      <c r="T103" s="5" t="s">
        <v>313</v>
      </c>
    </row>
    <row r="104">
      <c r="E104" s="5">
        <v>102.0</v>
      </c>
      <c r="F104" s="5" t="s">
        <v>176</v>
      </c>
      <c r="G104" s="5" t="s">
        <v>419</v>
      </c>
      <c r="H104" s="5" t="s">
        <v>260</v>
      </c>
      <c r="I104" s="5" t="s">
        <v>261</v>
      </c>
      <c r="J104" s="5" t="s">
        <v>423</v>
      </c>
      <c r="K104" s="5" t="s">
        <v>424</v>
      </c>
      <c r="L104" s="5" t="s">
        <v>332</v>
      </c>
      <c r="M104" s="5" t="s">
        <v>421</v>
      </c>
      <c r="N104" s="5" t="s">
        <v>331</v>
      </c>
      <c r="O104" s="5" t="s">
        <v>422</v>
      </c>
      <c r="P104" s="5" t="s">
        <v>311</v>
      </c>
      <c r="Q104" s="6">
        <v>31.0</v>
      </c>
      <c r="R104" s="5" t="s">
        <v>312</v>
      </c>
      <c r="S104" s="5" t="s">
        <v>27</v>
      </c>
      <c r="T104" s="5" t="s">
        <v>313</v>
      </c>
    </row>
    <row r="105">
      <c r="C105" s="4" t="s">
        <v>425</v>
      </c>
      <c r="E105" s="5">
        <v>103.0</v>
      </c>
      <c r="F105" s="5" t="s">
        <v>95</v>
      </c>
      <c r="G105" s="5" t="s">
        <v>134</v>
      </c>
      <c r="H105" s="5" t="s">
        <v>135</v>
      </c>
      <c r="I105" s="5" t="s">
        <v>136</v>
      </c>
      <c r="J105" s="5" t="s">
        <v>137</v>
      </c>
      <c r="K105" s="5" t="s">
        <v>21</v>
      </c>
      <c r="L105" s="5" t="s">
        <v>426</v>
      </c>
      <c r="M105" s="5" t="s">
        <v>427</v>
      </c>
      <c r="N105" s="5" t="s">
        <v>428</v>
      </c>
      <c r="P105" s="5" t="s">
        <v>429</v>
      </c>
      <c r="Q105" s="6">
        <v>52.0</v>
      </c>
      <c r="R105" s="13" t="s">
        <v>430</v>
      </c>
      <c r="S105" s="5" t="s">
        <v>27</v>
      </c>
      <c r="T105" s="5" t="s">
        <v>430</v>
      </c>
    </row>
    <row r="106">
      <c r="E106" s="5">
        <v>104.0</v>
      </c>
      <c r="F106" s="5" t="s">
        <v>95</v>
      </c>
      <c r="G106" s="5" t="s">
        <v>134</v>
      </c>
      <c r="H106" s="5" t="s">
        <v>135</v>
      </c>
      <c r="I106" s="5" t="s">
        <v>142</v>
      </c>
      <c r="J106" s="5" t="s">
        <v>143</v>
      </c>
      <c r="K106" s="5" t="s">
        <v>21</v>
      </c>
      <c r="L106" s="5" t="s">
        <v>431</v>
      </c>
      <c r="M106" s="5" t="s">
        <v>432</v>
      </c>
      <c r="N106" s="5" t="s">
        <v>433</v>
      </c>
      <c r="P106" s="5" t="s">
        <v>429</v>
      </c>
      <c r="Q106" s="6">
        <v>52.0</v>
      </c>
      <c r="R106" s="13" t="s">
        <v>430</v>
      </c>
      <c r="S106" s="5" t="s">
        <v>27</v>
      </c>
      <c r="T106" s="5" t="s">
        <v>430</v>
      </c>
    </row>
    <row r="107">
      <c r="E107" s="5">
        <v>105.0</v>
      </c>
      <c r="F107" s="5" t="s">
        <v>95</v>
      </c>
      <c r="G107" s="5" t="s">
        <v>434</v>
      </c>
      <c r="H107" s="5" t="s">
        <v>435</v>
      </c>
      <c r="I107" s="5" t="s">
        <v>135</v>
      </c>
      <c r="J107" s="5" t="s">
        <v>415</v>
      </c>
      <c r="K107" s="5" t="s">
        <v>21</v>
      </c>
      <c r="L107" s="5" t="s">
        <v>436</v>
      </c>
      <c r="M107" s="5" t="s">
        <v>437</v>
      </c>
      <c r="N107" s="5" t="s">
        <v>438</v>
      </c>
      <c r="P107" s="5" t="s">
        <v>429</v>
      </c>
      <c r="Q107" s="6">
        <v>52.0</v>
      </c>
      <c r="R107" s="13" t="s">
        <v>430</v>
      </c>
      <c r="S107" s="5" t="s">
        <v>27</v>
      </c>
      <c r="T107" s="5" t="s">
        <v>430</v>
      </c>
    </row>
    <row r="108">
      <c r="E108" s="5">
        <v>106.0</v>
      </c>
      <c r="F108" s="5" t="s">
        <v>95</v>
      </c>
      <c r="G108" s="5" t="s">
        <v>434</v>
      </c>
      <c r="H108" s="5" t="s">
        <v>435</v>
      </c>
      <c r="I108" s="5" t="s">
        <v>136</v>
      </c>
      <c r="J108" s="5" t="s">
        <v>439</v>
      </c>
      <c r="K108" s="5" t="s">
        <v>21</v>
      </c>
      <c r="L108" s="5" t="s">
        <v>440</v>
      </c>
      <c r="M108" s="5" t="s">
        <v>21</v>
      </c>
      <c r="N108" s="5" t="s">
        <v>441</v>
      </c>
      <c r="P108" s="5" t="s">
        <v>429</v>
      </c>
      <c r="Q108" s="6">
        <v>52.0</v>
      </c>
      <c r="R108" s="13" t="s">
        <v>430</v>
      </c>
      <c r="S108" s="5" t="s">
        <v>27</v>
      </c>
      <c r="T108" s="5" t="s">
        <v>430</v>
      </c>
    </row>
    <row r="109">
      <c r="E109" s="5">
        <v>107.0</v>
      </c>
      <c r="F109" s="5" t="s">
        <v>95</v>
      </c>
      <c r="G109" s="5" t="s">
        <v>362</v>
      </c>
      <c r="H109" s="5" t="s">
        <v>363</v>
      </c>
      <c r="I109" s="5" t="s">
        <v>364</v>
      </c>
      <c r="J109" s="5" t="s">
        <v>442</v>
      </c>
      <c r="K109" s="5" t="s">
        <v>21</v>
      </c>
      <c r="L109" s="5" t="s">
        <v>443</v>
      </c>
      <c r="M109" s="5" t="s">
        <v>444</v>
      </c>
      <c r="N109" s="5" t="s">
        <v>445</v>
      </c>
      <c r="P109" s="5" t="s">
        <v>429</v>
      </c>
      <c r="Q109" s="6">
        <v>52.0</v>
      </c>
      <c r="R109" s="13" t="s">
        <v>430</v>
      </c>
      <c r="S109" s="5" t="s">
        <v>27</v>
      </c>
      <c r="T109" s="5" t="s">
        <v>430</v>
      </c>
    </row>
    <row r="110">
      <c r="E110" s="5">
        <v>108.0</v>
      </c>
      <c r="F110" s="5" t="s">
        <v>95</v>
      </c>
      <c r="G110" s="5" t="s">
        <v>446</v>
      </c>
      <c r="H110" s="5" t="s">
        <v>136</v>
      </c>
      <c r="I110" s="5" t="s">
        <v>364</v>
      </c>
      <c r="J110" s="5" t="s">
        <v>447</v>
      </c>
      <c r="K110" s="5" t="s">
        <v>21</v>
      </c>
      <c r="L110" s="5" t="s">
        <v>448</v>
      </c>
      <c r="M110" s="5" t="s">
        <v>449</v>
      </c>
      <c r="N110" s="5" t="s">
        <v>450</v>
      </c>
      <c r="P110" s="5" t="s">
        <v>429</v>
      </c>
      <c r="Q110" s="6">
        <v>52.0</v>
      </c>
      <c r="R110" s="13" t="s">
        <v>430</v>
      </c>
      <c r="S110" s="5" t="s">
        <v>27</v>
      </c>
      <c r="T110" s="5" t="s">
        <v>430</v>
      </c>
    </row>
    <row r="111">
      <c r="E111" s="5">
        <v>109.0</v>
      </c>
      <c r="F111" s="5" t="s">
        <v>190</v>
      </c>
      <c r="G111" s="5" t="s">
        <v>451</v>
      </c>
      <c r="H111" s="5" t="s">
        <v>136</v>
      </c>
      <c r="I111" s="5" t="s">
        <v>135</v>
      </c>
      <c r="J111" s="5" t="s">
        <v>452</v>
      </c>
      <c r="K111" s="5" t="s">
        <v>21</v>
      </c>
      <c r="L111" s="5" t="s">
        <v>453</v>
      </c>
      <c r="M111" s="5" t="s">
        <v>21</v>
      </c>
      <c r="N111" s="5" t="s">
        <v>454</v>
      </c>
      <c r="P111" s="5" t="s">
        <v>429</v>
      </c>
      <c r="Q111" s="6">
        <v>54.0</v>
      </c>
      <c r="R111" s="13" t="s">
        <v>430</v>
      </c>
      <c r="S111" s="5" t="s">
        <v>27</v>
      </c>
      <c r="T111" s="5" t="s">
        <v>430</v>
      </c>
    </row>
    <row r="112">
      <c r="E112" s="5">
        <v>110.0</v>
      </c>
      <c r="F112" s="5" t="s">
        <v>95</v>
      </c>
      <c r="H112" s="5" t="s">
        <v>455</v>
      </c>
      <c r="I112" s="5" t="s">
        <v>456</v>
      </c>
      <c r="J112" s="5" t="s">
        <v>457</v>
      </c>
      <c r="K112" s="5" t="s">
        <v>21</v>
      </c>
      <c r="L112" s="5" t="s">
        <v>458</v>
      </c>
      <c r="M112" s="5" t="s">
        <v>21</v>
      </c>
      <c r="N112" s="5" t="s">
        <v>459</v>
      </c>
      <c r="P112" s="5" t="s">
        <v>429</v>
      </c>
      <c r="Q112" s="6">
        <v>54.0</v>
      </c>
      <c r="R112" s="13" t="s">
        <v>430</v>
      </c>
      <c r="S112" s="5" t="s">
        <v>27</v>
      </c>
      <c r="T112" s="5" t="s">
        <v>430</v>
      </c>
    </row>
    <row r="113">
      <c r="E113" s="5">
        <v>111.0</v>
      </c>
      <c r="F113" s="5" t="s">
        <v>95</v>
      </c>
      <c r="H113" s="5" t="s">
        <v>161</v>
      </c>
      <c r="I113" s="5" t="s">
        <v>460</v>
      </c>
      <c r="J113" s="5" t="s">
        <v>457</v>
      </c>
      <c r="K113" s="5" t="s">
        <v>21</v>
      </c>
      <c r="L113" s="5" t="s">
        <v>461</v>
      </c>
      <c r="M113" s="5" t="s">
        <v>21</v>
      </c>
      <c r="N113" s="5" t="s">
        <v>462</v>
      </c>
      <c r="P113" s="5" t="s">
        <v>429</v>
      </c>
      <c r="Q113" s="6">
        <v>55.0</v>
      </c>
      <c r="R113" s="13" t="s">
        <v>430</v>
      </c>
      <c r="S113" s="5" t="s">
        <v>27</v>
      </c>
      <c r="T113" s="5" t="s">
        <v>430</v>
      </c>
    </row>
    <row r="114">
      <c r="E114" s="5">
        <v>112.0</v>
      </c>
      <c r="F114" s="5" t="s">
        <v>95</v>
      </c>
      <c r="H114" s="5" t="s">
        <v>463</v>
      </c>
      <c r="I114" s="5" t="s">
        <v>464</v>
      </c>
      <c r="J114" s="5" t="s">
        <v>457</v>
      </c>
      <c r="K114" s="5" t="s">
        <v>21</v>
      </c>
      <c r="L114" s="5" t="s">
        <v>465</v>
      </c>
      <c r="M114" s="5" t="s">
        <v>21</v>
      </c>
      <c r="N114" s="5" t="s">
        <v>466</v>
      </c>
      <c r="P114" s="5" t="s">
        <v>429</v>
      </c>
      <c r="Q114" s="6">
        <v>55.0</v>
      </c>
      <c r="R114" s="13" t="s">
        <v>430</v>
      </c>
      <c r="S114" s="5" t="s">
        <v>27</v>
      </c>
      <c r="T114" s="5" t="s">
        <v>430</v>
      </c>
    </row>
    <row r="115">
      <c r="E115" s="5">
        <v>113.0</v>
      </c>
      <c r="F115" s="5" t="s">
        <v>467</v>
      </c>
      <c r="H115" s="5" t="s">
        <v>468</v>
      </c>
      <c r="I115" s="5" t="s">
        <v>469</v>
      </c>
      <c r="J115" s="5" t="s">
        <v>470</v>
      </c>
      <c r="K115" s="5" t="s">
        <v>21</v>
      </c>
      <c r="L115" s="5" t="s">
        <v>471</v>
      </c>
      <c r="M115" s="5" t="s">
        <v>21</v>
      </c>
      <c r="N115" s="5" t="s">
        <v>472</v>
      </c>
      <c r="P115" s="5" t="s">
        <v>429</v>
      </c>
      <c r="Q115" s="6">
        <v>59.0</v>
      </c>
      <c r="R115" s="13" t="s">
        <v>430</v>
      </c>
      <c r="S115" s="5" t="s">
        <v>27</v>
      </c>
      <c r="T115" s="5" t="s">
        <v>430</v>
      </c>
    </row>
    <row r="116">
      <c r="E116" s="5">
        <v>114.0</v>
      </c>
      <c r="F116" s="5" t="s">
        <v>467</v>
      </c>
      <c r="H116" s="5" t="s">
        <v>460</v>
      </c>
      <c r="I116" s="5" t="s">
        <v>473</v>
      </c>
      <c r="J116" s="5" t="s">
        <v>470</v>
      </c>
      <c r="K116" s="5" t="s">
        <v>21</v>
      </c>
      <c r="L116" s="5" t="s">
        <v>474</v>
      </c>
      <c r="M116" s="5" t="s">
        <v>21</v>
      </c>
      <c r="N116" s="5" t="s">
        <v>472</v>
      </c>
      <c r="P116" s="5" t="s">
        <v>429</v>
      </c>
      <c r="Q116" s="6">
        <v>59.0</v>
      </c>
      <c r="R116" s="13" t="s">
        <v>430</v>
      </c>
      <c r="S116" s="5" t="s">
        <v>27</v>
      </c>
      <c r="T116" s="5" t="s">
        <v>430</v>
      </c>
    </row>
    <row r="117">
      <c r="E117" s="5">
        <v>115.0</v>
      </c>
      <c r="F117" s="5" t="s">
        <v>467</v>
      </c>
      <c r="H117" s="5" t="s">
        <v>475</v>
      </c>
      <c r="I117" s="5" t="s">
        <v>476</v>
      </c>
      <c r="J117" s="5" t="s">
        <v>71</v>
      </c>
      <c r="K117" s="5" t="s">
        <v>21</v>
      </c>
      <c r="L117" s="5" t="s">
        <v>477</v>
      </c>
      <c r="M117" s="5" t="s">
        <v>21</v>
      </c>
      <c r="N117" s="5" t="s">
        <v>478</v>
      </c>
      <c r="P117" s="5" t="s">
        <v>429</v>
      </c>
      <c r="Q117" s="6">
        <v>59.0</v>
      </c>
      <c r="R117" s="13" t="s">
        <v>430</v>
      </c>
      <c r="S117" s="5" t="s">
        <v>27</v>
      </c>
      <c r="T117" s="5" t="s">
        <v>430</v>
      </c>
    </row>
    <row r="118">
      <c r="E118" s="5">
        <v>116.0</v>
      </c>
      <c r="F118" s="5" t="s">
        <v>467</v>
      </c>
      <c r="H118" s="5" t="s">
        <v>479</v>
      </c>
      <c r="I118" s="5" t="s">
        <v>480</v>
      </c>
      <c r="J118" s="5" t="s">
        <v>71</v>
      </c>
      <c r="K118" s="5" t="s">
        <v>21</v>
      </c>
      <c r="L118" s="5" t="s">
        <v>481</v>
      </c>
      <c r="M118" s="5" t="s">
        <v>21</v>
      </c>
      <c r="N118" s="5" t="s">
        <v>478</v>
      </c>
      <c r="P118" s="5" t="s">
        <v>429</v>
      </c>
      <c r="Q118" s="6">
        <v>59.0</v>
      </c>
      <c r="R118" s="13" t="s">
        <v>430</v>
      </c>
      <c r="S118" s="5" t="s">
        <v>27</v>
      </c>
      <c r="T118" s="5" t="s">
        <v>430</v>
      </c>
    </row>
    <row r="119">
      <c r="E119" s="5">
        <v>117.0</v>
      </c>
      <c r="F119" s="5" t="s">
        <v>467</v>
      </c>
      <c r="H119" s="5" t="s">
        <v>482</v>
      </c>
      <c r="I119" s="5" t="s">
        <v>483</v>
      </c>
      <c r="J119" s="5" t="s">
        <v>71</v>
      </c>
      <c r="K119" s="5" t="s">
        <v>21</v>
      </c>
      <c r="L119" s="5" t="s">
        <v>484</v>
      </c>
      <c r="M119" s="5" t="s">
        <v>21</v>
      </c>
      <c r="N119" s="5" t="s">
        <v>485</v>
      </c>
      <c r="P119" s="5" t="s">
        <v>429</v>
      </c>
      <c r="Q119" s="6">
        <v>59.0</v>
      </c>
      <c r="R119" s="13" t="s">
        <v>430</v>
      </c>
      <c r="S119" s="5" t="s">
        <v>27</v>
      </c>
      <c r="T119" s="5" t="s">
        <v>430</v>
      </c>
    </row>
    <row r="120">
      <c r="E120" s="5">
        <v>118.0</v>
      </c>
      <c r="F120" s="5" t="s">
        <v>467</v>
      </c>
      <c r="H120" s="5" t="s">
        <v>486</v>
      </c>
      <c r="I120" s="5" t="s">
        <v>487</v>
      </c>
      <c r="J120" s="5" t="s">
        <v>71</v>
      </c>
      <c r="K120" s="5" t="s">
        <v>21</v>
      </c>
      <c r="L120" s="5" t="s">
        <v>488</v>
      </c>
      <c r="M120" s="5" t="s">
        <v>21</v>
      </c>
      <c r="N120" s="5" t="s">
        <v>485</v>
      </c>
      <c r="P120" s="5" t="s">
        <v>429</v>
      </c>
      <c r="Q120" s="6">
        <v>59.0</v>
      </c>
      <c r="R120" s="13" t="s">
        <v>430</v>
      </c>
      <c r="S120" s="5" t="s">
        <v>27</v>
      </c>
      <c r="T120" s="5" t="s">
        <v>430</v>
      </c>
    </row>
    <row r="121">
      <c r="E121" s="5">
        <v>119.0</v>
      </c>
      <c r="F121" s="5" t="s">
        <v>467</v>
      </c>
      <c r="H121" s="5" t="s">
        <v>489</v>
      </c>
      <c r="I121" s="5" t="s">
        <v>476</v>
      </c>
      <c r="J121" s="5" t="s">
        <v>71</v>
      </c>
      <c r="K121" s="5" t="s">
        <v>21</v>
      </c>
      <c r="L121" s="5" t="s">
        <v>490</v>
      </c>
      <c r="M121" s="5" t="s">
        <v>21</v>
      </c>
      <c r="N121" s="5" t="s">
        <v>491</v>
      </c>
      <c r="P121" s="5" t="s">
        <v>429</v>
      </c>
      <c r="Q121" s="6">
        <v>59.0</v>
      </c>
      <c r="R121" s="13" t="s">
        <v>430</v>
      </c>
      <c r="S121" s="5" t="s">
        <v>27</v>
      </c>
      <c r="T121" s="5" t="s">
        <v>430</v>
      </c>
    </row>
    <row r="122">
      <c r="E122" s="5">
        <v>120.0</v>
      </c>
      <c r="F122" s="5" t="s">
        <v>467</v>
      </c>
      <c r="H122" s="5" t="s">
        <v>492</v>
      </c>
      <c r="I122" s="5" t="s">
        <v>493</v>
      </c>
      <c r="J122" s="5" t="s">
        <v>71</v>
      </c>
      <c r="K122" s="5" t="s">
        <v>21</v>
      </c>
      <c r="L122" s="5" t="s">
        <v>494</v>
      </c>
      <c r="M122" s="5" t="s">
        <v>21</v>
      </c>
      <c r="N122" s="5" t="s">
        <v>491</v>
      </c>
      <c r="P122" s="5" t="s">
        <v>429</v>
      </c>
      <c r="Q122" s="6">
        <v>59.0</v>
      </c>
      <c r="R122" s="13" t="s">
        <v>430</v>
      </c>
      <c r="S122" s="5" t="s">
        <v>27</v>
      </c>
      <c r="T122" s="5" t="s">
        <v>430</v>
      </c>
    </row>
    <row r="123">
      <c r="E123" s="5">
        <v>121.0</v>
      </c>
      <c r="F123" s="5" t="s">
        <v>467</v>
      </c>
      <c r="H123" s="5" t="s">
        <v>495</v>
      </c>
      <c r="I123" s="5" t="s">
        <v>476</v>
      </c>
      <c r="J123" s="5" t="s">
        <v>71</v>
      </c>
      <c r="K123" s="5" t="s">
        <v>21</v>
      </c>
      <c r="L123" s="5" t="s">
        <v>496</v>
      </c>
      <c r="M123" s="5" t="s">
        <v>21</v>
      </c>
      <c r="N123" s="5" t="s">
        <v>497</v>
      </c>
      <c r="P123" s="5" t="s">
        <v>429</v>
      </c>
      <c r="Q123" s="6">
        <v>59.0</v>
      </c>
      <c r="R123" s="13" t="s">
        <v>430</v>
      </c>
      <c r="S123" s="5" t="s">
        <v>27</v>
      </c>
      <c r="T123" s="5" t="s">
        <v>430</v>
      </c>
    </row>
    <row r="124">
      <c r="E124" s="5">
        <v>122.0</v>
      </c>
      <c r="F124" s="5" t="s">
        <v>467</v>
      </c>
      <c r="H124" s="5" t="s">
        <v>498</v>
      </c>
      <c r="I124" s="5" t="s">
        <v>480</v>
      </c>
      <c r="J124" s="5" t="s">
        <v>71</v>
      </c>
      <c r="K124" s="5" t="s">
        <v>21</v>
      </c>
      <c r="L124" s="5" t="s">
        <v>499</v>
      </c>
      <c r="M124" s="5" t="s">
        <v>21</v>
      </c>
      <c r="N124" s="5" t="s">
        <v>497</v>
      </c>
      <c r="P124" s="5" t="s">
        <v>429</v>
      </c>
      <c r="Q124" s="6">
        <v>59.0</v>
      </c>
      <c r="R124" s="13" t="s">
        <v>430</v>
      </c>
      <c r="S124" s="5" t="s">
        <v>27</v>
      </c>
      <c r="T124" s="5" t="s">
        <v>430</v>
      </c>
    </row>
    <row r="125">
      <c r="E125" s="5">
        <v>123.0</v>
      </c>
      <c r="F125" s="5" t="s">
        <v>17</v>
      </c>
      <c r="H125" s="5" t="s">
        <v>500</v>
      </c>
      <c r="I125" s="5" t="s">
        <v>19</v>
      </c>
      <c r="J125" s="5" t="s">
        <v>71</v>
      </c>
      <c r="K125" s="5" t="s">
        <v>21</v>
      </c>
      <c r="L125" s="5" t="s">
        <v>501</v>
      </c>
      <c r="M125" s="5" t="s">
        <v>21</v>
      </c>
      <c r="N125" s="5" t="s">
        <v>502</v>
      </c>
      <c r="P125" s="5" t="s">
        <v>429</v>
      </c>
      <c r="Q125" s="6">
        <v>57.0</v>
      </c>
      <c r="R125" s="13" t="s">
        <v>430</v>
      </c>
      <c r="S125" s="5" t="s">
        <v>27</v>
      </c>
      <c r="T125" s="5" t="s">
        <v>430</v>
      </c>
    </row>
    <row r="126">
      <c r="E126" s="5">
        <v>124.0</v>
      </c>
      <c r="F126" s="5" t="s">
        <v>68</v>
      </c>
      <c r="H126" s="5" t="s">
        <v>503</v>
      </c>
      <c r="I126" s="5" t="s">
        <v>107</v>
      </c>
      <c r="J126" s="5" t="s">
        <v>71</v>
      </c>
      <c r="K126" s="5" t="s">
        <v>21</v>
      </c>
      <c r="L126" s="5" t="s">
        <v>504</v>
      </c>
      <c r="M126" s="5" t="s">
        <v>21</v>
      </c>
      <c r="N126" s="5" t="s">
        <v>502</v>
      </c>
      <c r="P126" s="5" t="s">
        <v>429</v>
      </c>
      <c r="Q126" s="6">
        <v>58.0</v>
      </c>
      <c r="R126" s="13" t="s">
        <v>430</v>
      </c>
      <c r="S126" s="5" t="s">
        <v>27</v>
      </c>
      <c r="T126" s="5" t="s">
        <v>430</v>
      </c>
    </row>
    <row r="127">
      <c r="E127" s="5">
        <v>125.0</v>
      </c>
      <c r="F127" s="5" t="s">
        <v>209</v>
      </c>
      <c r="H127" s="5" t="s">
        <v>435</v>
      </c>
      <c r="I127" s="5" t="s">
        <v>505</v>
      </c>
      <c r="J127" s="5" t="s">
        <v>506</v>
      </c>
      <c r="K127" s="5" t="s">
        <v>21</v>
      </c>
      <c r="L127" s="5" t="s">
        <v>507</v>
      </c>
      <c r="M127" s="5" t="s">
        <v>21</v>
      </c>
      <c r="N127" s="5" t="s">
        <v>508</v>
      </c>
      <c r="P127" s="5" t="s">
        <v>429</v>
      </c>
      <c r="Q127" s="6">
        <v>58.0</v>
      </c>
      <c r="R127" s="13" t="s">
        <v>430</v>
      </c>
      <c r="S127" s="5" t="s">
        <v>27</v>
      </c>
      <c r="T127" s="5" t="s">
        <v>430</v>
      </c>
    </row>
    <row r="128">
      <c r="C128" s="14" t="s">
        <v>509</v>
      </c>
      <c r="E128" s="5">
        <v>126.0</v>
      </c>
      <c r="F128" s="5" t="s">
        <v>95</v>
      </c>
      <c r="H128" s="5" t="s">
        <v>260</v>
      </c>
      <c r="I128" s="5" t="s">
        <v>261</v>
      </c>
      <c r="J128" s="5" t="s">
        <v>510</v>
      </c>
      <c r="K128" s="5" t="s">
        <v>21</v>
      </c>
      <c r="L128" s="5" t="s">
        <v>21</v>
      </c>
      <c r="M128" s="5" t="s">
        <v>21</v>
      </c>
      <c r="N128" s="5" t="s">
        <v>266</v>
      </c>
      <c r="P128" s="5" t="s">
        <v>511</v>
      </c>
      <c r="Q128" s="6">
        <v>16.0</v>
      </c>
      <c r="R128" s="5" t="s">
        <v>512</v>
      </c>
      <c r="S128" s="5" t="s">
        <v>513</v>
      </c>
      <c r="T128" s="5" t="s">
        <v>514</v>
      </c>
    </row>
    <row r="129">
      <c r="E129" s="5">
        <v>127.0</v>
      </c>
      <c r="F129" s="5" t="s">
        <v>95</v>
      </c>
      <c r="H129" s="5" t="s">
        <v>515</v>
      </c>
      <c r="I129" s="5" t="s">
        <v>193</v>
      </c>
      <c r="J129" s="5" t="s">
        <v>516</v>
      </c>
      <c r="K129" s="5" t="s">
        <v>21</v>
      </c>
      <c r="L129" s="5" t="s">
        <v>517</v>
      </c>
      <c r="M129" s="5" t="s">
        <v>518</v>
      </c>
      <c r="N129" s="5" t="s">
        <v>519</v>
      </c>
      <c r="O129" s="5" t="s">
        <v>520</v>
      </c>
      <c r="P129" s="5" t="s">
        <v>511</v>
      </c>
      <c r="Q129" s="6">
        <v>18.0</v>
      </c>
      <c r="R129" s="5" t="s">
        <v>512</v>
      </c>
      <c r="S129" s="5" t="s">
        <v>513</v>
      </c>
      <c r="T129" s="5" t="s">
        <v>514</v>
      </c>
    </row>
    <row r="130">
      <c r="E130" s="5">
        <v>128.0</v>
      </c>
      <c r="F130" s="5" t="s">
        <v>190</v>
      </c>
      <c r="H130" s="5" t="s">
        <v>515</v>
      </c>
      <c r="I130" s="5" t="s">
        <v>193</v>
      </c>
      <c r="J130" s="5" t="s">
        <v>521</v>
      </c>
      <c r="K130" s="5" t="s">
        <v>21</v>
      </c>
      <c r="L130" s="5" t="s">
        <v>522</v>
      </c>
      <c r="M130" s="5" t="s">
        <v>523</v>
      </c>
      <c r="N130" s="5" t="s">
        <v>524</v>
      </c>
      <c r="O130" s="5" t="s">
        <v>520</v>
      </c>
      <c r="P130" s="5" t="s">
        <v>511</v>
      </c>
      <c r="Q130" s="6">
        <v>18.0</v>
      </c>
      <c r="R130" s="5" t="s">
        <v>512</v>
      </c>
      <c r="S130" s="5" t="s">
        <v>513</v>
      </c>
      <c r="T130" s="5" t="s">
        <v>514</v>
      </c>
    </row>
    <row r="131">
      <c r="E131" s="5">
        <v>129.0</v>
      </c>
      <c r="F131" s="5" t="s">
        <v>95</v>
      </c>
      <c r="H131" s="5" t="s">
        <v>515</v>
      </c>
      <c r="I131" s="5" t="s">
        <v>193</v>
      </c>
      <c r="J131" s="5" t="s">
        <v>525</v>
      </c>
      <c r="K131" s="5" t="s">
        <v>21</v>
      </c>
      <c r="L131" s="5" t="s">
        <v>526</v>
      </c>
      <c r="M131" s="5" t="s">
        <v>527</v>
      </c>
      <c r="N131" s="5" t="s">
        <v>528</v>
      </c>
      <c r="O131" s="5" t="s">
        <v>529</v>
      </c>
      <c r="P131" s="5" t="s">
        <v>511</v>
      </c>
      <c r="Q131" s="6" t="s">
        <v>530</v>
      </c>
      <c r="R131" s="5" t="s">
        <v>512</v>
      </c>
      <c r="S131" s="5" t="s">
        <v>513</v>
      </c>
      <c r="T131" s="5" t="s">
        <v>514</v>
      </c>
      <c r="U131" s="15"/>
    </row>
    <row r="132">
      <c r="E132" s="5">
        <v>130.0</v>
      </c>
      <c r="F132" s="5" t="s">
        <v>95</v>
      </c>
      <c r="H132" s="5" t="s">
        <v>135</v>
      </c>
      <c r="I132" s="5" t="s">
        <v>531</v>
      </c>
      <c r="J132" s="5" t="s">
        <v>532</v>
      </c>
      <c r="K132" s="5" t="s">
        <v>21</v>
      </c>
      <c r="L132" s="5" t="s">
        <v>533</v>
      </c>
      <c r="M132" s="5" t="s">
        <v>534</v>
      </c>
      <c r="N132" s="5" t="s">
        <v>535</v>
      </c>
      <c r="P132" s="5" t="s">
        <v>511</v>
      </c>
      <c r="Q132" s="6" t="s">
        <v>536</v>
      </c>
      <c r="R132" s="5" t="s">
        <v>512</v>
      </c>
      <c r="S132" s="5" t="s">
        <v>513</v>
      </c>
      <c r="T132" s="5" t="s">
        <v>514</v>
      </c>
    </row>
    <row r="133">
      <c r="E133" s="5">
        <v>131.0</v>
      </c>
      <c r="F133" s="5" t="s">
        <v>95</v>
      </c>
      <c r="H133" s="5" t="s">
        <v>135</v>
      </c>
      <c r="I133" s="5" t="s">
        <v>531</v>
      </c>
      <c r="J133" s="5" t="s">
        <v>537</v>
      </c>
      <c r="K133" s="5" t="s">
        <v>21</v>
      </c>
      <c r="L133" s="5" t="s">
        <v>538</v>
      </c>
      <c r="M133" s="5" t="s">
        <v>539</v>
      </c>
      <c r="N133" s="5" t="s">
        <v>540</v>
      </c>
      <c r="P133" s="5" t="s">
        <v>511</v>
      </c>
      <c r="Q133" s="6" t="s">
        <v>536</v>
      </c>
      <c r="R133" s="5" t="s">
        <v>512</v>
      </c>
      <c r="S133" s="5" t="s">
        <v>513</v>
      </c>
      <c r="T133" s="5" t="s">
        <v>514</v>
      </c>
    </row>
    <row r="134">
      <c r="E134" s="5">
        <v>132.0</v>
      </c>
      <c r="F134" s="5" t="s">
        <v>95</v>
      </c>
      <c r="H134" s="5" t="s">
        <v>135</v>
      </c>
      <c r="I134" s="5" t="s">
        <v>531</v>
      </c>
      <c r="J134" s="5" t="s">
        <v>541</v>
      </c>
      <c r="K134" s="5" t="s">
        <v>21</v>
      </c>
      <c r="L134" s="5" t="s">
        <v>542</v>
      </c>
      <c r="M134" s="5" t="s">
        <v>543</v>
      </c>
      <c r="N134" s="5" t="s">
        <v>544</v>
      </c>
      <c r="P134" s="5" t="s">
        <v>511</v>
      </c>
      <c r="Q134" s="6" t="s">
        <v>536</v>
      </c>
      <c r="R134" s="5" t="s">
        <v>512</v>
      </c>
      <c r="S134" s="5" t="s">
        <v>513</v>
      </c>
      <c r="T134" s="5" t="s">
        <v>514</v>
      </c>
    </row>
    <row r="135">
      <c r="E135" s="5">
        <v>133.0</v>
      </c>
      <c r="F135" s="5" t="s">
        <v>209</v>
      </c>
      <c r="H135" s="5" t="s">
        <v>545</v>
      </c>
      <c r="I135" s="5" t="s">
        <v>305</v>
      </c>
      <c r="J135" s="5" t="s">
        <v>546</v>
      </c>
      <c r="K135" s="5" t="s">
        <v>21</v>
      </c>
      <c r="L135" s="5" t="s">
        <v>547</v>
      </c>
      <c r="M135" s="5" t="s">
        <v>548</v>
      </c>
      <c r="N135" s="5" t="s">
        <v>549</v>
      </c>
      <c r="O135" s="5" t="s">
        <v>550</v>
      </c>
      <c r="P135" s="5" t="s">
        <v>511</v>
      </c>
      <c r="Q135" s="6">
        <v>21.0</v>
      </c>
      <c r="R135" s="5" t="s">
        <v>512</v>
      </c>
      <c r="S135" s="5" t="s">
        <v>513</v>
      </c>
      <c r="T135" s="5" t="s">
        <v>514</v>
      </c>
    </row>
    <row r="136">
      <c r="E136" s="5">
        <v>134.0</v>
      </c>
      <c r="F136" s="5" t="s">
        <v>229</v>
      </c>
      <c r="H136" s="5" t="s">
        <v>230</v>
      </c>
      <c r="I136" s="5" t="s">
        <v>231</v>
      </c>
      <c r="J136" s="5" t="s">
        <v>551</v>
      </c>
      <c r="K136" s="5" t="s">
        <v>21</v>
      </c>
      <c r="L136" s="5" t="s">
        <v>552</v>
      </c>
      <c r="M136" s="5" t="s">
        <v>553</v>
      </c>
      <c r="N136" s="5" t="s">
        <v>554</v>
      </c>
      <c r="O136" s="5" t="s">
        <v>555</v>
      </c>
      <c r="P136" s="5" t="s">
        <v>511</v>
      </c>
      <c r="Q136" s="6">
        <v>21.0</v>
      </c>
      <c r="R136" s="5" t="s">
        <v>512</v>
      </c>
      <c r="S136" s="5" t="s">
        <v>513</v>
      </c>
      <c r="T136" s="5" t="s">
        <v>514</v>
      </c>
    </row>
    <row r="137">
      <c r="E137" s="5">
        <v>135.0</v>
      </c>
      <c r="F137" s="5" t="s">
        <v>209</v>
      </c>
      <c r="H137" s="5" t="s">
        <v>556</v>
      </c>
      <c r="I137" s="5" t="s">
        <v>557</v>
      </c>
      <c r="J137" s="5" t="s">
        <v>558</v>
      </c>
      <c r="K137" s="5" t="s">
        <v>21</v>
      </c>
      <c r="L137" s="5" t="s">
        <v>559</v>
      </c>
      <c r="M137" s="5" t="s">
        <v>560</v>
      </c>
      <c r="N137" s="5" t="s">
        <v>561</v>
      </c>
      <c r="P137" s="5" t="s">
        <v>511</v>
      </c>
      <c r="Q137" s="6">
        <v>21.0</v>
      </c>
      <c r="R137" s="5" t="s">
        <v>512</v>
      </c>
      <c r="S137" s="5" t="s">
        <v>513</v>
      </c>
      <c r="T137" s="5" t="s">
        <v>514</v>
      </c>
    </row>
    <row r="138">
      <c r="E138" s="5">
        <v>136.0</v>
      </c>
      <c r="F138" s="5" t="s">
        <v>209</v>
      </c>
      <c r="H138" s="5" t="s">
        <v>135</v>
      </c>
      <c r="I138" s="5" t="s">
        <v>375</v>
      </c>
      <c r="J138" s="5" t="s">
        <v>562</v>
      </c>
      <c r="K138" s="5" t="s">
        <v>21</v>
      </c>
      <c r="L138" s="5" t="s">
        <v>563</v>
      </c>
      <c r="M138" s="5" t="s">
        <v>564</v>
      </c>
      <c r="N138" s="5" t="s">
        <v>565</v>
      </c>
      <c r="P138" s="5" t="s">
        <v>511</v>
      </c>
      <c r="Q138" s="6">
        <v>21.0</v>
      </c>
      <c r="R138" s="5" t="s">
        <v>512</v>
      </c>
      <c r="S138" s="5" t="s">
        <v>513</v>
      </c>
      <c r="T138" s="5" t="s">
        <v>514</v>
      </c>
    </row>
    <row r="139">
      <c r="E139" s="5">
        <v>137.0</v>
      </c>
      <c r="F139" s="5" t="s">
        <v>281</v>
      </c>
      <c r="H139" s="5" t="s">
        <v>566</v>
      </c>
      <c r="I139" s="5" t="s">
        <v>567</v>
      </c>
      <c r="J139" s="5" t="s">
        <v>71</v>
      </c>
      <c r="K139" s="5" t="s">
        <v>21</v>
      </c>
      <c r="L139" s="5" t="s">
        <v>568</v>
      </c>
      <c r="M139" s="5" t="s">
        <v>569</v>
      </c>
      <c r="N139" s="5" t="s">
        <v>266</v>
      </c>
      <c r="O139" s="5" t="s">
        <v>570</v>
      </c>
      <c r="P139" s="5" t="s">
        <v>511</v>
      </c>
      <c r="Q139" s="6">
        <v>24.0</v>
      </c>
      <c r="R139" s="5" t="s">
        <v>512</v>
      </c>
      <c r="S139" s="5" t="s">
        <v>513</v>
      </c>
      <c r="T139" s="5" t="s">
        <v>514</v>
      </c>
    </row>
    <row r="140">
      <c r="E140" s="5">
        <v>138.0</v>
      </c>
      <c r="F140" s="5" t="s">
        <v>95</v>
      </c>
      <c r="H140" s="5" t="s">
        <v>571</v>
      </c>
      <c r="I140" s="5" t="s">
        <v>572</v>
      </c>
      <c r="J140" s="5" t="s">
        <v>71</v>
      </c>
      <c r="K140" s="5" t="s">
        <v>21</v>
      </c>
      <c r="L140" s="5" t="s">
        <v>573</v>
      </c>
      <c r="M140" s="5" t="s">
        <v>574</v>
      </c>
      <c r="N140" s="5" t="s">
        <v>266</v>
      </c>
      <c r="O140" s="5" t="s">
        <v>555</v>
      </c>
      <c r="P140" s="5" t="s">
        <v>511</v>
      </c>
      <c r="Q140" s="6" t="s">
        <v>575</v>
      </c>
      <c r="R140" s="5" t="s">
        <v>512</v>
      </c>
      <c r="S140" s="5" t="s">
        <v>513</v>
      </c>
      <c r="T140" s="5" t="s">
        <v>514</v>
      </c>
    </row>
    <row r="141">
      <c r="E141" s="5">
        <v>139.0</v>
      </c>
      <c r="F141" s="5" t="s">
        <v>95</v>
      </c>
      <c r="H141" s="5" t="s">
        <v>576</v>
      </c>
      <c r="I141" s="5" t="s">
        <v>577</v>
      </c>
      <c r="J141" s="5" t="s">
        <v>71</v>
      </c>
      <c r="K141" s="5" t="s">
        <v>21</v>
      </c>
      <c r="L141" s="5" t="s">
        <v>578</v>
      </c>
      <c r="M141" s="5" t="s">
        <v>579</v>
      </c>
      <c r="N141" s="5" t="s">
        <v>266</v>
      </c>
      <c r="O141" s="5" t="s">
        <v>555</v>
      </c>
      <c r="P141" s="5" t="s">
        <v>511</v>
      </c>
      <c r="Q141" s="6" t="s">
        <v>575</v>
      </c>
      <c r="R141" s="5" t="s">
        <v>512</v>
      </c>
      <c r="S141" s="5" t="s">
        <v>513</v>
      </c>
      <c r="T141" s="5" t="s">
        <v>514</v>
      </c>
    </row>
    <row r="142">
      <c r="E142" s="5">
        <v>140.0</v>
      </c>
      <c r="F142" s="5" t="s">
        <v>95</v>
      </c>
      <c r="H142" s="5" t="s">
        <v>580</v>
      </c>
      <c r="I142" s="5" t="s">
        <v>577</v>
      </c>
      <c r="J142" s="5" t="s">
        <v>71</v>
      </c>
      <c r="K142" s="5" t="s">
        <v>21</v>
      </c>
      <c r="L142" s="5" t="s">
        <v>581</v>
      </c>
      <c r="M142" s="5" t="s">
        <v>582</v>
      </c>
      <c r="N142" s="5" t="s">
        <v>266</v>
      </c>
      <c r="O142" s="5" t="s">
        <v>555</v>
      </c>
      <c r="P142" s="5" t="s">
        <v>511</v>
      </c>
      <c r="Q142" s="6" t="s">
        <v>575</v>
      </c>
      <c r="R142" s="5" t="s">
        <v>512</v>
      </c>
      <c r="S142" s="5" t="s">
        <v>513</v>
      </c>
      <c r="T142" s="5" t="s">
        <v>514</v>
      </c>
    </row>
    <row r="143">
      <c r="E143" s="5">
        <v>141.0</v>
      </c>
      <c r="F143" s="5" t="s">
        <v>95</v>
      </c>
      <c r="H143" s="5" t="s">
        <v>583</v>
      </c>
      <c r="I143" s="5" t="s">
        <v>584</v>
      </c>
      <c r="J143" s="5" t="s">
        <v>71</v>
      </c>
      <c r="K143" s="5" t="s">
        <v>21</v>
      </c>
      <c r="L143" s="5" t="s">
        <v>585</v>
      </c>
      <c r="M143" s="5" t="s">
        <v>586</v>
      </c>
      <c r="N143" s="5" t="s">
        <v>266</v>
      </c>
      <c r="O143" s="5" t="s">
        <v>555</v>
      </c>
      <c r="P143" s="5" t="s">
        <v>511</v>
      </c>
      <c r="Q143" s="6" t="s">
        <v>575</v>
      </c>
      <c r="R143" s="5" t="s">
        <v>512</v>
      </c>
      <c r="S143" s="5" t="s">
        <v>513</v>
      </c>
      <c r="T143" s="5" t="s">
        <v>514</v>
      </c>
    </row>
    <row r="144">
      <c r="E144" s="5">
        <v>142.0</v>
      </c>
      <c r="F144" s="5" t="s">
        <v>95</v>
      </c>
      <c r="H144" s="5" t="s">
        <v>587</v>
      </c>
      <c r="I144" s="5" t="s">
        <v>584</v>
      </c>
      <c r="J144" s="5" t="s">
        <v>71</v>
      </c>
      <c r="K144" s="5" t="s">
        <v>21</v>
      </c>
      <c r="L144" s="5" t="s">
        <v>588</v>
      </c>
      <c r="M144" s="5" t="s">
        <v>589</v>
      </c>
      <c r="N144" s="5" t="s">
        <v>266</v>
      </c>
      <c r="O144" s="5" t="s">
        <v>555</v>
      </c>
      <c r="P144" s="5" t="s">
        <v>511</v>
      </c>
      <c r="Q144" s="6" t="s">
        <v>575</v>
      </c>
      <c r="R144" s="5" t="s">
        <v>512</v>
      </c>
      <c r="S144" s="5" t="s">
        <v>513</v>
      </c>
      <c r="T144" s="5" t="s">
        <v>514</v>
      </c>
    </row>
    <row r="145">
      <c r="E145" s="5">
        <v>143.0</v>
      </c>
      <c r="F145" s="5" t="s">
        <v>95</v>
      </c>
      <c r="H145" s="5" t="s">
        <v>590</v>
      </c>
      <c r="I145" s="5" t="s">
        <v>591</v>
      </c>
      <c r="J145" s="5" t="s">
        <v>71</v>
      </c>
      <c r="K145" s="5" t="s">
        <v>21</v>
      </c>
      <c r="L145" s="5" t="s">
        <v>592</v>
      </c>
      <c r="M145" s="5" t="s">
        <v>593</v>
      </c>
      <c r="N145" s="5" t="s">
        <v>266</v>
      </c>
      <c r="O145" s="5" t="s">
        <v>555</v>
      </c>
      <c r="P145" s="5" t="s">
        <v>511</v>
      </c>
      <c r="Q145" s="6" t="s">
        <v>575</v>
      </c>
      <c r="R145" s="5" t="s">
        <v>512</v>
      </c>
      <c r="S145" s="5" t="s">
        <v>513</v>
      </c>
      <c r="T145" s="5" t="s">
        <v>514</v>
      </c>
    </row>
    <row r="146">
      <c r="E146" s="5">
        <v>144.0</v>
      </c>
      <c r="F146" s="5" t="s">
        <v>95</v>
      </c>
      <c r="H146" s="5" t="s">
        <v>594</v>
      </c>
      <c r="I146" s="5" t="s">
        <v>595</v>
      </c>
      <c r="J146" s="5" t="s">
        <v>71</v>
      </c>
      <c r="K146" s="5" t="s">
        <v>21</v>
      </c>
      <c r="L146" s="5" t="s">
        <v>596</v>
      </c>
      <c r="M146" s="5" t="s">
        <v>597</v>
      </c>
      <c r="N146" s="5" t="s">
        <v>266</v>
      </c>
      <c r="O146" s="5" t="s">
        <v>555</v>
      </c>
      <c r="P146" s="5" t="s">
        <v>511</v>
      </c>
      <c r="Q146" s="6" t="s">
        <v>575</v>
      </c>
      <c r="R146" s="5" t="s">
        <v>512</v>
      </c>
      <c r="S146" s="5" t="s">
        <v>513</v>
      </c>
      <c r="T146" s="5" t="s">
        <v>514</v>
      </c>
    </row>
    <row r="147">
      <c r="E147" s="5">
        <v>145.0</v>
      </c>
      <c r="F147" s="5" t="s">
        <v>95</v>
      </c>
      <c r="H147" s="5" t="s">
        <v>598</v>
      </c>
      <c r="I147" s="5" t="s">
        <v>595</v>
      </c>
      <c r="J147" s="5" t="s">
        <v>71</v>
      </c>
      <c r="K147" s="5" t="s">
        <v>21</v>
      </c>
      <c r="L147" s="5" t="s">
        <v>599</v>
      </c>
      <c r="M147" s="5" t="s">
        <v>600</v>
      </c>
      <c r="N147" s="5" t="s">
        <v>266</v>
      </c>
      <c r="O147" s="5" t="s">
        <v>555</v>
      </c>
      <c r="P147" s="5" t="s">
        <v>511</v>
      </c>
      <c r="Q147" s="6" t="s">
        <v>575</v>
      </c>
      <c r="R147" s="5" t="s">
        <v>512</v>
      </c>
      <c r="S147" s="5" t="s">
        <v>513</v>
      </c>
      <c r="T147" s="5" t="s">
        <v>514</v>
      </c>
    </row>
    <row r="148">
      <c r="E148" s="5">
        <v>146.0</v>
      </c>
      <c r="F148" s="5" t="s">
        <v>17</v>
      </c>
      <c r="H148" s="5" t="s">
        <v>46</v>
      </c>
      <c r="I148" s="5" t="s">
        <v>19</v>
      </c>
      <c r="J148" s="5" t="s">
        <v>601</v>
      </c>
      <c r="K148" s="5" t="s">
        <v>21</v>
      </c>
      <c r="L148" s="5" t="s">
        <v>602</v>
      </c>
      <c r="M148" s="5" t="s">
        <v>603</v>
      </c>
      <c r="N148" s="5" t="s">
        <v>266</v>
      </c>
      <c r="O148" s="5" t="s">
        <v>604</v>
      </c>
      <c r="P148" s="5" t="s">
        <v>511</v>
      </c>
      <c r="Q148" s="6">
        <v>26.0</v>
      </c>
      <c r="R148" s="5" t="s">
        <v>512</v>
      </c>
      <c r="S148" s="5" t="s">
        <v>513</v>
      </c>
      <c r="T148" s="5" t="s">
        <v>514</v>
      </c>
    </row>
    <row r="149">
      <c r="E149" s="5">
        <v>147.0</v>
      </c>
      <c r="F149" s="5" t="s">
        <v>95</v>
      </c>
      <c r="H149" s="5" t="s">
        <v>545</v>
      </c>
      <c r="I149" s="5" t="s">
        <v>135</v>
      </c>
      <c r="J149" s="5" t="s">
        <v>415</v>
      </c>
      <c r="K149" s="5" t="s">
        <v>605</v>
      </c>
      <c r="L149" s="5" t="s">
        <v>602</v>
      </c>
      <c r="M149" s="5" t="s">
        <v>606</v>
      </c>
      <c r="N149" s="5" t="s">
        <v>266</v>
      </c>
      <c r="O149" s="5" t="s">
        <v>604</v>
      </c>
      <c r="P149" s="5" t="s">
        <v>511</v>
      </c>
      <c r="Q149" s="6">
        <v>26.0</v>
      </c>
      <c r="R149" s="5" t="s">
        <v>512</v>
      </c>
      <c r="S149" s="5" t="s">
        <v>513</v>
      </c>
      <c r="T149" s="5" t="s">
        <v>514</v>
      </c>
    </row>
    <row r="150">
      <c r="E150" s="5">
        <v>148.0</v>
      </c>
      <c r="F150" s="5" t="s">
        <v>95</v>
      </c>
      <c r="H150" s="5" t="s">
        <v>607</v>
      </c>
      <c r="I150" s="5" t="s">
        <v>608</v>
      </c>
      <c r="J150" s="5" t="s">
        <v>609</v>
      </c>
      <c r="K150" s="5" t="s">
        <v>21</v>
      </c>
      <c r="L150" s="5" t="s">
        <v>610</v>
      </c>
      <c r="M150" s="5" t="s">
        <v>611</v>
      </c>
      <c r="N150" s="5" t="s">
        <v>266</v>
      </c>
      <c r="O150" s="5" t="s">
        <v>612</v>
      </c>
      <c r="P150" s="5" t="s">
        <v>511</v>
      </c>
      <c r="Q150" s="6" t="s">
        <v>613</v>
      </c>
      <c r="R150" s="5" t="s">
        <v>512</v>
      </c>
      <c r="S150" s="5" t="s">
        <v>513</v>
      </c>
      <c r="T150" s="5" t="s">
        <v>514</v>
      </c>
    </row>
    <row r="151">
      <c r="E151" s="5">
        <v>149.0</v>
      </c>
      <c r="F151" s="5" t="s">
        <v>95</v>
      </c>
      <c r="H151" s="5" t="s">
        <v>614</v>
      </c>
      <c r="I151" s="5" t="s">
        <v>615</v>
      </c>
      <c r="J151" s="5" t="s">
        <v>616</v>
      </c>
      <c r="K151" s="5" t="s">
        <v>21</v>
      </c>
      <c r="L151" s="5" t="s">
        <v>617</v>
      </c>
      <c r="M151" s="5" t="s">
        <v>618</v>
      </c>
      <c r="N151" s="5" t="s">
        <v>266</v>
      </c>
      <c r="O151" s="5" t="s">
        <v>612</v>
      </c>
      <c r="P151" s="5" t="s">
        <v>511</v>
      </c>
      <c r="Q151" s="6" t="s">
        <v>613</v>
      </c>
      <c r="R151" s="5" t="s">
        <v>512</v>
      </c>
      <c r="S151" s="5" t="s">
        <v>513</v>
      </c>
      <c r="T151" s="5" t="s">
        <v>514</v>
      </c>
    </row>
    <row r="152">
      <c r="E152" s="5">
        <v>150.0</v>
      </c>
      <c r="F152" s="5" t="s">
        <v>95</v>
      </c>
      <c r="G152" s="5" t="s">
        <v>362</v>
      </c>
      <c r="H152" s="5" t="s">
        <v>363</v>
      </c>
      <c r="I152" s="5" t="s">
        <v>364</v>
      </c>
      <c r="J152" s="5" t="s">
        <v>619</v>
      </c>
      <c r="K152" s="5" t="s">
        <v>21</v>
      </c>
      <c r="L152" s="5" t="s">
        <v>620</v>
      </c>
      <c r="M152" s="5" t="s">
        <v>621</v>
      </c>
      <c r="N152" s="5" t="s">
        <v>266</v>
      </c>
      <c r="O152" s="5" t="s">
        <v>622</v>
      </c>
      <c r="P152" s="5" t="s">
        <v>511</v>
      </c>
      <c r="Q152" s="6">
        <v>30.0</v>
      </c>
      <c r="R152" s="5" t="s">
        <v>512</v>
      </c>
      <c r="S152" s="5" t="s">
        <v>513</v>
      </c>
      <c r="T152" s="5" t="s">
        <v>514</v>
      </c>
    </row>
    <row r="153">
      <c r="E153" s="5">
        <v>151.0</v>
      </c>
      <c r="F153" s="5" t="s">
        <v>190</v>
      </c>
      <c r="H153" s="5" t="s">
        <v>623</v>
      </c>
      <c r="I153" s="5" t="s">
        <v>624</v>
      </c>
      <c r="J153" s="5" t="s">
        <v>625</v>
      </c>
      <c r="K153" s="5" t="s">
        <v>626</v>
      </c>
      <c r="L153" s="5" t="s">
        <v>620</v>
      </c>
      <c r="M153" s="5" t="s">
        <v>621</v>
      </c>
      <c r="N153" s="5" t="s">
        <v>266</v>
      </c>
      <c r="O153" s="5" t="s">
        <v>627</v>
      </c>
      <c r="P153" s="5" t="s">
        <v>511</v>
      </c>
      <c r="Q153" s="6">
        <v>30.0</v>
      </c>
      <c r="R153" s="5" t="s">
        <v>512</v>
      </c>
      <c r="S153" s="5" t="s">
        <v>513</v>
      </c>
      <c r="T153" s="5" t="s">
        <v>514</v>
      </c>
    </row>
    <row r="154">
      <c r="E154" s="5">
        <v>152.0</v>
      </c>
      <c r="F154" s="5" t="s">
        <v>95</v>
      </c>
      <c r="G154" s="5" t="s">
        <v>134</v>
      </c>
      <c r="H154" s="5" t="s">
        <v>135</v>
      </c>
      <c r="I154" s="5" t="s">
        <v>136</v>
      </c>
      <c r="J154" s="5" t="s">
        <v>619</v>
      </c>
      <c r="K154" s="5" t="s">
        <v>21</v>
      </c>
      <c r="L154" s="5" t="s">
        <v>628</v>
      </c>
      <c r="M154" s="5" t="s">
        <v>629</v>
      </c>
      <c r="N154" s="5" t="s">
        <v>266</v>
      </c>
      <c r="O154" s="5" t="s">
        <v>622</v>
      </c>
      <c r="P154" s="5" t="s">
        <v>511</v>
      </c>
      <c r="Q154" s="6">
        <v>30.0</v>
      </c>
      <c r="R154" s="5" t="s">
        <v>512</v>
      </c>
      <c r="S154" s="5" t="s">
        <v>513</v>
      </c>
      <c r="T154" s="5" t="s">
        <v>514</v>
      </c>
    </row>
    <row r="155">
      <c r="E155" s="5">
        <v>153.0</v>
      </c>
      <c r="F155" s="5" t="s">
        <v>190</v>
      </c>
      <c r="H155" s="5" t="s">
        <v>623</v>
      </c>
      <c r="I155" s="5" t="s">
        <v>624</v>
      </c>
      <c r="J155" s="5" t="s">
        <v>137</v>
      </c>
      <c r="K155" s="5" t="s">
        <v>630</v>
      </c>
      <c r="L155" s="5" t="s">
        <v>628</v>
      </c>
      <c r="M155" s="5" t="s">
        <v>629</v>
      </c>
      <c r="N155" s="5" t="s">
        <v>266</v>
      </c>
      <c r="O155" s="5" t="s">
        <v>627</v>
      </c>
      <c r="P155" s="5" t="s">
        <v>511</v>
      </c>
      <c r="Q155" s="6">
        <v>30.0</v>
      </c>
      <c r="R155" s="5" t="s">
        <v>512</v>
      </c>
      <c r="S155" s="5" t="s">
        <v>513</v>
      </c>
      <c r="T155" s="5" t="s">
        <v>514</v>
      </c>
    </row>
    <row r="156">
      <c r="E156" s="5">
        <v>154.0</v>
      </c>
      <c r="F156" s="5" t="s">
        <v>52</v>
      </c>
      <c r="H156" s="5" t="s">
        <v>19</v>
      </c>
      <c r="I156" s="5" t="s">
        <v>631</v>
      </c>
      <c r="J156" s="5" t="s">
        <v>632</v>
      </c>
      <c r="K156" s="5" t="s">
        <v>21</v>
      </c>
      <c r="L156" s="5" t="s">
        <v>633</v>
      </c>
      <c r="M156" s="5" t="s">
        <v>634</v>
      </c>
      <c r="N156" s="5" t="s">
        <v>266</v>
      </c>
      <c r="O156" s="5" t="s">
        <v>635</v>
      </c>
      <c r="P156" s="5" t="s">
        <v>511</v>
      </c>
      <c r="Q156" s="6">
        <v>33.0</v>
      </c>
      <c r="R156" s="5" t="s">
        <v>512</v>
      </c>
      <c r="S156" s="5" t="s">
        <v>513</v>
      </c>
      <c r="T156" s="5" t="s">
        <v>514</v>
      </c>
    </row>
    <row r="157">
      <c r="E157" s="5">
        <v>155.0</v>
      </c>
      <c r="F157" s="5" t="s">
        <v>52</v>
      </c>
      <c r="H157" s="5" t="s">
        <v>19</v>
      </c>
      <c r="I157" s="5" t="s">
        <v>18</v>
      </c>
      <c r="J157" s="5" t="s">
        <v>632</v>
      </c>
      <c r="K157" s="5" t="s">
        <v>21</v>
      </c>
      <c r="L157" s="5" t="s">
        <v>21</v>
      </c>
      <c r="M157" s="5" t="s">
        <v>21</v>
      </c>
      <c r="N157" s="5" t="s">
        <v>266</v>
      </c>
      <c r="O157" s="5" t="s">
        <v>635</v>
      </c>
      <c r="P157" s="5" t="s">
        <v>511</v>
      </c>
      <c r="Q157" s="6">
        <v>33.0</v>
      </c>
      <c r="R157" s="5" t="s">
        <v>512</v>
      </c>
      <c r="S157" s="5" t="s">
        <v>513</v>
      </c>
      <c r="T157" s="5" t="s">
        <v>514</v>
      </c>
    </row>
    <row r="158">
      <c r="E158" s="5">
        <v>156.0</v>
      </c>
      <c r="F158" s="5" t="s">
        <v>52</v>
      </c>
      <c r="H158" s="5" t="s">
        <v>19</v>
      </c>
      <c r="I158" s="5" t="s">
        <v>614</v>
      </c>
      <c r="J158" s="5" t="s">
        <v>636</v>
      </c>
      <c r="K158" s="5" t="s">
        <v>21</v>
      </c>
      <c r="L158" s="5" t="s">
        <v>637</v>
      </c>
      <c r="M158" s="5" t="s">
        <v>638</v>
      </c>
      <c r="N158" s="5" t="s">
        <v>266</v>
      </c>
      <c r="O158" s="5" t="s">
        <v>639</v>
      </c>
      <c r="P158" s="5" t="s">
        <v>511</v>
      </c>
      <c r="Q158" s="6">
        <v>33.0</v>
      </c>
      <c r="R158" s="5" t="s">
        <v>512</v>
      </c>
      <c r="S158" s="5" t="s">
        <v>513</v>
      </c>
      <c r="T158" s="5" t="s">
        <v>514</v>
      </c>
    </row>
    <row r="159">
      <c r="E159" s="5">
        <v>157.0</v>
      </c>
      <c r="F159" s="5" t="s">
        <v>17</v>
      </c>
      <c r="H159" s="5" t="s">
        <v>46</v>
      </c>
      <c r="I159" s="5" t="s">
        <v>19</v>
      </c>
      <c r="J159" s="5" t="s">
        <v>640</v>
      </c>
      <c r="K159" s="5" t="s">
        <v>21</v>
      </c>
      <c r="L159" s="5" t="s">
        <v>641</v>
      </c>
      <c r="M159" s="5" t="s">
        <v>642</v>
      </c>
      <c r="N159" s="5" t="s">
        <v>266</v>
      </c>
      <c r="O159" s="5" t="s">
        <v>643</v>
      </c>
      <c r="P159" s="5" t="s">
        <v>511</v>
      </c>
      <c r="Q159" s="6">
        <v>34.0</v>
      </c>
      <c r="R159" s="5" t="s">
        <v>512</v>
      </c>
      <c r="S159" s="5" t="s">
        <v>513</v>
      </c>
      <c r="T159" s="5" t="s">
        <v>514</v>
      </c>
    </row>
    <row r="160">
      <c r="E160" s="5">
        <v>158.0</v>
      </c>
      <c r="F160" s="5" t="s">
        <v>17</v>
      </c>
      <c r="H160" s="5" t="s">
        <v>46</v>
      </c>
      <c r="I160" s="5" t="s">
        <v>19</v>
      </c>
      <c r="J160" s="5" t="s">
        <v>644</v>
      </c>
      <c r="K160" s="5" t="s">
        <v>21</v>
      </c>
      <c r="L160" s="5" t="s">
        <v>645</v>
      </c>
      <c r="M160" s="5" t="s">
        <v>646</v>
      </c>
      <c r="N160" s="5" t="s">
        <v>266</v>
      </c>
      <c r="O160" s="5" t="s">
        <v>647</v>
      </c>
      <c r="P160" s="5" t="s">
        <v>511</v>
      </c>
      <c r="Q160" s="6">
        <v>34.0</v>
      </c>
      <c r="R160" s="5" t="s">
        <v>512</v>
      </c>
      <c r="S160" s="5" t="s">
        <v>513</v>
      </c>
      <c r="T160" s="5" t="s">
        <v>514</v>
      </c>
    </row>
    <row r="161">
      <c r="E161" s="5">
        <v>159.0</v>
      </c>
      <c r="F161" s="5" t="s">
        <v>52</v>
      </c>
      <c r="G161" s="5" t="s">
        <v>53</v>
      </c>
      <c r="H161" s="5" t="s">
        <v>19</v>
      </c>
      <c r="I161" s="5" t="s">
        <v>648</v>
      </c>
      <c r="J161" s="5" t="s">
        <v>81</v>
      </c>
      <c r="K161" s="5" t="s">
        <v>21</v>
      </c>
      <c r="L161" s="5" t="s">
        <v>649</v>
      </c>
      <c r="M161" s="5" t="s">
        <v>650</v>
      </c>
      <c r="N161" s="5" t="s">
        <v>266</v>
      </c>
      <c r="P161" s="5" t="s">
        <v>511</v>
      </c>
      <c r="Q161" s="6" t="s">
        <v>152</v>
      </c>
      <c r="R161" s="5" t="s">
        <v>512</v>
      </c>
      <c r="S161" s="5" t="s">
        <v>513</v>
      </c>
      <c r="T161" s="5" t="s">
        <v>514</v>
      </c>
    </row>
    <row r="162">
      <c r="C162" s="14" t="s">
        <v>651</v>
      </c>
      <c r="E162" s="5">
        <v>160.0</v>
      </c>
      <c r="F162" s="5" t="s">
        <v>190</v>
      </c>
      <c r="H162" s="5" t="s">
        <v>623</v>
      </c>
      <c r="I162" s="5" t="s">
        <v>624</v>
      </c>
      <c r="J162" s="5" t="s">
        <v>652</v>
      </c>
      <c r="K162" s="5" t="s">
        <v>21</v>
      </c>
      <c r="L162" s="5" t="s">
        <v>653</v>
      </c>
      <c r="M162" s="5" t="s">
        <v>654</v>
      </c>
      <c r="N162" s="5" t="s">
        <v>655</v>
      </c>
      <c r="P162" s="5" t="s">
        <v>656</v>
      </c>
      <c r="Q162" s="6">
        <v>29.0</v>
      </c>
      <c r="R162" s="5" t="s">
        <v>657</v>
      </c>
      <c r="S162" s="5" t="s">
        <v>657</v>
      </c>
      <c r="T162" s="5" t="s">
        <v>657</v>
      </c>
    </row>
    <row r="163">
      <c r="E163" s="5">
        <v>161.0</v>
      </c>
      <c r="F163" s="5" t="s">
        <v>281</v>
      </c>
      <c r="H163" s="5" t="s">
        <v>658</v>
      </c>
      <c r="I163" s="5" t="s">
        <v>659</v>
      </c>
      <c r="J163" s="5" t="s">
        <v>71</v>
      </c>
      <c r="K163" s="5" t="s">
        <v>21</v>
      </c>
      <c r="L163" s="5" t="s">
        <v>660</v>
      </c>
      <c r="M163" s="5" t="s">
        <v>661</v>
      </c>
      <c r="N163" s="5" t="s">
        <v>662</v>
      </c>
      <c r="P163" s="5" t="s">
        <v>656</v>
      </c>
      <c r="Q163" s="6">
        <v>30.0</v>
      </c>
      <c r="R163" s="5" t="s">
        <v>657</v>
      </c>
      <c r="S163" s="5" t="s">
        <v>657</v>
      </c>
      <c r="T163" s="5" t="s">
        <v>657</v>
      </c>
    </row>
    <row r="164">
      <c r="E164" s="5">
        <v>162.0</v>
      </c>
      <c r="F164" s="5" t="s">
        <v>281</v>
      </c>
      <c r="H164" s="5" t="s">
        <v>663</v>
      </c>
      <c r="I164" s="5" t="s">
        <v>659</v>
      </c>
      <c r="J164" s="5" t="s">
        <v>71</v>
      </c>
      <c r="K164" s="5" t="s">
        <v>21</v>
      </c>
      <c r="L164" s="5" t="s">
        <v>664</v>
      </c>
      <c r="M164" s="5" t="s">
        <v>665</v>
      </c>
      <c r="N164" s="5" t="s">
        <v>666</v>
      </c>
      <c r="P164" s="5" t="s">
        <v>656</v>
      </c>
      <c r="Q164" s="6">
        <v>30.0</v>
      </c>
      <c r="R164" s="5" t="s">
        <v>657</v>
      </c>
      <c r="S164" s="5" t="s">
        <v>657</v>
      </c>
      <c r="T164" s="5" t="s">
        <v>657</v>
      </c>
    </row>
    <row r="165">
      <c r="E165" s="5">
        <v>163.0</v>
      </c>
      <c r="F165" s="5" t="s">
        <v>281</v>
      </c>
      <c r="H165" s="5" t="s">
        <v>663</v>
      </c>
      <c r="I165" s="5" t="s">
        <v>667</v>
      </c>
      <c r="J165" s="5" t="s">
        <v>71</v>
      </c>
      <c r="K165" s="5" t="s">
        <v>21</v>
      </c>
      <c r="L165" s="5" t="s">
        <v>668</v>
      </c>
      <c r="M165" s="5" t="s">
        <v>669</v>
      </c>
      <c r="N165" s="5" t="s">
        <v>670</v>
      </c>
      <c r="P165" s="5" t="s">
        <v>656</v>
      </c>
      <c r="Q165" s="6">
        <v>30.0</v>
      </c>
      <c r="R165" s="5" t="s">
        <v>657</v>
      </c>
      <c r="S165" s="5" t="s">
        <v>657</v>
      </c>
      <c r="T165" s="5" t="s">
        <v>657</v>
      </c>
    </row>
    <row r="166">
      <c r="E166" s="5">
        <v>164.0</v>
      </c>
      <c r="F166" s="5" t="s">
        <v>281</v>
      </c>
      <c r="H166" s="5" t="s">
        <v>671</v>
      </c>
      <c r="I166" s="5" t="s">
        <v>659</v>
      </c>
      <c r="J166" s="5" t="s">
        <v>71</v>
      </c>
      <c r="K166" s="5" t="s">
        <v>21</v>
      </c>
      <c r="L166" s="5" t="s">
        <v>672</v>
      </c>
      <c r="M166" s="5" t="s">
        <v>673</v>
      </c>
      <c r="N166" s="5" t="s">
        <v>674</v>
      </c>
      <c r="P166" s="5" t="s">
        <v>656</v>
      </c>
      <c r="Q166" s="6">
        <v>30.0</v>
      </c>
      <c r="R166" s="5" t="s">
        <v>657</v>
      </c>
      <c r="S166" s="5" t="s">
        <v>657</v>
      </c>
      <c r="T166" s="5" t="s">
        <v>657</v>
      </c>
    </row>
    <row r="167">
      <c r="E167" s="5">
        <v>165.0</v>
      </c>
      <c r="F167" s="5" t="s">
        <v>281</v>
      </c>
      <c r="H167" s="5" t="s">
        <v>675</v>
      </c>
      <c r="I167" s="5" t="s">
        <v>676</v>
      </c>
      <c r="J167" s="5" t="s">
        <v>71</v>
      </c>
      <c r="K167" s="5" t="s">
        <v>21</v>
      </c>
      <c r="L167" s="5" t="s">
        <v>677</v>
      </c>
      <c r="M167" s="5" t="s">
        <v>678</v>
      </c>
      <c r="N167" s="5" t="s">
        <v>679</v>
      </c>
      <c r="P167" s="5" t="s">
        <v>656</v>
      </c>
      <c r="Q167" s="6">
        <v>30.0</v>
      </c>
      <c r="R167" s="5" t="s">
        <v>657</v>
      </c>
      <c r="S167" s="5" t="s">
        <v>657</v>
      </c>
      <c r="T167" s="5" t="s">
        <v>657</v>
      </c>
    </row>
    <row r="168">
      <c r="E168" s="5">
        <v>166.0</v>
      </c>
      <c r="F168" s="5" t="s">
        <v>281</v>
      </c>
      <c r="H168" s="5" t="s">
        <v>663</v>
      </c>
      <c r="I168" s="5" t="s">
        <v>680</v>
      </c>
      <c r="J168" s="5" t="s">
        <v>71</v>
      </c>
      <c r="K168" s="5" t="s">
        <v>21</v>
      </c>
      <c r="L168" s="5" t="s">
        <v>681</v>
      </c>
      <c r="M168" s="5" t="s">
        <v>682</v>
      </c>
      <c r="N168" s="5" t="s">
        <v>683</v>
      </c>
      <c r="P168" s="5" t="s">
        <v>656</v>
      </c>
      <c r="Q168" s="6">
        <v>30.0</v>
      </c>
      <c r="R168" s="5" t="s">
        <v>657</v>
      </c>
      <c r="S168" s="5" t="s">
        <v>657</v>
      </c>
      <c r="T168" s="5" t="s">
        <v>657</v>
      </c>
    </row>
    <row r="169">
      <c r="E169" s="5">
        <v>167.0</v>
      </c>
      <c r="F169" s="5" t="s">
        <v>281</v>
      </c>
      <c r="H169" s="5" t="s">
        <v>676</v>
      </c>
      <c r="I169" s="5" t="s">
        <v>667</v>
      </c>
      <c r="J169" s="5" t="s">
        <v>71</v>
      </c>
      <c r="K169" s="5" t="s">
        <v>21</v>
      </c>
      <c r="L169" s="5" t="s">
        <v>684</v>
      </c>
      <c r="M169" s="5" t="s">
        <v>685</v>
      </c>
      <c r="N169" s="5" t="s">
        <v>686</v>
      </c>
      <c r="P169" s="5" t="s">
        <v>656</v>
      </c>
      <c r="Q169" s="6">
        <v>30.0</v>
      </c>
      <c r="R169" s="5" t="s">
        <v>657</v>
      </c>
      <c r="S169" s="5" t="s">
        <v>657</v>
      </c>
      <c r="T169" s="5" t="s">
        <v>657</v>
      </c>
    </row>
    <row r="170">
      <c r="E170" s="5">
        <v>168.0</v>
      </c>
      <c r="F170" s="5" t="s">
        <v>281</v>
      </c>
      <c r="H170" s="5" t="s">
        <v>667</v>
      </c>
      <c r="I170" s="5" t="s">
        <v>675</v>
      </c>
      <c r="J170" s="5" t="s">
        <v>71</v>
      </c>
      <c r="K170" s="5" t="s">
        <v>21</v>
      </c>
      <c r="L170" s="5" t="s">
        <v>687</v>
      </c>
      <c r="M170" s="5" t="s">
        <v>685</v>
      </c>
      <c r="N170" s="5" t="s">
        <v>686</v>
      </c>
      <c r="P170" s="5" t="s">
        <v>656</v>
      </c>
      <c r="Q170" s="6">
        <v>30.0</v>
      </c>
      <c r="R170" s="5" t="s">
        <v>657</v>
      </c>
      <c r="S170" s="5" t="s">
        <v>657</v>
      </c>
      <c r="T170" s="5" t="s">
        <v>657</v>
      </c>
    </row>
    <row r="171">
      <c r="E171" s="5">
        <v>169.0</v>
      </c>
      <c r="F171" s="5" t="s">
        <v>281</v>
      </c>
      <c r="H171" s="5" t="s">
        <v>671</v>
      </c>
      <c r="I171" s="5" t="s">
        <v>658</v>
      </c>
      <c r="J171" s="5" t="s">
        <v>71</v>
      </c>
      <c r="K171" s="5" t="s">
        <v>21</v>
      </c>
      <c r="L171" s="5" t="s">
        <v>688</v>
      </c>
      <c r="M171" s="16" t="s">
        <v>689</v>
      </c>
      <c r="N171" s="5" t="s">
        <v>690</v>
      </c>
      <c r="P171" s="5" t="s">
        <v>656</v>
      </c>
      <c r="Q171" s="6">
        <v>30.0</v>
      </c>
      <c r="R171" s="5" t="s">
        <v>657</v>
      </c>
      <c r="S171" s="5" t="s">
        <v>657</v>
      </c>
      <c r="T171" s="5" t="s">
        <v>657</v>
      </c>
    </row>
    <row r="172">
      <c r="E172" s="5">
        <v>170.0</v>
      </c>
      <c r="F172" s="5" t="s">
        <v>281</v>
      </c>
      <c r="H172" s="5" t="s">
        <v>671</v>
      </c>
      <c r="I172" s="5" t="s">
        <v>675</v>
      </c>
      <c r="J172" s="5" t="s">
        <v>71</v>
      </c>
      <c r="K172" s="5" t="s">
        <v>21</v>
      </c>
      <c r="L172" s="5" t="s">
        <v>691</v>
      </c>
      <c r="M172" s="11" t="s">
        <v>692</v>
      </c>
      <c r="N172" s="5" t="s">
        <v>693</v>
      </c>
      <c r="P172" s="5" t="s">
        <v>656</v>
      </c>
      <c r="Q172" s="6">
        <v>30.0</v>
      </c>
      <c r="R172" s="5" t="s">
        <v>657</v>
      </c>
      <c r="S172" s="5" t="s">
        <v>657</v>
      </c>
      <c r="T172" s="5" t="s">
        <v>657</v>
      </c>
    </row>
    <row r="173">
      <c r="E173" s="5">
        <v>171.0</v>
      </c>
      <c r="F173" s="5" t="s">
        <v>281</v>
      </c>
      <c r="H173" s="5" t="s">
        <v>694</v>
      </c>
      <c r="I173" s="5" t="s">
        <v>667</v>
      </c>
      <c r="J173" s="5" t="s">
        <v>71</v>
      </c>
      <c r="K173" s="5" t="s">
        <v>21</v>
      </c>
      <c r="L173" s="5" t="s">
        <v>695</v>
      </c>
      <c r="M173" s="5" t="s">
        <v>696</v>
      </c>
      <c r="N173" s="5" t="s">
        <v>697</v>
      </c>
      <c r="P173" s="5" t="s">
        <v>656</v>
      </c>
      <c r="Q173" s="6">
        <v>30.0</v>
      </c>
      <c r="R173" s="5" t="s">
        <v>657</v>
      </c>
      <c r="S173" s="5" t="s">
        <v>657</v>
      </c>
      <c r="T173" s="5" t="s">
        <v>657</v>
      </c>
    </row>
    <row r="174">
      <c r="E174" s="5">
        <v>172.0</v>
      </c>
      <c r="F174" s="5" t="s">
        <v>281</v>
      </c>
      <c r="H174" s="5" t="s">
        <v>671</v>
      </c>
      <c r="I174" s="5" t="s">
        <v>694</v>
      </c>
      <c r="J174" s="5" t="s">
        <v>71</v>
      </c>
      <c r="K174" s="5" t="s">
        <v>21</v>
      </c>
      <c r="L174" s="5" t="s">
        <v>698</v>
      </c>
      <c r="M174" s="5" t="s">
        <v>699</v>
      </c>
      <c r="N174" s="5" t="s">
        <v>700</v>
      </c>
      <c r="P174" s="5" t="s">
        <v>656</v>
      </c>
      <c r="Q174" s="6">
        <v>30.0</v>
      </c>
      <c r="R174" s="5" t="s">
        <v>657</v>
      </c>
      <c r="S174" s="5" t="s">
        <v>657</v>
      </c>
      <c r="T174" s="5" t="s">
        <v>657</v>
      </c>
    </row>
    <row r="175">
      <c r="E175" s="5">
        <v>173.0</v>
      </c>
      <c r="F175" s="5" t="s">
        <v>281</v>
      </c>
      <c r="H175" s="5" t="s">
        <v>694</v>
      </c>
      <c r="I175" s="5" t="s">
        <v>701</v>
      </c>
      <c r="J175" s="5" t="s">
        <v>71</v>
      </c>
      <c r="K175" s="5" t="s">
        <v>21</v>
      </c>
      <c r="L175" s="5" t="s">
        <v>702</v>
      </c>
      <c r="M175" s="5" t="s">
        <v>703</v>
      </c>
      <c r="N175" s="5" t="s">
        <v>704</v>
      </c>
      <c r="P175" s="5" t="s">
        <v>656</v>
      </c>
      <c r="Q175" s="6">
        <v>30.0</v>
      </c>
      <c r="R175" s="5" t="s">
        <v>657</v>
      </c>
      <c r="S175" s="5" t="s">
        <v>657</v>
      </c>
      <c r="T175" s="5" t="s">
        <v>657</v>
      </c>
    </row>
    <row r="176">
      <c r="E176" s="5">
        <v>174.0</v>
      </c>
      <c r="F176" s="5" t="s">
        <v>17</v>
      </c>
      <c r="H176" s="5" t="s">
        <v>675</v>
      </c>
      <c r="I176" s="5" t="s">
        <v>19</v>
      </c>
      <c r="J176" s="5" t="s">
        <v>705</v>
      </c>
      <c r="K176" s="5" t="s">
        <v>21</v>
      </c>
      <c r="L176" s="5" t="s">
        <v>706</v>
      </c>
      <c r="M176" s="5" t="s">
        <v>707</v>
      </c>
      <c r="N176" s="5" t="s">
        <v>708</v>
      </c>
      <c r="P176" s="5" t="s">
        <v>656</v>
      </c>
      <c r="Q176" s="6">
        <v>30.0</v>
      </c>
      <c r="R176" s="5" t="s">
        <v>657</v>
      </c>
      <c r="S176" s="5" t="s">
        <v>657</v>
      </c>
      <c r="T176" s="5" t="s">
        <v>657</v>
      </c>
    </row>
    <row r="177">
      <c r="E177" s="5">
        <v>175.0</v>
      </c>
      <c r="F177" s="5" t="s">
        <v>17</v>
      </c>
      <c r="H177" s="5" t="s">
        <v>680</v>
      </c>
      <c r="I177" s="5" t="s">
        <v>19</v>
      </c>
      <c r="J177" s="5" t="s">
        <v>705</v>
      </c>
      <c r="K177" s="5" t="s">
        <v>21</v>
      </c>
      <c r="L177" s="5" t="s">
        <v>709</v>
      </c>
      <c r="M177" s="5" t="s">
        <v>710</v>
      </c>
      <c r="N177" s="5" t="s">
        <v>711</v>
      </c>
      <c r="P177" s="5" t="s">
        <v>656</v>
      </c>
      <c r="Q177" s="6">
        <v>30.0</v>
      </c>
      <c r="R177" s="5" t="s">
        <v>657</v>
      </c>
      <c r="S177" s="5" t="s">
        <v>657</v>
      </c>
      <c r="T177" s="5" t="s">
        <v>657</v>
      </c>
    </row>
    <row r="178">
      <c r="E178" s="5">
        <v>176.0</v>
      </c>
      <c r="F178" s="5" t="s">
        <v>17</v>
      </c>
      <c r="H178" s="5" t="s">
        <v>676</v>
      </c>
      <c r="I178" s="5" t="s">
        <v>19</v>
      </c>
      <c r="J178" s="5" t="s">
        <v>705</v>
      </c>
      <c r="K178" s="5" t="s">
        <v>21</v>
      </c>
      <c r="L178" s="5" t="s">
        <v>712</v>
      </c>
      <c r="M178" s="5" t="s">
        <v>713</v>
      </c>
      <c r="N178" s="5" t="s">
        <v>714</v>
      </c>
      <c r="P178" s="5" t="s">
        <v>656</v>
      </c>
      <c r="Q178" s="6">
        <v>30.0</v>
      </c>
      <c r="R178" s="5" t="s">
        <v>657</v>
      </c>
      <c r="S178" s="5" t="s">
        <v>657</v>
      </c>
      <c r="T178" s="5" t="s">
        <v>657</v>
      </c>
    </row>
    <row r="179">
      <c r="E179" s="5">
        <v>177.0</v>
      </c>
      <c r="F179" s="5" t="s">
        <v>17</v>
      </c>
      <c r="H179" s="5" t="s">
        <v>671</v>
      </c>
      <c r="I179" s="5" t="s">
        <v>19</v>
      </c>
      <c r="J179" s="5" t="s">
        <v>705</v>
      </c>
      <c r="K179" s="5" t="s">
        <v>21</v>
      </c>
      <c r="L179" s="5" t="s">
        <v>715</v>
      </c>
      <c r="M179" s="5" t="s">
        <v>716</v>
      </c>
      <c r="N179" s="5" t="s">
        <v>717</v>
      </c>
      <c r="P179" s="5" t="s">
        <v>656</v>
      </c>
      <c r="Q179" s="6">
        <v>31.0</v>
      </c>
      <c r="R179" s="5" t="s">
        <v>657</v>
      </c>
      <c r="S179" s="5" t="s">
        <v>657</v>
      </c>
      <c r="T179" s="5" t="s">
        <v>657</v>
      </c>
    </row>
    <row r="180">
      <c r="E180" s="5">
        <v>178.0</v>
      </c>
      <c r="F180" s="5" t="s">
        <v>17</v>
      </c>
      <c r="H180" s="5" t="s">
        <v>658</v>
      </c>
      <c r="I180" s="5" t="s">
        <v>19</v>
      </c>
      <c r="J180" s="5" t="s">
        <v>705</v>
      </c>
      <c r="K180" s="5" t="s">
        <v>21</v>
      </c>
      <c r="L180" s="5" t="s">
        <v>718</v>
      </c>
      <c r="M180" s="5" t="s">
        <v>719</v>
      </c>
      <c r="N180" s="5" t="s">
        <v>720</v>
      </c>
      <c r="P180" s="5" t="s">
        <v>656</v>
      </c>
      <c r="Q180" s="6">
        <v>31.0</v>
      </c>
      <c r="R180" s="5" t="s">
        <v>657</v>
      </c>
      <c r="S180" s="5" t="s">
        <v>657</v>
      </c>
      <c r="T180" s="5" t="s">
        <v>657</v>
      </c>
    </row>
    <row r="181">
      <c r="E181" s="5">
        <v>179.0</v>
      </c>
      <c r="F181" s="5" t="s">
        <v>721</v>
      </c>
      <c r="G181" s="5" t="s">
        <v>434</v>
      </c>
      <c r="H181" s="5" t="s">
        <v>722</v>
      </c>
      <c r="I181" s="5" t="s">
        <v>723</v>
      </c>
      <c r="J181" s="5" t="s">
        <v>724</v>
      </c>
      <c r="K181" s="5" t="s">
        <v>21</v>
      </c>
      <c r="L181" s="5" t="s">
        <v>725</v>
      </c>
      <c r="M181" s="5" t="s">
        <v>726</v>
      </c>
      <c r="N181" s="5" t="s">
        <v>727</v>
      </c>
      <c r="P181" s="5" t="s">
        <v>656</v>
      </c>
      <c r="Q181" s="6">
        <v>67.0</v>
      </c>
      <c r="R181" s="5" t="s">
        <v>657</v>
      </c>
      <c r="S181" s="5" t="s">
        <v>657</v>
      </c>
      <c r="T181" s="5" t="s">
        <v>657</v>
      </c>
    </row>
    <row r="182">
      <c r="E182" s="5">
        <v>180.0</v>
      </c>
      <c r="F182" s="5" t="s">
        <v>467</v>
      </c>
      <c r="H182" s="5" t="s">
        <v>728</v>
      </c>
      <c r="I182" s="5" t="s">
        <v>729</v>
      </c>
      <c r="J182" s="5" t="s">
        <v>71</v>
      </c>
      <c r="K182" s="5" t="s">
        <v>21</v>
      </c>
      <c r="L182" s="5" t="s">
        <v>730</v>
      </c>
      <c r="M182" s="5" t="s">
        <v>731</v>
      </c>
      <c r="N182" s="5" t="s">
        <v>732</v>
      </c>
      <c r="P182" s="5" t="s">
        <v>656</v>
      </c>
      <c r="Q182" s="6">
        <v>67.0</v>
      </c>
      <c r="R182" s="5" t="s">
        <v>657</v>
      </c>
      <c r="S182" s="5" t="s">
        <v>657</v>
      </c>
      <c r="T182" s="5" t="s">
        <v>657</v>
      </c>
    </row>
    <row r="183">
      <c r="E183" s="5">
        <v>181.0</v>
      </c>
      <c r="F183" s="5" t="s">
        <v>467</v>
      </c>
      <c r="H183" s="5" t="s">
        <v>733</v>
      </c>
      <c r="I183" s="5" t="s">
        <v>734</v>
      </c>
      <c r="J183" s="5" t="s">
        <v>71</v>
      </c>
      <c r="K183" s="5" t="s">
        <v>21</v>
      </c>
      <c r="L183" s="5" t="s">
        <v>735</v>
      </c>
      <c r="M183" s="5"/>
      <c r="N183" s="5" t="s">
        <v>736</v>
      </c>
      <c r="P183" s="5" t="s">
        <v>656</v>
      </c>
      <c r="Q183" s="6">
        <v>67.0</v>
      </c>
      <c r="R183" s="5" t="s">
        <v>657</v>
      </c>
      <c r="S183" s="5" t="s">
        <v>657</v>
      </c>
      <c r="T183" s="5" t="s">
        <v>657</v>
      </c>
    </row>
    <row r="184">
      <c r="E184" s="5">
        <v>182.0</v>
      </c>
      <c r="F184" s="5" t="s">
        <v>467</v>
      </c>
      <c r="H184" s="5" t="s">
        <v>737</v>
      </c>
      <c r="I184" s="5" t="s">
        <v>738</v>
      </c>
      <c r="J184" s="5" t="s">
        <v>71</v>
      </c>
      <c r="K184" s="5" t="s">
        <v>21</v>
      </c>
      <c r="L184" s="5" t="s">
        <v>739</v>
      </c>
      <c r="M184" s="5" t="s">
        <v>740</v>
      </c>
      <c r="N184" s="5" t="s">
        <v>266</v>
      </c>
      <c r="P184" s="5" t="s">
        <v>656</v>
      </c>
      <c r="Q184" s="6">
        <v>67.0</v>
      </c>
      <c r="R184" s="5" t="s">
        <v>657</v>
      </c>
      <c r="S184" s="5" t="s">
        <v>657</v>
      </c>
      <c r="T184" s="5" t="s">
        <v>657</v>
      </c>
    </row>
    <row r="185">
      <c r="E185" s="5">
        <v>183.0</v>
      </c>
      <c r="F185" s="5" t="s">
        <v>467</v>
      </c>
      <c r="G185" s="5" t="s">
        <v>409</v>
      </c>
      <c r="H185" s="5" t="s">
        <v>741</v>
      </c>
      <c r="I185" s="5" t="s">
        <v>723</v>
      </c>
      <c r="J185" s="5" t="s">
        <v>724</v>
      </c>
      <c r="K185" s="5" t="s">
        <v>21</v>
      </c>
      <c r="L185" s="5" t="s">
        <v>742</v>
      </c>
      <c r="M185" s="5" t="s">
        <v>743</v>
      </c>
      <c r="N185" s="5" t="s">
        <v>744</v>
      </c>
      <c r="P185" s="5" t="s">
        <v>656</v>
      </c>
      <c r="Q185" s="6">
        <v>67.0</v>
      </c>
      <c r="R185" s="5" t="s">
        <v>657</v>
      </c>
      <c r="S185" s="5" t="s">
        <v>657</v>
      </c>
      <c r="T185" s="5" t="s">
        <v>657</v>
      </c>
    </row>
    <row r="186">
      <c r="E186" s="5">
        <v>184.0</v>
      </c>
      <c r="F186" s="5" t="s">
        <v>467</v>
      </c>
      <c r="H186" s="5" t="s">
        <v>745</v>
      </c>
      <c r="I186" s="5" t="s">
        <v>738</v>
      </c>
      <c r="J186" s="5" t="s">
        <v>71</v>
      </c>
      <c r="K186" s="5" t="s">
        <v>21</v>
      </c>
      <c r="L186" s="5" t="s">
        <v>746</v>
      </c>
      <c r="N186" s="5" t="s">
        <v>747</v>
      </c>
      <c r="P186" s="5" t="s">
        <v>656</v>
      </c>
      <c r="Q186" s="6">
        <v>67.0</v>
      </c>
      <c r="R186" s="5" t="s">
        <v>657</v>
      </c>
      <c r="S186" s="5" t="s">
        <v>657</v>
      </c>
      <c r="T186" s="5" t="s">
        <v>657</v>
      </c>
    </row>
    <row r="187">
      <c r="E187" s="5">
        <v>185.0</v>
      </c>
      <c r="F187" s="5" t="s">
        <v>467</v>
      </c>
      <c r="H187" s="5" t="s">
        <v>748</v>
      </c>
      <c r="I187" s="5" t="s">
        <v>734</v>
      </c>
      <c r="J187" s="5" t="s">
        <v>71</v>
      </c>
      <c r="K187" s="5" t="s">
        <v>21</v>
      </c>
      <c r="L187" s="5" t="s">
        <v>749</v>
      </c>
      <c r="N187" s="5" t="s">
        <v>750</v>
      </c>
      <c r="P187" s="5" t="s">
        <v>656</v>
      </c>
      <c r="Q187" s="6">
        <v>67.0</v>
      </c>
      <c r="R187" s="5" t="s">
        <v>657</v>
      </c>
      <c r="S187" s="5" t="s">
        <v>657</v>
      </c>
      <c r="T187" s="5" t="s">
        <v>657</v>
      </c>
    </row>
    <row r="188">
      <c r="E188" s="5">
        <v>186.0</v>
      </c>
      <c r="F188" s="5" t="s">
        <v>190</v>
      </c>
      <c r="H188" s="5" t="s">
        <v>751</v>
      </c>
      <c r="I188" s="5" t="s">
        <v>752</v>
      </c>
      <c r="J188" s="5" t="s">
        <v>753</v>
      </c>
      <c r="K188" s="5" t="s">
        <v>21</v>
      </c>
      <c r="L188" s="5" t="s">
        <v>754</v>
      </c>
      <c r="M188" s="5" t="s">
        <v>755</v>
      </c>
      <c r="N188" s="5" t="s">
        <v>756</v>
      </c>
      <c r="P188" s="5" t="s">
        <v>656</v>
      </c>
      <c r="Q188" s="6">
        <v>67.0</v>
      </c>
      <c r="R188" s="5" t="s">
        <v>657</v>
      </c>
      <c r="S188" s="5" t="s">
        <v>657</v>
      </c>
      <c r="T188" s="5" t="s">
        <v>657</v>
      </c>
    </row>
    <row r="189">
      <c r="E189" s="5">
        <v>187.0</v>
      </c>
      <c r="F189" s="5" t="s">
        <v>209</v>
      </c>
      <c r="H189" s="5" t="s">
        <v>757</v>
      </c>
      <c r="I189" s="5" t="s">
        <v>758</v>
      </c>
      <c r="J189" s="5" t="s">
        <v>71</v>
      </c>
      <c r="K189" s="5" t="s">
        <v>21</v>
      </c>
      <c r="L189" s="5" t="s">
        <v>759</v>
      </c>
      <c r="N189" s="5" t="s">
        <v>760</v>
      </c>
      <c r="P189" s="5" t="s">
        <v>656</v>
      </c>
      <c r="Q189" s="6">
        <v>69.0</v>
      </c>
      <c r="R189" s="5" t="s">
        <v>657</v>
      </c>
      <c r="S189" s="5" t="s">
        <v>657</v>
      </c>
      <c r="T189" s="5" t="s">
        <v>657</v>
      </c>
    </row>
    <row r="190">
      <c r="E190" s="5">
        <v>188.0</v>
      </c>
      <c r="F190" s="5" t="s">
        <v>209</v>
      </c>
      <c r="H190" s="5" t="s">
        <v>761</v>
      </c>
      <c r="I190" s="5" t="s">
        <v>758</v>
      </c>
      <c r="J190" s="5" t="s">
        <v>71</v>
      </c>
      <c r="K190" s="5" t="s">
        <v>21</v>
      </c>
      <c r="L190" s="5" t="s">
        <v>762</v>
      </c>
      <c r="N190" s="5" t="s">
        <v>763</v>
      </c>
      <c r="P190" s="5" t="s">
        <v>656</v>
      </c>
      <c r="Q190" s="6">
        <v>69.0</v>
      </c>
      <c r="R190" s="5" t="s">
        <v>657</v>
      </c>
      <c r="S190" s="5" t="s">
        <v>657</v>
      </c>
      <c r="T190" s="5" t="s">
        <v>657</v>
      </c>
    </row>
    <row r="191">
      <c r="E191" s="5">
        <v>189.0</v>
      </c>
      <c r="F191" s="5" t="s">
        <v>209</v>
      </c>
      <c r="H191" s="5" t="s">
        <v>764</v>
      </c>
      <c r="I191" s="5" t="s">
        <v>765</v>
      </c>
      <c r="J191" s="5" t="s">
        <v>71</v>
      </c>
      <c r="K191" s="5" t="s">
        <v>21</v>
      </c>
      <c r="L191" s="5" t="s">
        <v>766</v>
      </c>
      <c r="N191" s="5" t="s">
        <v>767</v>
      </c>
      <c r="P191" s="5" t="s">
        <v>656</v>
      </c>
      <c r="Q191" s="6">
        <v>69.0</v>
      </c>
      <c r="R191" s="5" t="s">
        <v>657</v>
      </c>
      <c r="S191" s="5" t="s">
        <v>657</v>
      </c>
      <c r="T191" s="5" t="s">
        <v>657</v>
      </c>
    </row>
    <row r="192">
      <c r="E192" s="5">
        <v>190.0</v>
      </c>
      <c r="F192" s="5" t="s">
        <v>209</v>
      </c>
      <c r="H192" s="5" t="s">
        <v>768</v>
      </c>
      <c r="I192" s="5" t="s">
        <v>769</v>
      </c>
      <c r="J192" s="5" t="s">
        <v>71</v>
      </c>
      <c r="K192" s="5" t="s">
        <v>21</v>
      </c>
      <c r="L192" s="5" t="s">
        <v>770</v>
      </c>
      <c r="N192" s="5" t="s">
        <v>771</v>
      </c>
      <c r="P192" s="5" t="s">
        <v>656</v>
      </c>
      <c r="Q192" s="6">
        <v>69.0</v>
      </c>
      <c r="R192" s="5" t="s">
        <v>657</v>
      </c>
      <c r="S192" s="5" t="s">
        <v>657</v>
      </c>
      <c r="T192" s="5" t="s">
        <v>657</v>
      </c>
    </row>
    <row r="193">
      <c r="E193" s="5">
        <v>191.0</v>
      </c>
      <c r="F193" s="5" t="s">
        <v>95</v>
      </c>
      <c r="H193" s="5" t="s">
        <v>769</v>
      </c>
      <c r="I193" s="5" t="s">
        <v>772</v>
      </c>
      <c r="J193" s="5" t="s">
        <v>457</v>
      </c>
      <c r="K193" s="5" t="s">
        <v>21</v>
      </c>
      <c r="L193" s="5" t="s">
        <v>773</v>
      </c>
      <c r="N193" s="5" t="s">
        <v>774</v>
      </c>
      <c r="P193" s="5" t="s">
        <v>656</v>
      </c>
      <c r="Q193" s="6">
        <v>69.0</v>
      </c>
      <c r="R193" s="5" t="s">
        <v>657</v>
      </c>
      <c r="S193" s="5" t="s">
        <v>657</v>
      </c>
      <c r="T193" s="5" t="s">
        <v>657</v>
      </c>
    </row>
    <row r="194">
      <c r="E194" s="5">
        <v>192.0</v>
      </c>
      <c r="F194" s="5" t="s">
        <v>95</v>
      </c>
      <c r="H194" s="5" t="s">
        <v>765</v>
      </c>
      <c r="I194" s="5" t="s">
        <v>775</v>
      </c>
      <c r="J194" s="5" t="s">
        <v>457</v>
      </c>
      <c r="K194" s="5" t="s">
        <v>21</v>
      </c>
      <c r="L194" s="5" t="s">
        <v>695</v>
      </c>
      <c r="M194" s="5" t="s">
        <v>696</v>
      </c>
      <c r="N194" s="5" t="s">
        <v>697</v>
      </c>
      <c r="P194" s="5" t="s">
        <v>656</v>
      </c>
      <c r="Q194" s="6">
        <v>69.0</v>
      </c>
      <c r="R194" s="5" t="s">
        <v>657</v>
      </c>
      <c r="S194" s="5" t="s">
        <v>657</v>
      </c>
      <c r="T194" s="5" t="s">
        <v>657</v>
      </c>
    </row>
    <row r="195">
      <c r="E195" s="5">
        <v>193.0</v>
      </c>
      <c r="F195" s="5" t="s">
        <v>95</v>
      </c>
      <c r="H195" s="5" t="s">
        <v>776</v>
      </c>
      <c r="I195" s="5" t="s">
        <v>777</v>
      </c>
      <c r="J195" s="5" t="s">
        <v>457</v>
      </c>
      <c r="K195" s="5" t="s">
        <v>21</v>
      </c>
      <c r="L195" s="5" t="s">
        <v>778</v>
      </c>
      <c r="M195" s="5" t="s">
        <v>779</v>
      </c>
      <c r="N195" s="5" t="s">
        <v>780</v>
      </c>
      <c r="P195" s="5" t="s">
        <v>656</v>
      </c>
      <c r="Q195" s="6">
        <v>69.0</v>
      </c>
      <c r="R195" s="5" t="s">
        <v>657</v>
      </c>
      <c r="S195" s="5" t="s">
        <v>657</v>
      </c>
      <c r="T195" s="5" t="s">
        <v>657</v>
      </c>
    </row>
    <row r="196">
      <c r="C196" s="14" t="s">
        <v>781</v>
      </c>
      <c r="E196" s="5">
        <v>194.0</v>
      </c>
      <c r="F196" s="5" t="s">
        <v>281</v>
      </c>
      <c r="H196" s="5" t="s">
        <v>680</v>
      </c>
      <c r="I196" s="5" t="s">
        <v>667</v>
      </c>
      <c r="J196" s="5" t="s">
        <v>237</v>
      </c>
      <c r="K196" s="5" t="s">
        <v>21</v>
      </c>
      <c r="L196" s="5" t="s">
        <v>782</v>
      </c>
      <c r="M196" s="5" t="s">
        <v>783</v>
      </c>
      <c r="N196" s="5" t="s">
        <v>784</v>
      </c>
      <c r="P196" s="5" t="s">
        <v>785</v>
      </c>
      <c r="Q196" s="6">
        <v>69.0</v>
      </c>
      <c r="R196" s="5" t="s">
        <v>657</v>
      </c>
      <c r="S196" s="5" t="s">
        <v>786</v>
      </c>
      <c r="T196" s="5" t="s">
        <v>786</v>
      </c>
    </row>
    <row r="197">
      <c r="E197" s="5">
        <v>195.0</v>
      </c>
      <c r="F197" s="5" t="s">
        <v>281</v>
      </c>
      <c r="H197" s="5" t="s">
        <v>671</v>
      </c>
      <c r="I197" s="5" t="s">
        <v>658</v>
      </c>
      <c r="J197" s="5" t="s">
        <v>237</v>
      </c>
      <c r="K197" s="5" t="s">
        <v>21</v>
      </c>
      <c r="L197" s="5" t="s">
        <v>787</v>
      </c>
      <c r="M197" s="5" t="s">
        <v>788</v>
      </c>
      <c r="N197" s="5" t="s">
        <v>789</v>
      </c>
      <c r="P197" s="5" t="s">
        <v>785</v>
      </c>
      <c r="Q197" s="6">
        <v>69.0</v>
      </c>
      <c r="R197" s="5" t="s">
        <v>786</v>
      </c>
      <c r="S197" s="5" t="s">
        <v>786</v>
      </c>
      <c r="T197" s="5" t="s">
        <v>786</v>
      </c>
    </row>
    <row r="198">
      <c r="E198" s="5">
        <v>196.0</v>
      </c>
      <c r="F198" s="5" t="s">
        <v>281</v>
      </c>
      <c r="H198" s="5" t="s">
        <v>671</v>
      </c>
      <c r="I198" s="5" t="s">
        <v>667</v>
      </c>
      <c r="J198" s="5" t="s">
        <v>237</v>
      </c>
      <c r="K198" s="5" t="s">
        <v>21</v>
      </c>
      <c r="L198" s="5" t="s">
        <v>790</v>
      </c>
      <c r="M198" s="5" t="s">
        <v>791</v>
      </c>
      <c r="N198" s="5" t="s">
        <v>792</v>
      </c>
      <c r="P198" s="5" t="s">
        <v>785</v>
      </c>
      <c r="Q198" s="6">
        <v>69.0</v>
      </c>
      <c r="R198" s="5" t="s">
        <v>786</v>
      </c>
      <c r="S198" s="5" t="s">
        <v>786</v>
      </c>
      <c r="T198" s="5" t="s">
        <v>786</v>
      </c>
    </row>
    <row r="199">
      <c r="E199" s="5">
        <v>197.0</v>
      </c>
      <c r="F199" s="5" t="s">
        <v>281</v>
      </c>
      <c r="H199" s="5" t="s">
        <v>658</v>
      </c>
      <c r="I199" s="5" t="s">
        <v>667</v>
      </c>
      <c r="J199" s="5" t="s">
        <v>237</v>
      </c>
      <c r="K199" s="5" t="s">
        <v>21</v>
      </c>
      <c r="L199" s="5" t="s">
        <v>793</v>
      </c>
      <c r="M199" s="5" t="s">
        <v>794</v>
      </c>
      <c r="N199" s="5" t="s">
        <v>795</v>
      </c>
      <c r="P199" s="5" t="s">
        <v>785</v>
      </c>
      <c r="Q199" s="6">
        <v>69.0</v>
      </c>
      <c r="R199" s="5" t="s">
        <v>786</v>
      </c>
      <c r="S199" s="5" t="s">
        <v>786</v>
      </c>
      <c r="T199" s="5" t="s">
        <v>786</v>
      </c>
    </row>
    <row r="200">
      <c r="E200" s="5">
        <v>198.0</v>
      </c>
      <c r="F200" s="5" t="s">
        <v>281</v>
      </c>
      <c r="H200" s="5" t="s">
        <v>680</v>
      </c>
      <c r="I200" s="5" t="s">
        <v>658</v>
      </c>
      <c r="J200" s="5" t="s">
        <v>237</v>
      </c>
      <c r="K200" s="5" t="s">
        <v>21</v>
      </c>
      <c r="L200" s="5" t="s">
        <v>796</v>
      </c>
      <c r="M200" s="5" t="s">
        <v>797</v>
      </c>
      <c r="N200" s="5" t="s">
        <v>798</v>
      </c>
      <c r="P200" s="5" t="s">
        <v>785</v>
      </c>
      <c r="Q200" s="6">
        <v>69.0</v>
      </c>
      <c r="R200" s="5" t="s">
        <v>786</v>
      </c>
      <c r="S200" s="5" t="s">
        <v>786</v>
      </c>
      <c r="T200" s="5" t="s">
        <v>786</v>
      </c>
    </row>
    <row r="201">
      <c r="E201" s="5">
        <v>199.0</v>
      </c>
      <c r="F201" s="5" t="s">
        <v>281</v>
      </c>
      <c r="H201" s="5" t="s">
        <v>658</v>
      </c>
      <c r="I201" s="5" t="s">
        <v>799</v>
      </c>
      <c r="J201" s="5" t="s">
        <v>800</v>
      </c>
      <c r="K201" s="5" t="s">
        <v>21</v>
      </c>
      <c r="L201" s="5" t="s">
        <v>801</v>
      </c>
      <c r="M201" s="11" t="s">
        <v>802</v>
      </c>
      <c r="N201" s="5" t="s">
        <v>803</v>
      </c>
      <c r="P201" s="5" t="s">
        <v>785</v>
      </c>
      <c r="Q201" s="6">
        <v>69.0</v>
      </c>
      <c r="R201" s="5" t="s">
        <v>786</v>
      </c>
      <c r="S201" s="5" t="s">
        <v>786</v>
      </c>
      <c r="T201" s="5" t="s">
        <v>786</v>
      </c>
    </row>
    <row r="202">
      <c r="E202" s="5">
        <v>200.0</v>
      </c>
      <c r="F202" s="5" t="s">
        <v>281</v>
      </c>
      <c r="H202" s="5" t="s">
        <v>671</v>
      </c>
      <c r="I202" s="5" t="s">
        <v>799</v>
      </c>
      <c r="J202" s="5" t="s">
        <v>800</v>
      </c>
      <c r="K202" s="5" t="s">
        <v>21</v>
      </c>
      <c r="L202" s="5" t="s">
        <v>804</v>
      </c>
      <c r="M202" s="5" t="s">
        <v>805</v>
      </c>
      <c r="N202" s="5" t="s">
        <v>806</v>
      </c>
      <c r="P202" s="5" t="s">
        <v>785</v>
      </c>
      <c r="Q202" s="6">
        <v>69.0</v>
      </c>
      <c r="R202" s="5" t="s">
        <v>786</v>
      </c>
      <c r="S202" s="5" t="s">
        <v>786</v>
      </c>
      <c r="T202" s="5" t="s">
        <v>786</v>
      </c>
    </row>
    <row r="203">
      <c r="E203" s="5">
        <v>201.0</v>
      </c>
      <c r="F203" s="5" t="s">
        <v>95</v>
      </c>
      <c r="G203" s="5" t="s">
        <v>807</v>
      </c>
      <c r="H203" s="5" t="s">
        <v>751</v>
      </c>
      <c r="I203" s="5" t="s">
        <v>752</v>
      </c>
      <c r="J203" s="5" t="s">
        <v>619</v>
      </c>
      <c r="K203" s="5" t="s">
        <v>21</v>
      </c>
      <c r="L203" s="5" t="s">
        <v>808</v>
      </c>
      <c r="N203" s="5" t="s">
        <v>809</v>
      </c>
      <c r="P203" s="5" t="s">
        <v>785</v>
      </c>
      <c r="Q203" s="6" t="s">
        <v>810</v>
      </c>
      <c r="R203" s="5" t="s">
        <v>786</v>
      </c>
      <c r="S203" s="5" t="s">
        <v>786</v>
      </c>
      <c r="T203" s="5" t="s">
        <v>786</v>
      </c>
    </row>
    <row r="204">
      <c r="E204" s="5">
        <v>202.0</v>
      </c>
      <c r="F204" s="5" t="s">
        <v>190</v>
      </c>
      <c r="G204" s="5" t="s">
        <v>811</v>
      </c>
      <c r="H204" s="5" t="s">
        <v>623</v>
      </c>
      <c r="I204" s="5" t="s">
        <v>624</v>
      </c>
      <c r="J204" s="5" t="s">
        <v>812</v>
      </c>
      <c r="K204" s="5" t="s">
        <v>813</v>
      </c>
      <c r="L204" s="5" t="s">
        <v>808</v>
      </c>
      <c r="N204" s="5" t="s">
        <v>809</v>
      </c>
      <c r="P204" s="5" t="s">
        <v>785</v>
      </c>
      <c r="Q204" s="6">
        <v>71.0</v>
      </c>
      <c r="R204" s="5" t="s">
        <v>786</v>
      </c>
      <c r="S204" s="5" t="s">
        <v>786</v>
      </c>
      <c r="T204" s="5" t="s">
        <v>786</v>
      </c>
    </row>
    <row r="205">
      <c r="E205" s="5">
        <v>203.0</v>
      </c>
      <c r="F205" s="5" t="s">
        <v>17</v>
      </c>
      <c r="H205" s="5" t="s">
        <v>814</v>
      </c>
      <c r="I205" s="5" t="s">
        <v>19</v>
      </c>
      <c r="J205" s="5" t="s">
        <v>815</v>
      </c>
      <c r="K205" s="5" t="s">
        <v>21</v>
      </c>
      <c r="L205" s="5" t="s">
        <v>816</v>
      </c>
      <c r="N205" s="5" t="s">
        <v>817</v>
      </c>
      <c r="P205" s="5" t="s">
        <v>785</v>
      </c>
      <c r="Q205" s="6">
        <v>71.0</v>
      </c>
      <c r="R205" s="5" t="s">
        <v>786</v>
      </c>
      <c r="S205" s="5" t="s">
        <v>786</v>
      </c>
      <c r="T205" s="5" t="s">
        <v>786</v>
      </c>
    </row>
    <row r="206">
      <c r="E206" s="5">
        <v>204.0</v>
      </c>
      <c r="F206" s="5" t="s">
        <v>68</v>
      </c>
      <c r="H206" s="5" t="s">
        <v>818</v>
      </c>
      <c r="I206" s="5" t="s">
        <v>819</v>
      </c>
      <c r="J206" s="5" t="s">
        <v>71</v>
      </c>
      <c r="K206" s="5" t="s">
        <v>21</v>
      </c>
      <c r="L206" s="5" t="s">
        <v>816</v>
      </c>
      <c r="N206" s="5" t="s">
        <v>817</v>
      </c>
      <c r="P206" s="5" t="s">
        <v>785</v>
      </c>
      <c r="Q206" s="6">
        <v>71.0</v>
      </c>
      <c r="R206" s="5" t="s">
        <v>786</v>
      </c>
      <c r="S206" s="5" t="s">
        <v>786</v>
      </c>
      <c r="T206" s="5" t="s">
        <v>786</v>
      </c>
    </row>
    <row r="207">
      <c r="E207" s="5">
        <v>205.0</v>
      </c>
      <c r="F207" s="5" t="s">
        <v>281</v>
      </c>
      <c r="H207" s="5" t="s">
        <v>799</v>
      </c>
      <c r="I207" s="5" t="s">
        <v>658</v>
      </c>
      <c r="J207" s="5" t="s">
        <v>71</v>
      </c>
      <c r="K207" s="5" t="s">
        <v>820</v>
      </c>
      <c r="L207" s="5" t="s">
        <v>821</v>
      </c>
      <c r="N207" s="5" t="s">
        <v>822</v>
      </c>
      <c r="O207" s="5" t="s">
        <v>823</v>
      </c>
      <c r="P207" s="5" t="s">
        <v>785</v>
      </c>
      <c r="Q207" s="6">
        <v>71.0</v>
      </c>
      <c r="R207" s="5" t="s">
        <v>786</v>
      </c>
      <c r="S207" s="5" t="s">
        <v>786</v>
      </c>
      <c r="T207" s="5" t="s">
        <v>786</v>
      </c>
    </row>
    <row r="208">
      <c r="E208" s="5">
        <v>206.0</v>
      </c>
      <c r="F208" s="5" t="s">
        <v>17</v>
      </c>
      <c r="H208" s="5" t="s">
        <v>18</v>
      </c>
      <c r="I208" s="5" t="s">
        <v>19</v>
      </c>
      <c r="J208" s="5" t="s">
        <v>824</v>
      </c>
      <c r="K208" s="5" t="s">
        <v>21</v>
      </c>
      <c r="L208" s="5" t="s">
        <v>825</v>
      </c>
      <c r="N208" s="5" t="s">
        <v>826</v>
      </c>
      <c r="O208" s="5" t="s">
        <v>827</v>
      </c>
      <c r="P208" s="5" t="s">
        <v>785</v>
      </c>
      <c r="Q208" s="6">
        <v>71.0</v>
      </c>
      <c r="R208" s="5" t="s">
        <v>786</v>
      </c>
      <c r="S208" s="5" t="s">
        <v>786</v>
      </c>
      <c r="T208" s="5" t="s">
        <v>786</v>
      </c>
    </row>
    <row r="209">
      <c r="E209" s="5">
        <v>207.0</v>
      </c>
      <c r="F209" s="5" t="s">
        <v>52</v>
      </c>
      <c r="H209" s="5" t="s">
        <v>19</v>
      </c>
      <c r="I209" s="5" t="s">
        <v>667</v>
      </c>
      <c r="J209" s="5" t="s">
        <v>71</v>
      </c>
      <c r="K209" s="5" t="s">
        <v>828</v>
      </c>
      <c r="L209" s="5" t="s">
        <v>829</v>
      </c>
      <c r="N209" s="5" t="s">
        <v>830</v>
      </c>
      <c r="O209" s="5" t="s">
        <v>831</v>
      </c>
      <c r="P209" s="5" t="s">
        <v>785</v>
      </c>
      <c r="Q209" s="6">
        <v>71.0</v>
      </c>
      <c r="R209" s="5" t="s">
        <v>786</v>
      </c>
      <c r="S209" s="5" t="s">
        <v>786</v>
      </c>
      <c r="T209" s="5" t="s">
        <v>786</v>
      </c>
    </row>
    <row r="210">
      <c r="E210" s="5">
        <v>208.0</v>
      </c>
      <c r="F210" s="5" t="s">
        <v>17</v>
      </c>
      <c r="H210" s="5" t="s">
        <v>680</v>
      </c>
      <c r="I210" s="5" t="s">
        <v>19</v>
      </c>
      <c r="J210" s="5" t="s">
        <v>705</v>
      </c>
      <c r="K210" s="5" t="s">
        <v>21</v>
      </c>
      <c r="L210" s="5" t="s">
        <v>832</v>
      </c>
      <c r="M210" s="5" t="s">
        <v>833</v>
      </c>
      <c r="N210" s="5" t="s">
        <v>834</v>
      </c>
      <c r="O210" s="5" t="s">
        <v>835</v>
      </c>
      <c r="P210" s="5" t="s">
        <v>785</v>
      </c>
      <c r="Q210" s="6">
        <v>72.0</v>
      </c>
      <c r="R210" s="5" t="s">
        <v>786</v>
      </c>
      <c r="S210" s="5" t="s">
        <v>786</v>
      </c>
      <c r="T210" s="5" t="s">
        <v>786</v>
      </c>
    </row>
    <row r="211">
      <c r="E211" s="5">
        <v>209.0</v>
      </c>
      <c r="F211" s="5" t="s">
        <v>17</v>
      </c>
      <c r="H211" s="5" t="s">
        <v>671</v>
      </c>
      <c r="I211" s="5" t="s">
        <v>19</v>
      </c>
      <c r="J211" s="5" t="s">
        <v>705</v>
      </c>
      <c r="K211" s="5" t="s">
        <v>21</v>
      </c>
      <c r="L211" s="5" t="s">
        <v>836</v>
      </c>
      <c r="M211" s="5" t="s">
        <v>837</v>
      </c>
      <c r="N211" s="5" t="s">
        <v>838</v>
      </c>
      <c r="O211" s="5" t="s">
        <v>835</v>
      </c>
      <c r="P211" s="5" t="s">
        <v>785</v>
      </c>
      <c r="Q211" s="6">
        <v>72.0</v>
      </c>
      <c r="R211" s="5" t="s">
        <v>786</v>
      </c>
      <c r="S211" s="5" t="s">
        <v>786</v>
      </c>
      <c r="T211" s="5" t="s">
        <v>786</v>
      </c>
    </row>
    <row r="212">
      <c r="E212" s="5">
        <v>210.0</v>
      </c>
      <c r="F212" s="5" t="s">
        <v>17</v>
      </c>
      <c r="H212" s="5" t="s">
        <v>658</v>
      </c>
      <c r="I212" s="5" t="s">
        <v>19</v>
      </c>
      <c r="J212" s="5" t="s">
        <v>705</v>
      </c>
      <c r="K212" s="5" t="s">
        <v>21</v>
      </c>
      <c r="L212" s="5" t="s">
        <v>839</v>
      </c>
      <c r="M212" s="5" t="s">
        <v>840</v>
      </c>
      <c r="N212" s="5" t="s">
        <v>841</v>
      </c>
      <c r="O212" s="5" t="s">
        <v>835</v>
      </c>
      <c r="P212" s="5" t="s">
        <v>785</v>
      </c>
      <c r="Q212" s="6">
        <v>72.0</v>
      </c>
      <c r="R212" s="5" t="s">
        <v>786</v>
      </c>
      <c r="S212" s="5" t="s">
        <v>786</v>
      </c>
      <c r="T212" s="5" t="s">
        <v>786</v>
      </c>
    </row>
    <row r="213">
      <c r="E213" s="5">
        <v>211.0</v>
      </c>
      <c r="F213" s="5" t="s">
        <v>17</v>
      </c>
      <c r="H213" s="5" t="s">
        <v>667</v>
      </c>
      <c r="I213" s="5" t="s">
        <v>19</v>
      </c>
      <c r="J213" s="5" t="s">
        <v>705</v>
      </c>
      <c r="K213" s="5" t="s">
        <v>21</v>
      </c>
      <c r="L213" s="5" t="s">
        <v>842</v>
      </c>
      <c r="M213" s="5" t="s">
        <v>843</v>
      </c>
      <c r="N213" s="5" t="s">
        <v>844</v>
      </c>
      <c r="O213" s="5" t="s">
        <v>835</v>
      </c>
      <c r="P213" s="5" t="s">
        <v>785</v>
      </c>
      <c r="Q213" s="6">
        <v>72.0</v>
      </c>
      <c r="R213" s="5" t="s">
        <v>786</v>
      </c>
      <c r="S213" s="5" t="s">
        <v>786</v>
      </c>
      <c r="T213" s="5" t="s">
        <v>786</v>
      </c>
    </row>
    <row r="214">
      <c r="E214" s="5">
        <v>212.0</v>
      </c>
      <c r="F214" s="5" t="s">
        <v>17</v>
      </c>
      <c r="H214" s="5" t="s">
        <v>845</v>
      </c>
      <c r="I214" s="5" t="s">
        <v>19</v>
      </c>
      <c r="J214" s="5" t="s">
        <v>71</v>
      </c>
      <c r="K214" s="5" t="s">
        <v>21</v>
      </c>
      <c r="L214" s="5" t="s">
        <v>846</v>
      </c>
      <c r="N214" s="5" t="s">
        <v>847</v>
      </c>
      <c r="O214" s="5" t="s">
        <v>848</v>
      </c>
      <c r="P214" s="5" t="s">
        <v>785</v>
      </c>
      <c r="Q214" s="6">
        <v>73.0</v>
      </c>
      <c r="R214" s="5" t="s">
        <v>786</v>
      </c>
      <c r="S214" s="5" t="s">
        <v>786</v>
      </c>
      <c r="T214" s="5" t="s">
        <v>786</v>
      </c>
    </row>
    <row r="215">
      <c r="E215" s="5">
        <v>213.0</v>
      </c>
      <c r="F215" s="5" t="s">
        <v>52</v>
      </c>
      <c r="H215" s="5" t="s">
        <v>19</v>
      </c>
      <c r="I215" s="5" t="s">
        <v>667</v>
      </c>
      <c r="J215" s="5" t="s">
        <v>71</v>
      </c>
      <c r="K215" s="5" t="s">
        <v>21</v>
      </c>
      <c r="L215" s="5" t="s">
        <v>849</v>
      </c>
      <c r="N215" s="5" t="s">
        <v>850</v>
      </c>
      <c r="O215" s="5" t="s">
        <v>851</v>
      </c>
      <c r="P215" s="5" t="s">
        <v>785</v>
      </c>
      <c r="Q215" s="6">
        <v>73.0</v>
      </c>
      <c r="R215" s="5" t="s">
        <v>786</v>
      </c>
      <c r="S215" s="5" t="s">
        <v>786</v>
      </c>
      <c r="T215" s="5" t="s">
        <v>786</v>
      </c>
    </row>
    <row r="216">
      <c r="E216" s="5">
        <v>214.0</v>
      </c>
      <c r="F216" s="5" t="s">
        <v>17</v>
      </c>
      <c r="H216" s="5" t="s">
        <v>852</v>
      </c>
      <c r="I216" s="5" t="s">
        <v>19</v>
      </c>
      <c r="J216" s="5" t="s">
        <v>853</v>
      </c>
      <c r="K216" s="5" t="s">
        <v>21</v>
      </c>
      <c r="L216" s="5" t="s">
        <v>854</v>
      </c>
      <c r="N216" s="5" t="s">
        <v>855</v>
      </c>
      <c r="P216" s="5" t="s">
        <v>785</v>
      </c>
      <c r="Q216" s="6">
        <v>73.0</v>
      </c>
      <c r="R216" s="5" t="s">
        <v>786</v>
      </c>
      <c r="S216" s="5" t="s">
        <v>786</v>
      </c>
      <c r="T216" s="5" t="s">
        <v>786</v>
      </c>
    </row>
    <row r="217">
      <c r="E217" s="5">
        <v>215.0</v>
      </c>
      <c r="F217" s="5" t="s">
        <v>281</v>
      </c>
      <c r="H217" s="5" t="s">
        <v>671</v>
      </c>
      <c r="I217" s="5" t="s">
        <v>856</v>
      </c>
      <c r="J217" s="5" t="s">
        <v>857</v>
      </c>
      <c r="K217" s="5" t="s">
        <v>858</v>
      </c>
      <c r="L217" s="5" t="s">
        <v>854</v>
      </c>
      <c r="N217" s="5" t="s">
        <v>855</v>
      </c>
      <c r="P217" s="5" t="s">
        <v>785</v>
      </c>
      <c r="Q217" s="6">
        <v>73.0</v>
      </c>
      <c r="R217" s="5" t="s">
        <v>786</v>
      </c>
      <c r="S217" s="5" t="s">
        <v>786</v>
      </c>
      <c r="T217" s="5" t="s">
        <v>786</v>
      </c>
    </row>
    <row r="218">
      <c r="E218" s="5">
        <v>216.0</v>
      </c>
      <c r="F218" s="5" t="s">
        <v>17</v>
      </c>
      <c r="H218" s="5" t="s">
        <v>859</v>
      </c>
      <c r="I218" s="5" t="s">
        <v>19</v>
      </c>
      <c r="J218" s="5" t="s">
        <v>860</v>
      </c>
      <c r="K218" s="5" t="s">
        <v>21</v>
      </c>
      <c r="L218" s="5" t="s">
        <v>861</v>
      </c>
      <c r="N218" s="5" t="s">
        <v>862</v>
      </c>
      <c r="P218" s="5" t="s">
        <v>785</v>
      </c>
      <c r="Q218" s="6">
        <v>73.0</v>
      </c>
      <c r="R218" s="5" t="s">
        <v>786</v>
      </c>
      <c r="S218" s="5" t="s">
        <v>786</v>
      </c>
      <c r="T218" s="5" t="s">
        <v>786</v>
      </c>
    </row>
    <row r="219">
      <c r="E219" s="5">
        <v>217.0</v>
      </c>
      <c r="F219" s="5" t="s">
        <v>281</v>
      </c>
      <c r="H219" s="5" t="s">
        <v>667</v>
      </c>
      <c r="I219" s="5" t="s">
        <v>863</v>
      </c>
      <c r="J219" s="5" t="s">
        <v>857</v>
      </c>
      <c r="K219" s="5" t="s">
        <v>864</v>
      </c>
      <c r="L219" s="5" t="s">
        <v>861</v>
      </c>
      <c r="N219" s="5" t="s">
        <v>862</v>
      </c>
      <c r="P219" s="5" t="s">
        <v>785</v>
      </c>
      <c r="Q219" s="6">
        <v>73.0</v>
      </c>
      <c r="R219" s="5" t="s">
        <v>786</v>
      </c>
      <c r="S219" s="5" t="s">
        <v>786</v>
      </c>
      <c r="T219" s="5" t="s">
        <v>786</v>
      </c>
    </row>
    <row r="220">
      <c r="E220" s="5">
        <v>218.0</v>
      </c>
      <c r="F220" s="5" t="s">
        <v>17</v>
      </c>
      <c r="H220" s="5" t="s">
        <v>852</v>
      </c>
      <c r="I220" s="5" t="s">
        <v>19</v>
      </c>
      <c r="J220" s="5" t="s">
        <v>865</v>
      </c>
      <c r="K220" s="5" t="s">
        <v>21</v>
      </c>
      <c r="L220" s="5" t="s">
        <v>866</v>
      </c>
      <c r="N220" s="5" t="s">
        <v>867</v>
      </c>
      <c r="P220" s="5" t="s">
        <v>785</v>
      </c>
      <c r="Q220" s="6">
        <v>73.0</v>
      </c>
      <c r="R220" s="5" t="s">
        <v>786</v>
      </c>
      <c r="S220" s="5" t="s">
        <v>786</v>
      </c>
      <c r="T220" s="5" t="s">
        <v>786</v>
      </c>
    </row>
    <row r="221" ht="15.75" customHeight="1">
      <c r="E221" s="5">
        <v>219.0</v>
      </c>
      <c r="F221" s="5" t="s">
        <v>281</v>
      </c>
      <c r="G221" s="5"/>
      <c r="H221" s="5" t="s">
        <v>675</v>
      </c>
      <c r="I221" s="5" t="s">
        <v>868</v>
      </c>
      <c r="J221" s="5" t="s">
        <v>857</v>
      </c>
      <c r="K221" s="5" t="s">
        <v>869</v>
      </c>
      <c r="L221" s="5" t="s">
        <v>866</v>
      </c>
      <c r="N221" s="5" t="s">
        <v>867</v>
      </c>
      <c r="P221" s="5" t="s">
        <v>785</v>
      </c>
      <c r="Q221" s="6">
        <v>73.0</v>
      </c>
      <c r="R221" s="5" t="s">
        <v>786</v>
      </c>
      <c r="S221" s="5" t="s">
        <v>786</v>
      </c>
      <c r="T221" s="5" t="s">
        <v>786</v>
      </c>
    </row>
    <row r="222">
      <c r="E222" s="5">
        <v>220.0</v>
      </c>
      <c r="F222" s="5" t="s">
        <v>870</v>
      </c>
      <c r="H222" s="5" t="s">
        <v>871</v>
      </c>
      <c r="I222" s="5" t="s">
        <v>872</v>
      </c>
      <c r="J222" s="5" t="s">
        <v>873</v>
      </c>
      <c r="K222" s="5" t="s">
        <v>21</v>
      </c>
      <c r="L222" s="5" t="s">
        <v>874</v>
      </c>
      <c r="M222" s="5" t="s">
        <v>875</v>
      </c>
      <c r="N222" s="5" t="s">
        <v>876</v>
      </c>
      <c r="P222" s="5" t="s">
        <v>785</v>
      </c>
      <c r="Q222" s="6">
        <v>75.0</v>
      </c>
      <c r="R222" s="5" t="s">
        <v>786</v>
      </c>
      <c r="S222" s="5" t="s">
        <v>786</v>
      </c>
      <c r="T222" s="5" t="s">
        <v>786</v>
      </c>
    </row>
    <row r="223">
      <c r="E223" s="5">
        <v>221.0</v>
      </c>
      <c r="F223" s="5" t="s">
        <v>95</v>
      </c>
      <c r="H223" s="5" t="s">
        <v>877</v>
      </c>
      <c r="I223" s="5" t="s">
        <v>878</v>
      </c>
      <c r="J223" s="5" t="s">
        <v>879</v>
      </c>
      <c r="K223" s="5" t="s">
        <v>21</v>
      </c>
      <c r="L223" s="5" t="s">
        <v>880</v>
      </c>
      <c r="N223" s="5" t="s">
        <v>881</v>
      </c>
      <c r="P223" s="5" t="s">
        <v>785</v>
      </c>
      <c r="Q223" s="6">
        <v>75.0</v>
      </c>
      <c r="R223" s="5" t="s">
        <v>786</v>
      </c>
      <c r="S223" s="5" t="s">
        <v>786</v>
      </c>
      <c r="T223" s="5" t="s">
        <v>786</v>
      </c>
    </row>
    <row r="224">
      <c r="E224" s="5">
        <v>222.0</v>
      </c>
      <c r="F224" s="5" t="s">
        <v>95</v>
      </c>
      <c r="H224" s="5" t="s">
        <v>777</v>
      </c>
      <c r="I224" s="5" t="s">
        <v>776</v>
      </c>
      <c r="J224" s="5" t="s">
        <v>882</v>
      </c>
      <c r="K224" s="5" t="s">
        <v>21</v>
      </c>
      <c r="L224" s="5" t="s">
        <v>883</v>
      </c>
      <c r="M224" s="5" t="s">
        <v>884</v>
      </c>
      <c r="N224" s="5" t="s">
        <v>885</v>
      </c>
      <c r="P224" s="5" t="s">
        <v>785</v>
      </c>
      <c r="Q224" s="6">
        <v>183.0</v>
      </c>
      <c r="R224" s="5" t="s">
        <v>786</v>
      </c>
      <c r="S224" s="5" t="s">
        <v>786</v>
      </c>
      <c r="T224" s="5" t="s">
        <v>786</v>
      </c>
    </row>
    <row r="225">
      <c r="E225" s="5">
        <v>223.0</v>
      </c>
      <c r="F225" s="5" t="s">
        <v>95</v>
      </c>
      <c r="H225" s="5" t="s">
        <v>777</v>
      </c>
      <c r="I225" s="5" t="s">
        <v>776</v>
      </c>
      <c r="J225" s="5" t="s">
        <v>457</v>
      </c>
      <c r="K225" s="5" t="s">
        <v>21</v>
      </c>
      <c r="L225" s="5" t="s">
        <v>886</v>
      </c>
      <c r="M225" s="5" t="s">
        <v>887</v>
      </c>
      <c r="N225" s="5" t="s">
        <v>888</v>
      </c>
      <c r="P225" s="5" t="s">
        <v>785</v>
      </c>
      <c r="Q225" s="6">
        <v>183.0</v>
      </c>
      <c r="R225" s="5" t="s">
        <v>786</v>
      </c>
      <c r="S225" s="5" t="s">
        <v>786</v>
      </c>
      <c r="T225" s="5" t="s">
        <v>786</v>
      </c>
    </row>
    <row r="226">
      <c r="E226" s="5">
        <v>224.0</v>
      </c>
      <c r="F226" s="5" t="s">
        <v>95</v>
      </c>
      <c r="H226" s="5" t="s">
        <v>765</v>
      </c>
      <c r="I226" s="5" t="s">
        <v>775</v>
      </c>
      <c r="J226" s="5" t="s">
        <v>889</v>
      </c>
      <c r="K226" s="5" t="s">
        <v>21</v>
      </c>
      <c r="L226" s="5" t="s">
        <v>890</v>
      </c>
      <c r="M226" s="5" t="s">
        <v>891</v>
      </c>
      <c r="N226" s="5" t="s">
        <v>892</v>
      </c>
      <c r="P226" s="5" t="s">
        <v>785</v>
      </c>
      <c r="Q226" s="6">
        <v>183.0</v>
      </c>
      <c r="R226" s="5" t="s">
        <v>786</v>
      </c>
      <c r="S226" s="5" t="s">
        <v>786</v>
      </c>
      <c r="T226" s="5" t="s">
        <v>786</v>
      </c>
    </row>
    <row r="227">
      <c r="E227" s="5">
        <v>225.0</v>
      </c>
      <c r="F227" s="5" t="s">
        <v>95</v>
      </c>
      <c r="H227" s="5" t="s">
        <v>893</v>
      </c>
      <c r="I227" s="5" t="s">
        <v>894</v>
      </c>
      <c r="J227" s="5" t="s">
        <v>895</v>
      </c>
      <c r="K227" s="5" t="s">
        <v>21</v>
      </c>
      <c r="L227" s="5" t="s">
        <v>896</v>
      </c>
      <c r="N227" s="5" t="s">
        <v>897</v>
      </c>
      <c r="P227" s="5" t="s">
        <v>785</v>
      </c>
      <c r="Q227" s="6">
        <v>184.0</v>
      </c>
      <c r="R227" s="5" t="s">
        <v>786</v>
      </c>
      <c r="S227" s="5" t="s">
        <v>786</v>
      </c>
      <c r="T227" s="5" t="s">
        <v>786</v>
      </c>
    </row>
    <row r="228">
      <c r="E228" s="5">
        <v>226.0</v>
      </c>
      <c r="F228" s="5" t="s">
        <v>95</v>
      </c>
      <c r="H228" s="5" t="s">
        <v>852</v>
      </c>
      <c r="I228" s="5" t="s">
        <v>814</v>
      </c>
      <c r="J228" s="5" t="s">
        <v>895</v>
      </c>
      <c r="K228" s="5" t="s">
        <v>21</v>
      </c>
      <c r="L228" s="5" t="s">
        <v>898</v>
      </c>
      <c r="N228" s="5" t="s">
        <v>899</v>
      </c>
      <c r="P228" s="5" t="s">
        <v>785</v>
      </c>
      <c r="Q228" s="6">
        <v>184.0</v>
      </c>
      <c r="R228" s="5" t="s">
        <v>786</v>
      </c>
      <c r="S228" s="5" t="s">
        <v>786</v>
      </c>
      <c r="T228" s="5" t="s">
        <v>786</v>
      </c>
    </row>
    <row r="229">
      <c r="C229" s="14" t="s">
        <v>900</v>
      </c>
      <c r="E229" s="5">
        <v>227.0</v>
      </c>
      <c r="F229" s="5" t="s">
        <v>52</v>
      </c>
      <c r="H229" s="5" t="s">
        <v>19</v>
      </c>
      <c r="I229" s="5" t="s">
        <v>901</v>
      </c>
      <c r="J229" s="5" t="s">
        <v>902</v>
      </c>
      <c r="K229" s="5" t="s">
        <v>21</v>
      </c>
      <c r="L229" s="5" t="s">
        <v>903</v>
      </c>
      <c r="N229" s="5" t="s">
        <v>904</v>
      </c>
      <c r="P229" s="5" t="s">
        <v>905</v>
      </c>
      <c r="Q229" s="6">
        <v>26.0</v>
      </c>
      <c r="R229" s="5" t="s">
        <v>906</v>
      </c>
      <c r="S229" s="5" t="s">
        <v>906</v>
      </c>
      <c r="T229" s="5" t="s">
        <v>907</v>
      </c>
    </row>
    <row r="230">
      <c r="E230" s="5">
        <v>228.0</v>
      </c>
      <c r="F230" s="5" t="s">
        <v>52</v>
      </c>
      <c r="H230" s="5" t="s">
        <v>19</v>
      </c>
      <c r="I230" s="5" t="s">
        <v>901</v>
      </c>
      <c r="J230" s="5" t="s">
        <v>81</v>
      </c>
      <c r="K230" s="5" t="s">
        <v>21</v>
      </c>
      <c r="L230" s="5" t="s">
        <v>908</v>
      </c>
      <c r="N230" s="5" t="s">
        <v>909</v>
      </c>
      <c r="P230" s="5" t="s">
        <v>905</v>
      </c>
      <c r="Q230" s="6">
        <v>26.0</v>
      </c>
      <c r="R230" s="5" t="s">
        <v>906</v>
      </c>
      <c r="S230" s="5" t="s">
        <v>906</v>
      </c>
      <c r="T230" s="5" t="s">
        <v>907</v>
      </c>
    </row>
    <row r="231">
      <c r="E231" s="5">
        <v>229.0</v>
      </c>
      <c r="F231" s="5" t="s">
        <v>52</v>
      </c>
      <c r="G231" s="5" t="s">
        <v>53</v>
      </c>
      <c r="H231" s="5" t="s">
        <v>19</v>
      </c>
      <c r="I231" s="5" t="s">
        <v>859</v>
      </c>
      <c r="J231" s="5" t="s">
        <v>81</v>
      </c>
      <c r="K231" s="5" t="s">
        <v>21</v>
      </c>
      <c r="L231" s="5" t="s">
        <v>910</v>
      </c>
      <c r="N231" s="5" t="s">
        <v>911</v>
      </c>
      <c r="P231" s="5" t="s">
        <v>905</v>
      </c>
      <c r="Q231" s="6">
        <v>27.0</v>
      </c>
      <c r="R231" s="5" t="s">
        <v>906</v>
      </c>
      <c r="S231" s="5" t="s">
        <v>906</v>
      </c>
      <c r="T231" s="5" t="s">
        <v>907</v>
      </c>
    </row>
    <row r="232">
      <c r="E232" s="5">
        <v>230.0</v>
      </c>
      <c r="F232" s="5" t="s">
        <v>17</v>
      </c>
      <c r="H232" s="5" t="s">
        <v>46</v>
      </c>
      <c r="I232" s="5" t="s">
        <v>19</v>
      </c>
      <c r="J232" s="5" t="s">
        <v>912</v>
      </c>
      <c r="K232" s="5" t="s">
        <v>21</v>
      </c>
      <c r="L232" s="5" t="s">
        <v>913</v>
      </c>
      <c r="M232" s="5" t="s">
        <v>914</v>
      </c>
      <c r="N232" s="5" t="s">
        <v>915</v>
      </c>
      <c r="P232" s="5" t="s">
        <v>905</v>
      </c>
      <c r="Q232" s="6">
        <v>28.0</v>
      </c>
      <c r="R232" s="5" t="s">
        <v>906</v>
      </c>
      <c r="S232" s="5" t="s">
        <v>906</v>
      </c>
      <c r="T232" s="5" t="s">
        <v>907</v>
      </c>
    </row>
    <row r="233">
      <c r="E233" s="5">
        <v>231.0</v>
      </c>
      <c r="F233" s="5" t="s">
        <v>281</v>
      </c>
      <c r="H233" s="5" t="s">
        <v>680</v>
      </c>
      <c r="I233" s="5" t="s">
        <v>671</v>
      </c>
      <c r="J233" s="5" t="s">
        <v>916</v>
      </c>
      <c r="K233" s="5" t="s">
        <v>917</v>
      </c>
      <c r="L233" s="5" t="s">
        <v>918</v>
      </c>
      <c r="M233" s="5" t="s">
        <v>919</v>
      </c>
      <c r="N233" s="5" t="s">
        <v>920</v>
      </c>
      <c r="P233" s="5" t="s">
        <v>905</v>
      </c>
      <c r="Q233" s="6">
        <v>38.0</v>
      </c>
      <c r="R233" s="5" t="s">
        <v>906</v>
      </c>
      <c r="S233" s="5" t="s">
        <v>906</v>
      </c>
      <c r="T233" s="5" t="s">
        <v>907</v>
      </c>
    </row>
    <row r="234">
      <c r="E234" s="5">
        <v>232.0</v>
      </c>
      <c r="F234" s="5" t="s">
        <v>281</v>
      </c>
      <c r="H234" s="5" t="s">
        <v>680</v>
      </c>
      <c r="I234" s="5" t="s">
        <v>675</v>
      </c>
      <c r="J234" s="5" t="s">
        <v>916</v>
      </c>
      <c r="K234" s="5" t="s">
        <v>917</v>
      </c>
      <c r="L234" s="5" t="s">
        <v>921</v>
      </c>
      <c r="M234" s="5" t="s">
        <v>922</v>
      </c>
      <c r="N234" s="5" t="s">
        <v>923</v>
      </c>
      <c r="P234" s="5" t="s">
        <v>905</v>
      </c>
      <c r="Q234" s="6">
        <v>38.0</v>
      </c>
      <c r="R234" s="5" t="s">
        <v>906</v>
      </c>
      <c r="S234" s="5" t="s">
        <v>906</v>
      </c>
      <c r="T234" s="5" t="s">
        <v>907</v>
      </c>
    </row>
    <row r="235">
      <c r="E235" s="5">
        <v>233.0</v>
      </c>
      <c r="F235" s="5" t="s">
        <v>281</v>
      </c>
      <c r="H235" s="5" t="s">
        <v>658</v>
      </c>
      <c r="I235" s="5" t="s">
        <v>671</v>
      </c>
      <c r="J235" s="5" t="s">
        <v>916</v>
      </c>
      <c r="K235" s="5" t="s">
        <v>917</v>
      </c>
      <c r="L235" s="5" t="s">
        <v>924</v>
      </c>
      <c r="M235" s="5" t="s">
        <v>925</v>
      </c>
      <c r="N235" s="5" t="s">
        <v>926</v>
      </c>
      <c r="P235" s="5" t="s">
        <v>905</v>
      </c>
      <c r="Q235" s="6">
        <v>39.0</v>
      </c>
      <c r="R235" s="5" t="s">
        <v>906</v>
      </c>
      <c r="S235" s="5" t="s">
        <v>906</v>
      </c>
      <c r="T235" s="5" t="s">
        <v>907</v>
      </c>
    </row>
    <row r="236">
      <c r="E236" s="5">
        <v>234.0</v>
      </c>
      <c r="F236" s="5" t="s">
        <v>281</v>
      </c>
      <c r="H236" s="5" t="s">
        <v>675</v>
      </c>
      <c r="I236" s="5" t="s">
        <v>658</v>
      </c>
      <c r="J236" s="5" t="s">
        <v>916</v>
      </c>
      <c r="K236" s="5" t="s">
        <v>917</v>
      </c>
      <c r="L236" s="5" t="s">
        <v>927</v>
      </c>
      <c r="M236" s="5" t="s">
        <v>928</v>
      </c>
      <c r="N236" s="5" t="s">
        <v>929</v>
      </c>
      <c r="P236" s="5" t="s">
        <v>905</v>
      </c>
      <c r="Q236" s="6">
        <v>39.0</v>
      </c>
      <c r="R236" s="5" t="s">
        <v>906</v>
      </c>
      <c r="S236" s="5" t="s">
        <v>906</v>
      </c>
      <c r="T236" s="5" t="s">
        <v>907</v>
      </c>
    </row>
    <row r="237">
      <c r="E237" s="5">
        <v>235.0</v>
      </c>
      <c r="F237" s="5" t="s">
        <v>281</v>
      </c>
      <c r="H237" s="5" t="s">
        <v>667</v>
      </c>
      <c r="I237" s="5" t="s">
        <v>671</v>
      </c>
      <c r="J237" s="5" t="s">
        <v>916</v>
      </c>
      <c r="K237" s="5" t="s">
        <v>917</v>
      </c>
      <c r="L237" s="5" t="s">
        <v>930</v>
      </c>
      <c r="M237" s="5" t="s">
        <v>931</v>
      </c>
      <c r="N237" s="5" t="s">
        <v>932</v>
      </c>
      <c r="P237" s="5" t="s">
        <v>905</v>
      </c>
      <c r="Q237" s="6">
        <v>39.0</v>
      </c>
      <c r="R237" s="5" t="s">
        <v>906</v>
      </c>
      <c r="S237" s="5" t="s">
        <v>906</v>
      </c>
      <c r="T237" s="5" t="s">
        <v>907</v>
      </c>
    </row>
    <row r="238">
      <c r="E238" s="5">
        <v>236.0</v>
      </c>
      <c r="F238" s="5" t="s">
        <v>281</v>
      </c>
      <c r="H238" s="5" t="s">
        <v>667</v>
      </c>
      <c r="I238" s="5" t="s">
        <v>658</v>
      </c>
      <c r="J238" s="5" t="s">
        <v>916</v>
      </c>
      <c r="K238" s="5" t="s">
        <v>917</v>
      </c>
      <c r="L238" s="5" t="s">
        <v>933</v>
      </c>
      <c r="M238" s="5" t="s">
        <v>934</v>
      </c>
      <c r="N238" s="5" t="s">
        <v>935</v>
      </c>
      <c r="P238" s="5" t="s">
        <v>905</v>
      </c>
      <c r="Q238" s="6">
        <v>39.0</v>
      </c>
      <c r="R238" s="5" t="s">
        <v>906</v>
      </c>
      <c r="S238" s="5" t="s">
        <v>906</v>
      </c>
      <c r="T238" s="5" t="s">
        <v>907</v>
      </c>
    </row>
    <row r="239">
      <c r="E239" s="5">
        <v>237.0</v>
      </c>
      <c r="F239" s="5" t="s">
        <v>281</v>
      </c>
      <c r="H239" s="5" t="s">
        <v>680</v>
      </c>
      <c r="I239" s="5" t="s">
        <v>658</v>
      </c>
      <c r="J239" s="5" t="s">
        <v>936</v>
      </c>
      <c r="K239" s="5" t="s">
        <v>21</v>
      </c>
      <c r="L239" s="5" t="s">
        <v>937</v>
      </c>
      <c r="M239" s="5" t="s">
        <v>938</v>
      </c>
      <c r="N239" s="5" t="s">
        <v>939</v>
      </c>
      <c r="P239" s="5" t="s">
        <v>905</v>
      </c>
      <c r="Q239" s="6">
        <v>39.0</v>
      </c>
      <c r="R239" s="5" t="s">
        <v>906</v>
      </c>
      <c r="S239" s="5" t="s">
        <v>906</v>
      </c>
      <c r="T239" s="5" t="s">
        <v>907</v>
      </c>
    </row>
    <row r="240">
      <c r="E240" s="5">
        <v>238.0</v>
      </c>
      <c r="F240" s="5" t="s">
        <v>281</v>
      </c>
      <c r="H240" s="5" t="s">
        <v>680</v>
      </c>
      <c r="I240" s="5" t="s">
        <v>675</v>
      </c>
      <c r="J240" s="5" t="s">
        <v>936</v>
      </c>
      <c r="K240" s="5" t="s">
        <v>21</v>
      </c>
      <c r="L240" s="5" t="s">
        <v>940</v>
      </c>
      <c r="M240" s="5" t="s">
        <v>941</v>
      </c>
      <c r="N240" s="5" t="s">
        <v>942</v>
      </c>
      <c r="P240" s="5" t="s">
        <v>905</v>
      </c>
      <c r="Q240" s="6">
        <v>39.0</v>
      </c>
      <c r="R240" s="5" t="s">
        <v>906</v>
      </c>
      <c r="S240" s="5" t="s">
        <v>906</v>
      </c>
      <c r="T240" s="5" t="s">
        <v>907</v>
      </c>
    </row>
    <row r="241">
      <c r="E241" s="5">
        <v>239.0</v>
      </c>
      <c r="F241" s="5" t="s">
        <v>281</v>
      </c>
      <c r="H241" s="5" t="s">
        <v>675</v>
      </c>
      <c r="I241" s="5" t="s">
        <v>671</v>
      </c>
      <c r="J241" s="5" t="s">
        <v>936</v>
      </c>
      <c r="K241" s="5" t="s">
        <v>21</v>
      </c>
      <c r="L241" s="5" t="s">
        <v>943</v>
      </c>
      <c r="M241" s="5" t="s">
        <v>944</v>
      </c>
      <c r="N241" s="5" t="s">
        <v>945</v>
      </c>
      <c r="P241" s="5" t="s">
        <v>905</v>
      </c>
      <c r="Q241" s="6">
        <v>40.0</v>
      </c>
      <c r="R241" s="5" t="s">
        <v>906</v>
      </c>
      <c r="S241" s="5" t="s">
        <v>906</v>
      </c>
      <c r="T241" s="5" t="s">
        <v>907</v>
      </c>
    </row>
    <row r="242">
      <c r="E242" s="5">
        <v>240.0</v>
      </c>
      <c r="F242" s="5" t="s">
        <v>281</v>
      </c>
      <c r="H242" s="5" t="s">
        <v>667</v>
      </c>
      <c r="I242" s="5" t="s">
        <v>680</v>
      </c>
      <c r="J242" s="5" t="s">
        <v>936</v>
      </c>
      <c r="K242" s="5" t="s">
        <v>21</v>
      </c>
      <c r="L242" s="5" t="s">
        <v>946</v>
      </c>
      <c r="M242" s="5" t="s">
        <v>427</v>
      </c>
      <c r="N242" s="5" t="s">
        <v>428</v>
      </c>
      <c r="P242" s="5" t="s">
        <v>905</v>
      </c>
      <c r="Q242" s="6">
        <v>40.0</v>
      </c>
      <c r="R242" s="5" t="s">
        <v>906</v>
      </c>
      <c r="S242" s="5" t="s">
        <v>906</v>
      </c>
      <c r="T242" s="5" t="s">
        <v>907</v>
      </c>
    </row>
    <row r="243">
      <c r="E243" s="5">
        <v>241.0</v>
      </c>
      <c r="F243" s="5" t="s">
        <v>190</v>
      </c>
      <c r="G243" s="5" t="s">
        <v>451</v>
      </c>
      <c r="H243" s="5" t="s">
        <v>947</v>
      </c>
      <c r="I243" s="5" t="s">
        <v>752</v>
      </c>
      <c r="J243" s="5" t="s">
        <v>948</v>
      </c>
      <c r="K243" s="5" t="s">
        <v>21</v>
      </c>
      <c r="L243" s="5" t="s">
        <v>949</v>
      </c>
      <c r="M243" s="5" t="s">
        <v>950</v>
      </c>
      <c r="N243" s="5" t="s">
        <v>951</v>
      </c>
      <c r="P243" s="5" t="s">
        <v>905</v>
      </c>
      <c r="Q243" s="6">
        <v>41.0</v>
      </c>
      <c r="R243" s="5" t="s">
        <v>906</v>
      </c>
      <c r="S243" s="5" t="s">
        <v>906</v>
      </c>
      <c r="T243" s="5" t="s">
        <v>907</v>
      </c>
    </row>
    <row r="244">
      <c r="E244" s="5">
        <v>242.0</v>
      </c>
      <c r="F244" s="5" t="s">
        <v>952</v>
      </c>
      <c r="H244" s="5" t="s">
        <v>953</v>
      </c>
      <c r="I244" s="5" t="s">
        <v>954</v>
      </c>
      <c r="J244" s="5" t="s">
        <v>71</v>
      </c>
      <c r="K244" s="5" t="s">
        <v>21</v>
      </c>
      <c r="L244" s="5" t="s">
        <v>955</v>
      </c>
      <c r="M244" s="5" t="s">
        <v>956</v>
      </c>
      <c r="N244" s="5" t="s">
        <v>957</v>
      </c>
      <c r="P244" s="5" t="s">
        <v>905</v>
      </c>
      <c r="Q244" s="6">
        <v>42.0</v>
      </c>
      <c r="R244" s="5" t="s">
        <v>906</v>
      </c>
      <c r="S244" s="5" t="s">
        <v>906</v>
      </c>
      <c r="T244" s="5" t="s">
        <v>907</v>
      </c>
    </row>
    <row r="245">
      <c r="E245" s="5">
        <v>243.0</v>
      </c>
      <c r="F245" s="5" t="s">
        <v>17</v>
      </c>
      <c r="H245" s="5" t="s">
        <v>545</v>
      </c>
      <c r="I245" s="5" t="s">
        <v>19</v>
      </c>
      <c r="J245" s="5" t="s">
        <v>958</v>
      </c>
      <c r="K245" s="5" t="s">
        <v>21</v>
      </c>
      <c r="L245" s="5" t="s">
        <v>959</v>
      </c>
      <c r="M245" s="5" t="s">
        <v>960</v>
      </c>
      <c r="N245" s="5" t="s">
        <v>961</v>
      </c>
      <c r="P245" s="5" t="s">
        <v>905</v>
      </c>
      <c r="Q245" s="6">
        <v>42.0</v>
      </c>
      <c r="R245" s="5" t="s">
        <v>906</v>
      </c>
      <c r="S245" s="5" t="s">
        <v>906</v>
      </c>
      <c r="T245" s="5" t="s">
        <v>907</v>
      </c>
    </row>
    <row r="246">
      <c r="E246" s="5">
        <v>244.0</v>
      </c>
      <c r="F246" s="5" t="s">
        <v>95</v>
      </c>
      <c r="H246" s="5" t="s">
        <v>752</v>
      </c>
      <c r="I246" s="5" t="s">
        <v>947</v>
      </c>
      <c r="J246" s="5" t="s">
        <v>962</v>
      </c>
      <c r="K246" s="5" t="s">
        <v>21</v>
      </c>
      <c r="L246" s="5" t="s">
        <v>963</v>
      </c>
      <c r="M246" s="5" t="s">
        <v>964</v>
      </c>
      <c r="N246" s="5" t="s">
        <v>965</v>
      </c>
      <c r="P246" s="5" t="s">
        <v>905</v>
      </c>
      <c r="Q246" s="6">
        <v>42.0</v>
      </c>
      <c r="R246" s="5" t="s">
        <v>906</v>
      </c>
      <c r="S246" s="5" t="s">
        <v>906</v>
      </c>
      <c r="T246" s="5" t="s">
        <v>907</v>
      </c>
    </row>
    <row r="247">
      <c r="E247" s="5">
        <v>245.0</v>
      </c>
      <c r="F247" s="5" t="s">
        <v>190</v>
      </c>
      <c r="H247" s="5" t="s">
        <v>515</v>
      </c>
      <c r="I247" s="5" t="s">
        <v>193</v>
      </c>
      <c r="J247" s="5" t="s">
        <v>966</v>
      </c>
      <c r="K247" s="5" t="s">
        <v>21</v>
      </c>
      <c r="L247" s="5" t="s">
        <v>967</v>
      </c>
      <c r="M247" s="5" t="s">
        <v>968</v>
      </c>
      <c r="N247" s="5" t="s">
        <v>969</v>
      </c>
      <c r="P247" s="5" t="s">
        <v>905</v>
      </c>
      <c r="Q247" s="6">
        <v>42.0</v>
      </c>
      <c r="R247" s="5" t="s">
        <v>906</v>
      </c>
      <c r="S247" s="5" t="s">
        <v>906</v>
      </c>
      <c r="T247" s="5" t="s">
        <v>907</v>
      </c>
    </row>
    <row r="248">
      <c r="E248" s="5">
        <v>246.0</v>
      </c>
      <c r="F248" s="5" t="s">
        <v>281</v>
      </c>
      <c r="H248" s="5" t="s">
        <v>515</v>
      </c>
      <c r="I248" s="5" t="s">
        <v>193</v>
      </c>
      <c r="J248" s="5" t="s">
        <v>237</v>
      </c>
      <c r="K248" s="5" t="s">
        <v>21</v>
      </c>
      <c r="L248" s="5" t="s">
        <v>970</v>
      </c>
      <c r="M248" s="5" t="s">
        <v>971</v>
      </c>
      <c r="N248" s="5" t="s">
        <v>972</v>
      </c>
      <c r="P248" s="5" t="s">
        <v>905</v>
      </c>
      <c r="Q248" s="6">
        <v>43.0</v>
      </c>
      <c r="R248" s="5" t="s">
        <v>906</v>
      </c>
      <c r="S248" s="5" t="s">
        <v>906</v>
      </c>
      <c r="T248" s="5" t="s">
        <v>907</v>
      </c>
    </row>
    <row r="249">
      <c r="C249" s="14" t="s">
        <v>425</v>
      </c>
      <c r="E249" s="5">
        <v>247.0</v>
      </c>
      <c r="F249" s="5"/>
      <c r="N249" s="5" t="s">
        <v>266</v>
      </c>
      <c r="P249" s="5" t="s">
        <v>429</v>
      </c>
      <c r="Q249" s="6"/>
      <c r="R249" s="5" t="s">
        <v>430</v>
      </c>
      <c r="S249" s="5" t="s">
        <v>27</v>
      </c>
      <c r="T249" s="5" t="s">
        <v>430</v>
      </c>
    </row>
    <row r="250">
      <c r="E250" s="5">
        <v>248.0</v>
      </c>
      <c r="F250" s="5" t="s">
        <v>68</v>
      </c>
      <c r="H250" s="5" t="s">
        <v>973</v>
      </c>
      <c r="I250" s="5" t="s">
        <v>819</v>
      </c>
      <c r="J250" s="5" t="s">
        <v>71</v>
      </c>
      <c r="K250" s="5" t="s">
        <v>21</v>
      </c>
      <c r="L250" s="5" t="s">
        <v>974</v>
      </c>
      <c r="M250" s="5" t="s">
        <v>975</v>
      </c>
      <c r="N250" s="5" t="s">
        <v>976</v>
      </c>
      <c r="P250" s="5" t="s">
        <v>429</v>
      </c>
      <c r="Q250" s="6">
        <v>37.0</v>
      </c>
      <c r="R250" s="5" t="s">
        <v>430</v>
      </c>
      <c r="S250" s="5" t="s">
        <v>27</v>
      </c>
      <c r="T250" s="5" t="s">
        <v>430</v>
      </c>
    </row>
    <row r="251">
      <c r="E251" s="5">
        <v>249.0</v>
      </c>
      <c r="F251" s="5" t="s">
        <v>68</v>
      </c>
      <c r="H251" s="5" t="s">
        <v>977</v>
      </c>
      <c r="I251" s="5" t="s">
        <v>978</v>
      </c>
      <c r="J251" s="5" t="s">
        <v>71</v>
      </c>
      <c r="K251" s="5" t="s">
        <v>21</v>
      </c>
      <c r="L251" s="5" t="s">
        <v>979</v>
      </c>
      <c r="N251" s="5" t="s">
        <v>980</v>
      </c>
      <c r="P251" s="5" t="s">
        <v>429</v>
      </c>
      <c r="Q251" s="6">
        <v>37.0</v>
      </c>
      <c r="R251" s="5" t="s">
        <v>430</v>
      </c>
      <c r="S251" s="5" t="s">
        <v>27</v>
      </c>
      <c r="T251" s="5" t="s">
        <v>430</v>
      </c>
    </row>
    <row r="252">
      <c r="E252" s="5">
        <v>250.0</v>
      </c>
      <c r="F252" s="5" t="s">
        <v>68</v>
      </c>
      <c r="H252" s="5" t="s">
        <v>818</v>
      </c>
      <c r="I252" s="5" t="s">
        <v>819</v>
      </c>
      <c r="J252" s="5" t="s">
        <v>71</v>
      </c>
      <c r="K252" s="5" t="s">
        <v>21</v>
      </c>
      <c r="L252" s="5" t="s">
        <v>981</v>
      </c>
      <c r="N252" s="5" t="s">
        <v>982</v>
      </c>
      <c r="P252" s="5" t="s">
        <v>429</v>
      </c>
      <c r="Q252" s="6">
        <v>37.0</v>
      </c>
      <c r="R252" s="5" t="s">
        <v>430</v>
      </c>
      <c r="S252" s="5" t="s">
        <v>27</v>
      </c>
      <c r="T252" s="5" t="s">
        <v>430</v>
      </c>
    </row>
    <row r="253">
      <c r="E253" s="5">
        <v>251.0</v>
      </c>
      <c r="F253" s="5" t="s">
        <v>68</v>
      </c>
      <c r="H253" s="5" t="s">
        <v>983</v>
      </c>
      <c r="I253" s="5" t="s">
        <v>978</v>
      </c>
      <c r="J253" s="5" t="s">
        <v>71</v>
      </c>
      <c r="K253" s="5" t="s">
        <v>21</v>
      </c>
      <c r="L253" s="5" t="s">
        <v>984</v>
      </c>
      <c r="N253" s="5" t="s">
        <v>985</v>
      </c>
      <c r="P253" s="5" t="s">
        <v>429</v>
      </c>
      <c r="Q253" s="6">
        <v>38.0</v>
      </c>
      <c r="R253" s="5" t="s">
        <v>430</v>
      </c>
      <c r="S253" s="5" t="s">
        <v>27</v>
      </c>
      <c r="T253" s="5" t="s">
        <v>430</v>
      </c>
    </row>
    <row r="254">
      <c r="E254" s="5">
        <v>252.0</v>
      </c>
      <c r="F254" s="5" t="s">
        <v>17</v>
      </c>
      <c r="H254" s="5" t="s">
        <v>128</v>
      </c>
      <c r="I254" s="5" t="s">
        <v>19</v>
      </c>
      <c r="J254" s="5" t="s">
        <v>71</v>
      </c>
      <c r="K254" s="5" t="s">
        <v>21</v>
      </c>
      <c r="L254" s="5" t="s">
        <v>986</v>
      </c>
      <c r="N254" s="5" t="s">
        <v>987</v>
      </c>
      <c r="O254" s="5" t="s">
        <v>988</v>
      </c>
      <c r="P254" s="5" t="s">
        <v>429</v>
      </c>
      <c r="Q254" s="6">
        <v>38.0</v>
      </c>
      <c r="R254" s="5" t="s">
        <v>430</v>
      </c>
      <c r="S254" s="5" t="s">
        <v>27</v>
      </c>
      <c r="T254" s="5" t="s">
        <v>430</v>
      </c>
    </row>
    <row r="255">
      <c r="E255" s="5">
        <v>253.0</v>
      </c>
      <c r="F255" s="5" t="s">
        <v>229</v>
      </c>
      <c r="H255" s="5" t="s">
        <v>230</v>
      </c>
      <c r="I255" s="5" t="s">
        <v>231</v>
      </c>
      <c r="J255" s="5" t="s">
        <v>237</v>
      </c>
      <c r="K255" s="5" t="s">
        <v>21</v>
      </c>
      <c r="L255" s="5" t="s">
        <v>989</v>
      </c>
      <c r="N255" s="5" t="s">
        <v>990</v>
      </c>
      <c r="P255" s="5" t="s">
        <v>429</v>
      </c>
      <c r="Q255" s="6">
        <v>41.0</v>
      </c>
      <c r="R255" s="5" t="s">
        <v>430</v>
      </c>
      <c r="S255" s="5" t="s">
        <v>27</v>
      </c>
      <c r="T255" s="5" t="s">
        <v>430</v>
      </c>
    </row>
    <row r="256">
      <c r="E256" s="5">
        <v>254.0</v>
      </c>
      <c r="F256" s="5" t="s">
        <v>229</v>
      </c>
      <c r="H256" s="5" t="s">
        <v>230</v>
      </c>
      <c r="I256" s="5" t="s">
        <v>231</v>
      </c>
      <c r="J256" s="5" t="s">
        <v>241</v>
      </c>
      <c r="K256" s="5" t="s">
        <v>21</v>
      </c>
      <c r="L256" s="5" t="s">
        <v>991</v>
      </c>
      <c r="N256" s="5" t="s">
        <v>247</v>
      </c>
      <c r="P256" s="5" t="s">
        <v>429</v>
      </c>
      <c r="Q256" s="6">
        <v>41.0</v>
      </c>
      <c r="R256" s="5" t="s">
        <v>430</v>
      </c>
      <c r="S256" s="5" t="s">
        <v>27</v>
      </c>
      <c r="T256" s="5" t="s">
        <v>430</v>
      </c>
    </row>
    <row r="257">
      <c r="E257" s="5">
        <v>255.0</v>
      </c>
      <c r="F257" s="5" t="s">
        <v>68</v>
      </c>
      <c r="H257" s="5" t="s">
        <v>992</v>
      </c>
      <c r="I257" s="5" t="s">
        <v>993</v>
      </c>
      <c r="J257" s="5" t="s">
        <v>71</v>
      </c>
      <c r="K257" s="5" t="s">
        <v>21</v>
      </c>
      <c r="L257" s="5" t="s">
        <v>994</v>
      </c>
      <c r="N257" s="5" t="s">
        <v>995</v>
      </c>
      <c r="P257" s="5" t="s">
        <v>429</v>
      </c>
      <c r="Q257" s="6">
        <v>44.0</v>
      </c>
      <c r="R257" s="5" t="s">
        <v>430</v>
      </c>
      <c r="S257" s="5" t="s">
        <v>27</v>
      </c>
      <c r="T257" s="5" t="s">
        <v>430</v>
      </c>
    </row>
    <row r="258">
      <c r="E258" s="5">
        <v>256.0</v>
      </c>
      <c r="F258" s="5" t="s">
        <v>95</v>
      </c>
      <c r="H258" s="5" t="s">
        <v>996</v>
      </c>
      <c r="I258" s="5" t="s">
        <v>997</v>
      </c>
      <c r="J258" s="5" t="s">
        <v>998</v>
      </c>
      <c r="K258" s="5" t="s">
        <v>21</v>
      </c>
      <c r="L258" s="5" t="s">
        <v>999</v>
      </c>
      <c r="N258" s="5" t="s">
        <v>1000</v>
      </c>
      <c r="P258" s="5" t="s">
        <v>429</v>
      </c>
      <c r="Q258" s="6">
        <v>44.0</v>
      </c>
      <c r="R258" s="5" t="s">
        <v>430</v>
      </c>
      <c r="S258" s="5" t="s">
        <v>27</v>
      </c>
      <c r="T258" s="5" t="s">
        <v>430</v>
      </c>
    </row>
    <row r="259">
      <c r="E259" s="5">
        <v>257.0</v>
      </c>
      <c r="F259" s="5" t="s">
        <v>190</v>
      </c>
      <c r="H259" s="5" t="s">
        <v>515</v>
      </c>
      <c r="I259" s="5" t="s">
        <v>193</v>
      </c>
      <c r="J259" s="5" t="s">
        <v>1001</v>
      </c>
      <c r="K259" s="5" t="s">
        <v>21</v>
      </c>
      <c r="L259" s="5" t="s">
        <v>1002</v>
      </c>
      <c r="N259" s="5" t="s">
        <v>1003</v>
      </c>
      <c r="P259" s="5" t="s">
        <v>429</v>
      </c>
      <c r="Q259" s="6">
        <v>51.0</v>
      </c>
      <c r="R259" s="5" t="s">
        <v>430</v>
      </c>
      <c r="S259" s="5" t="s">
        <v>27</v>
      </c>
      <c r="T259" s="5" t="s">
        <v>430</v>
      </c>
    </row>
    <row r="260">
      <c r="E260" s="5">
        <v>258.0</v>
      </c>
      <c r="F260" s="5" t="s">
        <v>190</v>
      </c>
      <c r="H260" s="5" t="s">
        <v>515</v>
      </c>
      <c r="I260" s="5" t="s">
        <v>193</v>
      </c>
      <c r="J260" s="5" t="s">
        <v>1004</v>
      </c>
      <c r="K260" s="5" t="s">
        <v>21</v>
      </c>
      <c r="L260" s="5" t="s">
        <v>1005</v>
      </c>
      <c r="N260" s="5" t="s">
        <v>1003</v>
      </c>
      <c r="P260" s="5" t="s">
        <v>429</v>
      </c>
      <c r="Q260" s="6">
        <v>51.0</v>
      </c>
      <c r="R260" s="5" t="s">
        <v>430</v>
      </c>
      <c r="S260" s="5" t="s">
        <v>27</v>
      </c>
      <c r="T260" s="5" t="s">
        <v>430</v>
      </c>
    </row>
    <row r="261">
      <c r="E261" s="5">
        <v>259.0</v>
      </c>
      <c r="F261" s="5" t="s">
        <v>17</v>
      </c>
      <c r="G261" s="5" t="s">
        <v>419</v>
      </c>
      <c r="H261" s="5" t="s">
        <v>46</v>
      </c>
      <c r="I261" s="5" t="s">
        <v>19</v>
      </c>
      <c r="J261" s="5" t="s">
        <v>705</v>
      </c>
      <c r="K261" s="5" t="s">
        <v>21</v>
      </c>
      <c r="L261" s="5" t="s">
        <v>1006</v>
      </c>
      <c r="M261" s="5" t="s">
        <v>1007</v>
      </c>
      <c r="N261" s="5" t="s">
        <v>1008</v>
      </c>
      <c r="P261" s="5" t="s">
        <v>429</v>
      </c>
      <c r="Q261" s="6">
        <v>48.0</v>
      </c>
      <c r="R261" s="5" t="s">
        <v>430</v>
      </c>
      <c r="S261" s="5" t="s">
        <v>27</v>
      </c>
      <c r="T261" s="5" t="s">
        <v>430</v>
      </c>
    </row>
    <row r="262">
      <c r="E262" s="5">
        <v>260.0</v>
      </c>
      <c r="F262" s="5" t="s">
        <v>1009</v>
      </c>
      <c r="G262" s="5" t="s">
        <v>419</v>
      </c>
      <c r="H262" s="5" t="s">
        <v>1010</v>
      </c>
      <c r="I262" s="5" t="s">
        <v>261</v>
      </c>
      <c r="J262" s="5" t="s">
        <v>1011</v>
      </c>
      <c r="K262" s="5" t="s">
        <v>1012</v>
      </c>
      <c r="L262" s="5" t="s">
        <v>1006</v>
      </c>
      <c r="M262" s="5" t="s">
        <v>1007</v>
      </c>
      <c r="N262" s="5" t="s">
        <v>1008</v>
      </c>
      <c r="P262" s="5" t="s">
        <v>429</v>
      </c>
      <c r="Q262" s="6">
        <v>48.0</v>
      </c>
      <c r="R262" s="5" t="s">
        <v>430</v>
      </c>
      <c r="S262" s="5" t="s">
        <v>27</v>
      </c>
      <c r="T262" s="5" t="s">
        <v>430</v>
      </c>
    </row>
    <row r="263">
      <c r="E263" s="5">
        <v>261.0</v>
      </c>
      <c r="F263" s="5" t="s">
        <v>95</v>
      </c>
      <c r="H263" s="5" t="s">
        <v>18</v>
      </c>
      <c r="I263" s="5" t="s">
        <v>1013</v>
      </c>
      <c r="J263" s="5" t="s">
        <v>1014</v>
      </c>
      <c r="K263" s="5" t="s">
        <v>21</v>
      </c>
      <c r="L263" s="5" t="s">
        <v>1015</v>
      </c>
      <c r="N263" s="5" t="s">
        <v>1003</v>
      </c>
      <c r="P263" s="5" t="s">
        <v>429</v>
      </c>
      <c r="Q263" s="6">
        <v>48.0</v>
      </c>
      <c r="R263" s="5" t="s">
        <v>430</v>
      </c>
      <c r="S263" s="5" t="s">
        <v>27</v>
      </c>
      <c r="T263" s="5" t="s">
        <v>430</v>
      </c>
    </row>
    <row r="264">
      <c r="E264" s="5">
        <v>262.0</v>
      </c>
      <c r="F264" s="5" t="s">
        <v>95</v>
      </c>
      <c r="H264" s="5" t="s">
        <v>39</v>
      </c>
      <c r="I264" s="5" t="s">
        <v>107</v>
      </c>
      <c r="J264" s="5" t="s">
        <v>1014</v>
      </c>
      <c r="K264" s="5" t="s">
        <v>21</v>
      </c>
      <c r="L264" s="5" t="s">
        <v>1015</v>
      </c>
      <c r="N264" s="5" t="s">
        <v>1003</v>
      </c>
      <c r="P264" s="5" t="s">
        <v>429</v>
      </c>
      <c r="Q264" s="6">
        <v>48.0</v>
      </c>
      <c r="R264" s="5" t="s">
        <v>430</v>
      </c>
      <c r="S264" s="5" t="s">
        <v>27</v>
      </c>
      <c r="T264" s="5" t="s">
        <v>430</v>
      </c>
    </row>
    <row r="265">
      <c r="E265" s="5">
        <v>263.0</v>
      </c>
      <c r="F265" s="5" t="s">
        <v>95</v>
      </c>
      <c r="H265" s="5" t="s">
        <v>29</v>
      </c>
      <c r="I265" s="5" t="s">
        <v>1016</v>
      </c>
      <c r="J265" s="5" t="s">
        <v>1014</v>
      </c>
      <c r="K265" s="5" t="s">
        <v>21</v>
      </c>
      <c r="L265" s="5" t="s">
        <v>1015</v>
      </c>
      <c r="N265" s="5" t="s">
        <v>1003</v>
      </c>
      <c r="P265" s="5" t="s">
        <v>429</v>
      </c>
      <c r="Q265" s="6">
        <v>48.0</v>
      </c>
      <c r="R265" s="5" t="s">
        <v>430</v>
      </c>
      <c r="S265" s="5" t="s">
        <v>27</v>
      </c>
      <c r="T265" s="5" t="s">
        <v>430</v>
      </c>
    </row>
    <row r="266">
      <c r="E266" s="5">
        <v>264.0</v>
      </c>
      <c r="F266" s="5" t="s">
        <v>95</v>
      </c>
      <c r="H266" s="5" t="s">
        <v>128</v>
      </c>
      <c r="I266" s="5" t="s">
        <v>1017</v>
      </c>
      <c r="J266" s="5" t="s">
        <v>1018</v>
      </c>
      <c r="K266" s="5" t="s">
        <v>21</v>
      </c>
      <c r="L266" s="5" t="s">
        <v>1019</v>
      </c>
      <c r="N266" s="5" t="s">
        <v>1020</v>
      </c>
      <c r="P266" s="5" t="s">
        <v>429</v>
      </c>
      <c r="Q266" s="6" t="s">
        <v>1021</v>
      </c>
      <c r="R266" s="5" t="s">
        <v>430</v>
      </c>
      <c r="S266" s="5" t="s">
        <v>27</v>
      </c>
      <c r="T266" s="5" t="s">
        <v>430</v>
      </c>
    </row>
    <row r="267">
      <c r="C267" s="14" t="s">
        <v>1022</v>
      </c>
      <c r="E267" s="5">
        <v>265.0</v>
      </c>
      <c r="F267" s="5" t="s">
        <v>68</v>
      </c>
      <c r="H267" s="5" t="s">
        <v>1023</v>
      </c>
      <c r="I267" s="5" t="s">
        <v>856</v>
      </c>
      <c r="J267" s="5" t="s">
        <v>71</v>
      </c>
      <c r="K267" s="5" t="s">
        <v>21</v>
      </c>
      <c r="L267" s="5" t="s">
        <v>1024</v>
      </c>
      <c r="N267" s="5" t="s">
        <v>1025</v>
      </c>
      <c r="P267" s="5" t="s">
        <v>1026</v>
      </c>
      <c r="Q267" s="6">
        <v>426.0</v>
      </c>
      <c r="R267" s="5" t="s">
        <v>1027</v>
      </c>
      <c r="S267" s="5" t="s">
        <v>1027</v>
      </c>
      <c r="T267" s="5" t="s">
        <v>1027</v>
      </c>
    </row>
    <row r="268">
      <c r="E268" s="5">
        <v>266.0</v>
      </c>
      <c r="F268" s="5" t="s">
        <v>68</v>
      </c>
      <c r="H268" s="5" t="s">
        <v>1028</v>
      </c>
      <c r="I268" s="5" t="s">
        <v>863</v>
      </c>
      <c r="J268" s="5" t="s">
        <v>71</v>
      </c>
      <c r="K268" s="5" t="s">
        <v>21</v>
      </c>
      <c r="L268" s="5" t="s">
        <v>1029</v>
      </c>
      <c r="N268" s="5" t="s">
        <v>1030</v>
      </c>
      <c r="P268" s="5" t="s">
        <v>1026</v>
      </c>
      <c r="Q268" s="6">
        <v>426.0</v>
      </c>
      <c r="R268" s="5" t="s">
        <v>1027</v>
      </c>
      <c r="S268" s="5" t="s">
        <v>1027</v>
      </c>
      <c r="T268" s="5" t="s">
        <v>1027</v>
      </c>
    </row>
    <row r="269">
      <c r="E269" s="5">
        <v>267.0</v>
      </c>
      <c r="F269" s="5" t="s">
        <v>68</v>
      </c>
      <c r="H269" s="5" t="s">
        <v>1031</v>
      </c>
      <c r="I269" s="5" t="s">
        <v>799</v>
      </c>
      <c r="J269" s="5" t="s">
        <v>71</v>
      </c>
      <c r="K269" s="5" t="s">
        <v>21</v>
      </c>
      <c r="L269" s="5" t="s">
        <v>1032</v>
      </c>
      <c r="M269" s="5" t="s">
        <v>1033</v>
      </c>
      <c r="N269" s="5" t="s">
        <v>1034</v>
      </c>
      <c r="P269" s="5" t="s">
        <v>1026</v>
      </c>
      <c r="Q269" s="6">
        <v>429.0</v>
      </c>
      <c r="R269" s="5" t="s">
        <v>1027</v>
      </c>
      <c r="S269" s="5" t="s">
        <v>1027</v>
      </c>
      <c r="T269" s="5" t="s">
        <v>1027</v>
      </c>
    </row>
    <row r="270">
      <c r="E270" s="5">
        <v>268.0</v>
      </c>
      <c r="F270" s="5" t="s">
        <v>68</v>
      </c>
      <c r="H270" s="5" t="s">
        <v>1035</v>
      </c>
      <c r="I270" s="5" t="s">
        <v>799</v>
      </c>
      <c r="J270" s="5" t="s">
        <v>71</v>
      </c>
      <c r="K270" s="5" t="s">
        <v>21</v>
      </c>
      <c r="L270" s="5" t="s">
        <v>1036</v>
      </c>
      <c r="M270" s="5" t="s">
        <v>1037</v>
      </c>
      <c r="N270" s="5" t="s">
        <v>1038</v>
      </c>
      <c r="P270" s="5" t="s">
        <v>1026</v>
      </c>
      <c r="Q270" s="6">
        <v>429.0</v>
      </c>
      <c r="R270" s="5" t="s">
        <v>1027</v>
      </c>
      <c r="S270" s="5" t="s">
        <v>1027</v>
      </c>
      <c r="T270" s="5" t="s">
        <v>1027</v>
      </c>
    </row>
    <row r="271">
      <c r="E271" s="5">
        <v>269.0</v>
      </c>
      <c r="F271" s="5" t="s">
        <v>68</v>
      </c>
      <c r="H271" s="5" t="s">
        <v>1039</v>
      </c>
      <c r="I271" s="5" t="s">
        <v>799</v>
      </c>
      <c r="J271" s="5" t="s">
        <v>71</v>
      </c>
      <c r="K271" s="5" t="s">
        <v>21</v>
      </c>
      <c r="L271" s="5" t="s">
        <v>1040</v>
      </c>
      <c r="M271" s="5" t="s">
        <v>1041</v>
      </c>
      <c r="N271" s="5" t="s">
        <v>1042</v>
      </c>
      <c r="P271" s="5" t="s">
        <v>1026</v>
      </c>
      <c r="Q271" s="6">
        <v>429.0</v>
      </c>
      <c r="R271" s="5" t="s">
        <v>1027</v>
      </c>
      <c r="S271" s="5" t="s">
        <v>1027</v>
      </c>
      <c r="T271" s="5" t="s">
        <v>1027</v>
      </c>
    </row>
    <row r="272">
      <c r="E272" s="5">
        <v>270.0</v>
      </c>
      <c r="F272" s="5" t="s">
        <v>68</v>
      </c>
      <c r="H272" s="5" t="s">
        <v>1043</v>
      </c>
      <c r="I272" s="5" t="s">
        <v>1044</v>
      </c>
      <c r="J272" s="5" t="s">
        <v>71</v>
      </c>
      <c r="K272" s="5" t="s">
        <v>21</v>
      </c>
      <c r="L272" s="5" t="s">
        <v>1045</v>
      </c>
      <c r="M272" s="5" t="s">
        <v>1046</v>
      </c>
      <c r="N272" s="5" t="s">
        <v>1047</v>
      </c>
      <c r="P272" s="5" t="s">
        <v>1026</v>
      </c>
      <c r="Q272" s="6">
        <v>429.0</v>
      </c>
      <c r="R272" s="5" t="s">
        <v>1027</v>
      </c>
      <c r="S272" s="5" t="s">
        <v>1027</v>
      </c>
      <c r="T272" s="5" t="s">
        <v>1027</v>
      </c>
    </row>
    <row r="273">
      <c r="E273" s="5">
        <v>271.0</v>
      </c>
      <c r="F273" s="5" t="s">
        <v>281</v>
      </c>
      <c r="H273" s="5" t="s">
        <v>675</v>
      </c>
      <c r="I273" s="5" t="s">
        <v>680</v>
      </c>
      <c r="J273" s="5" t="s">
        <v>71</v>
      </c>
      <c r="K273" s="5" t="s">
        <v>21</v>
      </c>
      <c r="L273" s="5" t="s">
        <v>1048</v>
      </c>
      <c r="M273" s="5" t="s">
        <v>1049</v>
      </c>
      <c r="N273" s="5" t="s">
        <v>674</v>
      </c>
      <c r="P273" s="5" t="s">
        <v>1026</v>
      </c>
      <c r="Q273" s="6">
        <v>430.0</v>
      </c>
      <c r="R273" s="5" t="s">
        <v>1027</v>
      </c>
      <c r="S273" s="5" t="s">
        <v>1027</v>
      </c>
      <c r="T273" s="5" t="s">
        <v>1027</v>
      </c>
    </row>
    <row r="274">
      <c r="E274" s="5">
        <v>272.0</v>
      </c>
      <c r="F274" s="5" t="s">
        <v>1050</v>
      </c>
      <c r="H274" s="5" t="s">
        <v>667</v>
      </c>
      <c r="I274" s="5" t="s">
        <v>1051</v>
      </c>
      <c r="J274" s="5" t="s">
        <v>71</v>
      </c>
      <c r="K274" s="5" t="s">
        <v>21</v>
      </c>
      <c r="L274" s="5" t="s">
        <v>1052</v>
      </c>
      <c r="M274" s="5" t="s">
        <v>1053</v>
      </c>
      <c r="N274" s="5" t="s">
        <v>1054</v>
      </c>
      <c r="P274" s="5" t="s">
        <v>1026</v>
      </c>
      <c r="Q274" s="6">
        <v>430.0</v>
      </c>
      <c r="R274" s="5" t="s">
        <v>1027</v>
      </c>
      <c r="S274" s="5" t="s">
        <v>1027</v>
      </c>
      <c r="T274" s="5" t="s">
        <v>1027</v>
      </c>
    </row>
    <row r="275">
      <c r="E275" s="5">
        <v>273.0</v>
      </c>
      <c r="F275" s="5" t="s">
        <v>281</v>
      </c>
      <c r="H275" s="5" t="s">
        <v>671</v>
      </c>
      <c r="I275" s="5" t="s">
        <v>680</v>
      </c>
      <c r="J275" s="5" t="s">
        <v>71</v>
      </c>
      <c r="K275" s="5" t="s">
        <v>21</v>
      </c>
      <c r="L275" s="5" t="s">
        <v>1055</v>
      </c>
      <c r="M275" s="5" t="s">
        <v>1056</v>
      </c>
      <c r="N275" s="5" t="s">
        <v>1057</v>
      </c>
      <c r="P275" s="5" t="s">
        <v>1026</v>
      </c>
      <c r="Q275" s="6">
        <v>430.0</v>
      </c>
      <c r="R275" s="5" t="s">
        <v>1027</v>
      </c>
      <c r="S275" s="5" t="s">
        <v>1027</v>
      </c>
      <c r="T275" s="5" t="s">
        <v>1027</v>
      </c>
    </row>
    <row r="276">
      <c r="E276" s="5">
        <v>274.0</v>
      </c>
      <c r="F276" s="5" t="s">
        <v>281</v>
      </c>
      <c r="H276" s="5" t="s">
        <v>680</v>
      </c>
      <c r="I276" s="5" t="s">
        <v>1044</v>
      </c>
      <c r="J276" s="5" t="s">
        <v>71</v>
      </c>
      <c r="K276" s="5" t="s">
        <v>21</v>
      </c>
      <c r="L276" s="5" t="s">
        <v>1058</v>
      </c>
      <c r="N276" s="5" t="s">
        <v>1059</v>
      </c>
      <c r="P276" s="5" t="s">
        <v>1026</v>
      </c>
      <c r="Q276" s="6">
        <v>430.0</v>
      </c>
      <c r="R276" s="5" t="s">
        <v>1027</v>
      </c>
      <c r="S276" s="5" t="s">
        <v>1027</v>
      </c>
      <c r="T276" s="5" t="s">
        <v>1027</v>
      </c>
    </row>
    <row r="277">
      <c r="E277" s="5">
        <v>275.0</v>
      </c>
      <c r="F277" s="5" t="s">
        <v>281</v>
      </c>
      <c r="H277" s="5" t="s">
        <v>667</v>
      </c>
      <c r="I277" s="5" t="s">
        <v>1044</v>
      </c>
      <c r="J277" s="5" t="s">
        <v>71</v>
      </c>
      <c r="K277" s="5" t="s">
        <v>21</v>
      </c>
      <c r="L277" s="5" t="s">
        <v>1060</v>
      </c>
      <c r="N277" s="5" t="s">
        <v>1061</v>
      </c>
      <c r="P277" s="5" t="s">
        <v>1026</v>
      </c>
      <c r="Q277" s="6">
        <v>430.0</v>
      </c>
      <c r="R277" s="5" t="s">
        <v>1027</v>
      </c>
      <c r="S277" s="5" t="s">
        <v>1027</v>
      </c>
      <c r="T277" s="5" t="s">
        <v>1027</v>
      </c>
    </row>
    <row r="278">
      <c r="E278" s="5">
        <v>276.0</v>
      </c>
      <c r="F278" s="5" t="s">
        <v>95</v>
      </c>
      <c r="G278" s="5" t="s">
        <v>409</v>
      </c>
      <c r="H278" s="5" t="s">
        <v>1062</v>
      </c>
      <c r="I278" s="5" t="s">
        <v>947</v>
      </c>
      <c r="J278" s="5" t="s">
        <v>1063</v>
      </c>
      <c r="K278" s="5" t="s">
        <v>21</v>
      </c>
      <c r="L278" s="5" t="s">
        <v>1064</v>
      </c>
      <c r="N278" s="5" t="s">
        <v>1065</v>
      </c>
      <c r="P278" s="5" t="s">
        <v>1026</v>
      </c>
      <c r="Q278" s="6">
        <v>430.0</v>
      </c>
      <c r="R278" s="5" t="s">
        <v>1027</v>
      </c>
      <c r="S278" s="5" t="s">
        <v>1027</v>
      </c>
      <c r="T278" s="5" t="s">
        <v>1027</v>
      </c>
    </row>
    <row r="279">
      <c r="E279" s="5">
        <v>277.0</v>
      </c>
      <c r="F279" s="5" t="s">
        <v>95</v>
      </c>
      <c r="G279" s="5" t="s">
        <v>362</v>
      </c>
      <c r="H279" s="5" t="s">
        <v>1066</v>
      </c>
      <c r="I279" s="5" t="s">
        <v>752</v>
      </c>
      <c r="J279" s="5" t="s">
        <v>1067</v>
      </c>
      <c r="K279" s="5" t="s">
        <v>21</v>
      </c>
      <c r="L279" s="5" t="s">
        <v>1068</v>
      </c>
      <c r="N279" s="5" t="s">
        <v>1069</v>
      </c>
      <c r="P279" s="5" t="s">
        <v>1026</v>
      </c>
      <c r="Q279" s="6">
        <v>430.0</v>
      </c>
      <c r="R279" s="5" t="s">
        <v>1027</v>
      </c>
      <c r="S279" s="5" t="s">
        <v>1027</v>
      </c>
      <c r="T279" s="5" t="s">
        <v>1027</v>
      </c>
    </row>
    <row r="280">
      <c r="E280" s="5">
        <v>278.0</v>
      </c>
      <c r="F280" s="5" t="s">
        <v>95</v>
      </c>
      <c r="H280" s="5" t="s">
        <v>1070</v>
      </c>
      <c r="I280" s="5" t="s">
        <v>1071</v>
      </c>
      <c r="J280" s="5" t="s">
        <v>71</v>
      </c>
      <c r="K280" s="5" t="s">
        <v>21</v>
      </c>
      <c r="L280" s="5" t="s">
        <v>1072</v>
      </c>
      <c r="N280" s="5" t="s">
        <v>1073</v>
      </c>
      <c r="P280" s="5" t="s">
        <v>1026</v>
      </c>
      <c r="Q280" s="6">
        <v>430.0</v>
      </c>
      <c r="R280" s="5" t="s">
        <v>1027</v>
      </c>
      <c r="S280" s="5" t="s">
        <v>1027</v>
      </c>
      <c r="T280" s="5" t="s">
        <v>1027</v>
      </c>
    </row>
    <row r="281">
      <c r="E281" s="5">
        <v>279.0</v>
      </c>
      <c r="F281" s="5" t="s">
        <v>95</v>
      </c>
      <c r="H281" s="5" t="s">
        <v>1074</v>
      </c>
      <c r="I281" s="5" t="s">
        <v>1075</v>
      </c>
      <c r="J281" s="5" t="s">
        <v>71</v>
      </c>
      <c r="K281" s="5" t="s">
        <v>21</v>
      </c>
      <c r="L281" s="5" t="s">
        <v>1076</v>
      </c>
      <c r="N281" s="5" t="s">
        <v>1077</v>
      </c>
      <c r="P281" s="5" t="s">
        <v>1026</v>
      </c>
      <c r="Q281" s="6">
        <v>430.0</v>
      </c>
      <c r="R281" s="5" t="s">
        <v>1027</v>
      </c>
      <c r="S281" s="5" t="s">
        <v>1027</v>
      </c>
      <c r="T281" s="5" t="s">
        <v>1027</v>
      </c>
    </row>
    <row r="282">
      <c r="E282" s="5">
        <v>280.0</v>
      </c>
      <c r="F282" s="5" t="s">
        <v>281</v>
      </c>
      <c r="H282" s="5" t="s">
        <v>1062</v>
      </c>
      <c r="I282" s="5" t="s">
        <v>723</v>
      </c>
      <c r="J282" s="5" t="s">
        <v>71</v>
      </c>
      <c r="K282" s="5" t="s">
        <v>21</v>
      </c>
      <c r="L282" s="5" t="s">
        <v>1078</v>
      </c>
      <c r="N282" s="5" t="s">
        <v>1079</v>
      </c>
      <c r="O282" s="5" t="s">
        <v>1080</v>
      </c>
      <c r="P282" s="5" t="s">
        <v>1026</v>
      </c>
      <c r="Q282" s="6">
        <v>431.0</v>
      </c>
      <c r="R282" s="5" t="s">
        <v>1027</v>
      </c>
      <c r="S282" s="5" t="s">
        <v>1027</v>
      </c>
      <c r="T282" s="5" t="s">
        <v>1027</v>
      </c>
    </row>
    <row r="283">
      <c r="E283" s="5">
        <v>281.0</v>
      </c>
      <c r="F283" s="5" t="s">
        <v>281</v>
      </c>
      <c r="H283" s="5" t="s">
        <v>723</v>
      </c>
      <c r="I283" s="5" t="s">
        <v>947</v>
      </c>
      <c r="J283" s="5" t="s">
        <v>71</v>
      </c>
      <c r="K283" s="5" t="s">
        <v>21</v>
      </c>
      <c r="L283" s="5" t="s">
        <v>1081</v>
      </c>
      <c r="N283" s="5" t="s">
        <v>1082</v>
      </c>
      <c r="O283" s="5" t="s">
        <v>1080</v>
      </c>
      <c r="P283" s="5" t="s">
        <v>1026</v>
      </c>
      <c r="Q283" s="6">
        <v>431.0</v>
      </c>
      <c r="R283" s="5" t="s">
        <v>1027</v>
      </c>
      <c r="S283" s="5" t="s">
        <v>1027</v>
      </c>
      <c r="T283" s="5" t="s">
        <v>1027</v>
      </c>
    </row>
    <row r="284">
      <c r="E284" s="5">
        <v>282.0</v>
      </c>
      <c r="F284" s="5" t="s">
        <v>281</v>
      </c>
      <c r="H284" s="5" t="s">
        <v>752</v>
      </c>
      <c r="I284" s="5" t="s">
        <v>751</v>
      </c>
      <c r="J284" s="5" t="s">
        <v>71</v>
      </c>
      <c r="K284" s="5" t="s">
        <v>21</v>
      </c>
      <c r="L284" s="5" t="s">
        <v>1083</v>
      </c>
      <c r="N284" s="5" t="s">
        <v>1084</v>
      </c>
      <c r="O284" s="5" t="s">
        <v>1080</v>
      </c>
      <c r="P284" s="5" t="s">
        <v>1026</v>
      </c>
      <c r="Q284" s="6">
        <v>431.0</v>
      </c>
      <c r="R284" s="5" t="s">
        <v>1027</v>
      </c>
      <c r="S284" s="5" t="s">
        <v>1027</v>
      </c>
      <c r="T284" s="5" t="s">
        <v>1027</v>
      </c>
    </row>
    <row r="285">
      <c r="C285" s="14" t="s">
        <v>1085</v>
      </c>
      <c r="E285" s="5">
        <v>283.0</v>
      </c>
      <c r="F285" s="5" t="s">
        <v>209</v>
      </c>
      <c r="H285" s="5" t="s">
        <v>545</v>
      </c>
      <c r="I285" s="5" t="s">
        <v>1086</v>
      </c>
      <c r="J285" s="5" t="s">
        <v>81</v>
      </c>
      <c r="K285" s="5" t="s">
        <v>21</v>
      </c>
      <c r="L285" s="5" t="s">
        <v>1087</v>
      </c>
      <c r="M285" s="5" t="s">
        <v>1088</v>
      </c>
      <c r="N285" s="5" t="s">
        <v>1089</v>
      </c>
      <c r="P285" s="5" t="s">
        <v>1090</v>
      </c>
      <c r="Q285" s="6">
        <v>17.0</v>
      </c>
      <c r="R285" s="5" t="s">
        <v>1091</v>
      </c>
      <c r="S285" s="5" t="s">
        <v>1092</v>
      </c>
      <c r="T285" s="5" t="s">
        <v>1093</v>
      </c>
    </row>
    <row r="286">
      <c r="E286" s="5">
        <v>284.0</v>
      </c>
      <c r="F286" s="5" t="s">
        <v>229</v>
      </c>
      <c r="H286" s="5" t="s">
        <v>1094</v>
      </c>
      <c r="I286" s="5" t="s">
        <v>231</v>
      </c>
      <c r="J286" s="5" t="s">
        <v>1095</v>
      </c>
      <c r="K286" s="5" t="s">
        <v>21</v>
      </c>
      <c r="L286" s="5" t="s">
        <v>1096</v>
      </c>
      <c r="M286" s="5" t="s">
        <v>1097</v>
      </c>
      <c r="N286" s="5" t="s">
        <v>1098</v>
      </c>
      <c r="O286" s="5" t="s">
        <v>1099</v>
      </c>
      <c r="P286" s="5" t="s">
        <v>1090</v>
      </c>
      <c r="Q286" s="6">
        <v>17.0</v>
      </c>
      <c r="R286" s="5" t="s">
        <v>1091</v>
      </c>
      <c r="S286" s="5" t="s">
        <v>1092</v>
      </c>
      <c r="T286" s="5" t="s">
        <v>1093</v>
      </c>
    </row>
    <row r="287">
      <c r="E287" s="5">
        <v>285.0</v>
      </c>
      <c r="F287" s="5" t="s">
        <v>95</v>
      </c>
      <c r="G287" s="5" t="s">
        <v>134</v>
      </c>
      <c r="H287" s="5" t="s">
        <v>723</v>
      </c>
      <c r="I287" s="5" t="s">
        <v>947</v>
      </c>
      <c r="J287" s="5" t="s">
        <v>1100</v>
      </c>
      <c r="K287" s="5" t="s">
        <v>21</v>
      </c>
      <c r="L287" s="5" t="s">
        <v>1101</v>
      </c>
      <c r="M287" s="5" t="s">
        <v>1102</v>
      </c>
      <c r="N287" s="5" t="s">
        <v>1103</v>
      </c>
      <c r="P287" s="5" t="s">
        <v>1090</v>
      </c>
      <c r="Q287" s="6">
        <v>18.0</v>
      </c>
      <c r="R287" s="5" t="s">
        <v>1091</v>
      </c>
      <c r="S287" s="5" t="s">
        <v>1092</v>
      </c>
      <c r="T287" s="5" t="s">
        <v>1093</v>
      </c>
    </row>
    <row r="288">
      <c r="E288" s="5">
        <v>286.0</v>
      </c>
      <c r="F288" s="5" t="s">
        <v>95</v>
      </c>
      <c r="G288" s="5" t="s">
        <v>409</v>
      </c>
      <c r="H288" s="5" t="s">
        <v>1062</v>
      </c>
      <c r="I288" s="5" t="s">
        <v>723</v>
      </c>
      <c r="J288" s="5" t="s">
        <v>1104</v>
      </c>
      <c r="K288" s="5" t="s">
        <v>21</v>
      </c>
      <c r="L288" s="5" t="s">
        <v>1105</v>
      </c>
      <c r="M288" s="5" t="s">
        <v>1106</v>
      </c>
      <c r="N288" s="5" t="s">
        <v>1107</v>
      </c>
      <c r="P288" s="5" t="s">
        <v>1090</v>
      </c>
      <c r="Q288" s="6">
        <v>18.0</v>
      </c>
      <c r="R288" s="5" t="s">
        <v>1091</v>
      </c>
      <c r="S288" s="5" t="s">
        <v>1092</v>
      </c>
      <c r="T288" s="5" t="s">
        <v>1093</v>
      </c>
    </row>
    <row r="289">
      <c r="E289" s="5">
        <v>287.0</v>
      </c>
      <c r="F289" s="5" t="s">
        <v>95</v>
      </c>
      <c r="G289" s="5" t="s">
        <v>362</v>
      </c>
      <c r="H289" s="5" t="s">
        <v>751</v>
      </c>
      <c r="I289" s="5" t="s">
        <v>752</v>
      </c>
      <c r="J289" s="5" t="s">
        <v>1108</v>
      </c>
      <c r="K289" s="5" t="s">
        <v>21</v>
      </c>
      <c r="L289" s="5" t="s">
        <v>1109</v>
      </c>
      <c r="M289" s="5" t="s">
        <v>1110</v>
      </c>
      <c r="N289" s="5" t="s">
        <v>1111</v>
      </c>
      <c r="P289" s="5" t="s">
        <v>1090</v>
      </c>
      <c r="Q289" s="6">
        <v>18.0</v>
      </c>
      <c r="R289" s="5" t="s">
        <v>1091</v>
      </c>
      <c r="S289" s="5" t="s">
        <v>1092</v>
      </c>
      <c r="T289" s="5" t="s">
        <v>1093</v>
      </c>
    </row>
    <row r="290">
      <c r="E290" s="5">
        <v>288.0</v>
      </c>
      <c r="F290" s="5" t="s">
        <v>95</v>
      </c>
      <c r="H290" s="5" t="s">
        <v>852</v>
      </c>
      <c r="I290" s="5" t="s">
        <v>947</v>
      </c>
      <c r="J290" s="5" t="s">
        <v>1112</v>
      </c>
      <c r="K290" s="5" t="s">
        <v>21</v>
      </c>
      <c r="L290" s="5" t="s">
        <v>1113</v>
      </c>
      <c r="M290" s="5" t="s">
        <v>1114</v>
      </c>
      <c r="N290" s="5" t="s">
        <v>1115</v>
      </c>
      <c r="P290" s="5" t="s">
        <v>1090</v>
      </c>
      <c r="Q290" s="6">
        <v>18.0</v>
      </c>
      <c r="R290" s="5" t="s">
        <v>1091</v>
      </c>
      <c r="S290" s="5" t="s">
        <v>1092</v>
      </c>
      <c r="T290" s="5" t="s">
        <v>1093</v>
      </c>
    </row>
    <row r="291">
      <c r="E291" s="5">
        <v>289.0</v>
      </c>
      <c r="F291" s="5" t="s">
        <v>95</v>
      </c>
      <c r="G291" s="5" t="s">
        <v>446</v>
      </c>
      <c r="H291" s="5" t="s">
        <v>947</v>
      </c>
      <c r="I291" s="5" t="s">
        <v>752</v>
      </c>
      <c r="J291" s="5" t="s">
        <v>1112</v>
      </c>
      <c r="K291" s="5" t="s">
        <v>21</v>
      </c>
      <c r="L291" s="5" t="s">
        <v>1116</v>
      </c>
      <c r="M291" s="5" t="s">
        <v>1117</v>
      </c>
      <c r="N291" s="5" t="s">
        <v>1118</v>
      </c>
      <c r="P291" s="5" t="s">
        <v>1090</v>
      </c>
      <c r="Q291" s="6">
        <v>18.0</v>
      </c>
      <c r="R291" s="5" t="s">
        <v>1091</v>
      </c>
      <c r="S291" s="5" t="s">
        <v>1092</v>
      </c>
      <c r="T291" s="5" t="s">
        <v>1093</v>
      </c>
    </row>
    <row r="292">
      <c r="E292" s="5">
        <v>290.0</v>
      </c>
      <c r="F292" s="5" t="s">
        <v>95</v>
      </c>
      <c r="H292" s="5" t="s">
        <v>658</v>
      </c>
      <c r="I292" s="5" t="s">
        <v>667</v>
      </c>
      <c r="J292" s="5" t="s">
        <v>1112</v>
      </c>
      <c r="K292" s="5" t="s">
        <v>21</v>
      </c>
      <c r="L292" s="5" t="s">
        <v>1119</v>
      </c>
      <c r="M292" s="5" t="s">
        <v>1120</v>
      </c>
      <c r="N292" s="5" t="s">
        <v>1121</v>
      </c>
      <c r="P292" s="5" t="s">
        <v>1090</v>
      </c>
      <c r="Q292" s="6">
        <v>18.0</v>
      </c>
      <c r="R292" s="5" t="s">
        <v>1091</v>
      </c>
      <c r="S292" s="5" t="s">
        <v>1092</v>
      </c>
      <c r="T292" s="5" t="s">
        <v>1093</v>
      </c>
    </row>
    <row r="293">
      <c r="E293" s="5">
        <v>291.0</v>
      </c>
      <c r="F293" s="5" t="s">
        <v>95</v>
      </c>
      <c r="H293" s="5" t="s">
        <v>667</v>
      </c>
      <c r="I293" s="5" t="s">
        <v>658</v>
      </c>
      <c r="J293" s="5" t="s">
        <v>1112</v>
      </c>
      <c r="K293" s="5" t="s">
        <v>21</v>
      </c>
      <c r="L293" s="5" t="s">
        <v>1122</v>
      </c>
      <c r="M293" s="5" t="s">
        <v>1123</v>
      </c>
      <c r="N293" s="5" t="s">
        <v>1124</v>
      </c>
      <c r="P293" s="5" t="s">
        <v>1090</v>
      </c>
      <c r="Q293" s="6">
        <v>18.0</v>
      </c>
      <c r="R293" s="5" t="s">
        <v>1091</v>
      </c>
      <c r="S293" s="5" t="s">
        <v>1092</v>
      </c>
      <c r="T293" s="5" t="s">
        <v>1093</v>
      </c>
    </row>
    <row r="294">
      <c r="E294" s="5">
        <v>292.0</v>
      </c>
      <c r="F294" s="5" t="s">
        <v>95</v>
      </c>
      <c r="H294" s="5" t="s">
        <v>667</v>
      </c>
      <c r="I294" s="5" t="s">
        <v>680</v>
      </c>
      <c r="J294" s="5" t="s">
        <v>1112</v>
      </c>
      <c r="K294" s="5" t="s">
        <v>21</v>
      </c>
      <c r="L294" s="5" t="s">
        <v>1125</v>
      </c>
      <c r="M294" s="5" t="s">
        <v>719</v>
      </c>
      <c r="N294" s="5" t="s">
        <v>720</v>
      </c>
      <c r="P294" s="5" t="s">
        <v>1090</v>
      </c>
      <c r="Q294" s="6">
        <v>18.0</v>
      </c>
      <c r="R294" s="5" t="s">
        <v>1091</v>
      </c>
      <c r="S294" s="5" t="s">
        <v>1092</v>
      </c>
      <c r="T294" s="5" t="s">
        <v>1093</v>
      </c>
    </row>
    <row r="295">
      <c r="E295" s="5">
        <v>293.0</v>
      </c>
      <c r="F295" s="5" t="s">
        <v>95</v>
      </c>
      <c r="H295" s="5" t="s">
        <v>667</v>
      </c>
      <c r="I295" s="5" t="s">
        <v>671</v>
      </c>
      <c r="J295" s="5" t="s">
        <v>1112</v>
      </c>
      <c r="K295" s="5" t="s">
        <v>21</v>
      </c>
      <c r="L295" s="5" t="s">
        <v>1126</v>
      </c>
      <c r="M295" s="5" t="s">
        <v>1127</v>
      </c>
      <c r="N295" s="5" t="s">
        <v>1128</v>
      </c>
      <c r="P295" s="5" t="s">
        <v>1090</v>
      </c>
      <c r="Q295" s="6">
        <v>18.0</v>
      </c>
      <c r="R295" s="5" t="s">
        <v>1091</v>
      </c>
      <c r="S295" s="5" t="s">
        <v>1092</v>
      </c>
      <c r="T295" s="5" t="s">
        <v>1093</v>
      </c>
    </row>
    <row r="296">
      <c r="C296" s="14" t="s">
        <v>1129</v>
      </c>
      <c r="E296" s="5">
        <v>294.0</v>
      </c>
      <c r="F296" s="5" t="s">
        <v>17</v>
      </c>
      <c r="H296" s="5" t="s">
        <v>751</v>
      </c>
      <c r="I296" s="5" t="s">
        <v>19</v>
      </c>
      <c r="J296" s="5" t="s">
        <v>81</v>
      </c>
      <c r="K296" s="5" t="s">
        <v>21</v>
      </c>
      <c r="L296" s="5" t="s">
        <v>1130</v>
      </c>
      <c r="N296" s="5" t="s">
        <v>1003</v>
      </c>
      <c r="P296" s="5" t="s">
        <v>1131</v>
      </c>
      <c r="Q296" s="6">
        <v>26.0</v>
      </c>
      <c r="R296" s="5" t="s">
        <v>1132</v>
      </c>
      <c r="S296" s="5" t="s">
        <v>1133</v>
      </c>
      <c r="T296" s="5" t="s">
        <v>1134</v>
      </c>
    </row>
    <row r="297">
      <c r="E297" s="5">
        <v>295.0</v>
      </c>
      <c r="F297" s="5" t="s">
        <v>17</v>
      </c>
      <c r="G297" s="5" t="s">
        <v>1135</v>
      </c>
      <c r="H297" s="5" t="s">
        <v>752</v>
      </c>
      <c r="I297" s="5" t="s">
        <v>19</v>
      </c>
      <c r="J297" s="5" t="s">
        <v>81</v>
      </c>
      <c r="K297" s="5" t="s">
        <v>21</v>
      </c>
      <c r="L297" s="5" t="s">
        <v>1136</v>
      </c>
      <c r="N297" s="5" t="s">
        <v>1137</v>
      </c>
      <c r="P297" s="5" t="s">
        <v>1131</v>
      </c>
      <c r="Q297" s="6">
        <v>26.0</v>
      </c>
      <c r="R297" s="5" t="s">
        <v>1132</v>
      </c>
      <c r="S297" s="5" t="s">
        <v>1133</v>
      </c>
      <c r="T297" s="5" t="s">
        <v>1134</v>
      </c>
    </row>
    <row r="298">
      <c r="E298" s="5">
        <v>296.0</v>
      </c>
      <c r="F298" s="5" t="s">
        <v>68</v>
      </c>
      <c r="H298" s="5" t="s">
        <v>1138</v>
      </c>
      <c r="I298" s="5" t="s">
        <v>868</v>
      </c>
      <c r="J298" s="5" t="s">
        <v>71</v>
      </c>
      <c r="K298" s="5" t="s">
        <v>1139</v>
      </c>
      <c r="L298" s="5" t="s">
        <v>1130</v>
      </c>
      <c r="N298" s="5" t="s">
        <v>1003</v>
      </c>
      <c r="P298" s="5" t="s">
        <v>1131</v>
      </c>
      <c r="Q298" s="6">
        <v>26.0</v>
      </c>
      <c r="R298" s="5" t="s">
        <v>1132</v>
      </c>
      <c r="S298" s="5" t="s">
        <v>1133</v>
      </c>
      <c r="T298" s="5" t="s">
        <v>1134</v>
      </c>
    </row>
    <row r="299">
      <c r="E299" s="5">
        <v>297.0</v>
      </c>
      <c r="F299" s="5" t="s">
        <v>68</v>
      </c>
      <c r="H299" s="5" t="s">
        <v>1140</v>
      </c>
      <c r="I299" s="5" t="s">
        <v>863</v>
      </c>
      <c r="J299" s="5" t="s">
        <v>71</v>
      </c>
      <c r="K299" s="5" t="s">
        <v>1139</v>
      </c>
      <c r="L299" s="5" t="s">
        <v>1141</v>
      </c>
      <c r="M299" s="5"/>
      <c r="N299" s="5" t="s">
        <v>1142</v>
      </c>
      <c r="P299" s="5" t="s">
        <v>1131</v>
      </c>
      <c r="Q299" s="6">
        <v>26.0</v>
      </c>
      <c r="R299" s="5" t="s">
        <v>1132</v>
      </c>
      <c r="S299" s="5" t="s">
        <v>1133</v>
      </c>
      <c r="T299" s="5" t="s">
        <v>1134</v>
      </c>
    </row>
    <row r="300">
      <c r="E300" s="5">
        <v>298.0</v>
      </c>
      <c r="F300" s="5" t="s">
        <v>68</v>
      </c>
      <c r="H300" s="5" t="s">
        <v>1140</v>
      </c>
      <c r="I300" s="5" t="s">
        <v>1143</v>
      </c>
      <c r="J300" s="5" t="s">
        <v>71</v>
      </c>
      <c r="K300" s="5" t="s">
        <v>1139</v>
      </c>
      <c r="L300" s="5" t="s">
        <v>1144</v>
      </c>
      <c r="N300" s="5" t="s">
        <v>1145</v>
      </c>
      <c r="P300" s="5" t="s">
        <v>1131</v>
      </c>
      <c r="Q300" s="6">
        <v>26.0</v>
      </c>
      <c r="R300" s="5" t="s">
        <v>1132</v>
      </c>
      <c r="S300" s="5" t="s">
        <v>1133</v>
      </c>
      <c r="T300" s="5" t="s">
        <v>1134</v>
      </c>
    </row>
    <row r="301">
      <c r="E301" s="5">
        <v>299.0</v>
      </c>
      <c r="F301" s="5" t="s">
        <v>68</v>
      </c>
      <c r="H301" s="5" t="s">
        <v>1039</v>
      </c>
      <c r="I301" s="5" t="s">
        <v>799</v>
      </c>
      <c r="J301" s="5" t="s">
        <v>71</v>
      </c>
      <c r="K301" s="5" t="s">
        <v>1139</v>
      </c>
      <c r="L301" s="5" t="s">
        <v>1146</v>
      </c>
      <c r="N301" s="5" t="s">
        <v>1147</v>
      </c>
      <c r="P301" s="5" t="s">
        <v>1131</v>
      </c>
      <c r="Q301" s="6">
        <v>26.0</v>
      </c>
      <c r="R301" s="5" t="s">
        <v>1132</v>
      </c>
      <c r="S301" s="5" t="s">
        <v>1133</v>
      </c>
      <c r="T301" s="5" t="s">
        <v>1134</v>
      </c>
    </row>
    <row r="302">
      <c r="E302" s="5">
        <v>300.0</v>
      </c>
      <c r="F302" s="5" t="s">
        <v>1148</v>
      </c>
      <c r="G302" s="5" t="s">
        <v>1135</v>
      </c>
      <c r="H302" s="5" t="s">
        <v>69</v>
      </c>
      <c r="I302" s="5" t="s">
        <v>1149</v>
      </c>
      <c r="J302" s="5" t="s">
        <v>71</v>
      </c>
      <c r="K302" s="5" t="s">
        <v>1150</v>
      </c>
      <c r="L302" s="5" t="s">
        <v>1136</v>
      </c>
      <c r="N302" s="5" t="s">
        <v>1137</v>
      </c>
      <c r="P302" s="5" t="s">
        <v>1131</v>
      </c>
      <c r="Q302" s="6">
        <v>26.0</v>
      </c>
      <c r="R302" s="5" t="s">
        <v>1132</v>
      </c>
      <c r="S302" s="5" t="s">
        <v>1133</v>
      </c>
      <c r="T302" s="5" t="s">
        <v>1134</v>
      </c>
    </row>
    <row r="303">
      <c r="E303" s="5">
        <v>301.0</v>
      </c>
      <c r="F303" s="5" t="s">
        <v>17</v>
      </c>
      <c r="G303" s="5" t="s">
        <v>1135</v>
      </c>
      <c r="H303" s="5" t="s">
        <v>364</v>
      </c>
      <c r="I303" s="5" t="s">
        <v>19</v>
      </c>
      <c r="J303" s="5" t="s">
        <v>81</v>
      </c>
      <c r="K303" s="5" t="s">
        <v>21</v>
      </c>
      <c r="L303" s="5" t="s">
        <v>1151</v>
      </c>
      <c r="N303" s="5" t="s">
        <v>1137</v>
      </c>
      <c r="P303" s="5" t="s">
        <v>1152</v>
      </c>
      <c r="Q303" s="6">
        <v>12.0</v>
      </c>
      <c r="R303" s="5" t="s">
        <v>1153</v>
      </c>
      <c r="S303" s="5" t="s">
        <v>1133</v>
      </c>
      <c r="T303" s="5" t="s">
        <v>1153</v>
      </c>
    </row>
    <row r="304">
      <c r="E304" s="5">
        <v>302.0</v>
      </c>
      <c r="F304" s="5" t="s">
        <v>17</v>
      </c>
      <c r="H304" s="5" t="s">
        <v>363</v>
      </c>
      <c r="I304" s="5" t="s">
        <v>19</v>
      </c>
      <c r="J304" s="5" t="s">
        <v>81</v>
      </c>
      <c r="K304" s="5" t="s">
        <v>21</v>
      </c>
      <c r="L304" s="5" t="s">
        <v>1154</v>
      </c>
      <c r="N304" s="5" t="s">
        <v>1155</v>
      </c>
      <c r="P304" s="5" t="s">
        <v>1152</v>
      </c>
      <c r="Q304" s="6">
        <v>12.0</v>
      </c>
      <c r="R304" s="5" t="s">
        <v>1153</v>
      </c>
      <c r="S304" s="5" t="s">
        <v>1133</v>
      </c>
      <c r="T304" s="5" t="s">
        <v>1153</v>
      </c>
    </row>
    <row r="305">
      <c r="E305" s="5">
        <v>303.0</v>
      </c>
      <c r="F305" s="5" t="s">
        <v>17</v>
      </c>
      <c r="H305" s="5" t="s">
        <v>1156</v>
      </c>
      <c r="I305" s="5" t="s">
        <v>19</v>
      </c>
      <c r="J305" s="5" t="s">
        <v>81</v>
      </c>
      <c r="K305" s="5" t="s">
        <v>21</v>
      </c>
      <c r="L305" s="5" t="s">
        <v>1157</v>
      </c>
      <c r="N305" s="5" t="s">
        <v>1158</v>
      </c>
      <c r="P305" s="5" t="s">
        <v>1152</v>
      </c>
      <c r="Q305" s="6">
        <v>12.0</v>
      </c>
      <c r="R305" s="5" t="s">
        <v>1153</v>
      </c>
      <c r="S305" s="5" t="s">
        <v>1133</v>
      </c>
      <c r="T305" s="5" t="s">
        <v>1153</v>
      </c>
    </row>
    <row r="306">
      <c r="E306" s="5">
        <v>304.0</v>
      </c>
      <c r="F306" s="5" t="s">
        <v>17</v>
      </c>
      <c r="G306" s="5" t="s">
        <v>1135</v>
      </c>
      <c r="H306" s="5" t="s">
        <v>136</v>
      </c>
      <c r="I306" s="5" t="s">
        <v>19</v>
      </c>
      <c r="J306" s="5" t="s">
        <v>81</v>
      </c>
      <c r="K306" s="5" t="s">
        <v>21</v>
      </c>
      <c r="L306" s="5" t="s">
        <v>1159</v>
      </c>
      <c r="N306" s="5" t="s">
        <v>1160</v>
      </c>
      <c r="P306" s="5" t="s">
        <v>1152</v>
      </c>
      <c r="Q306" s="6">
        <v>12.0</v>
      </c>
      <c r="R306" s="5" t="s">
        <v>1153</v>
      </c>
      <c r="S306" s="5" t="s">
        <v>1133</v>
      </c>
      <c r="T306" s="5" t="s">
        <v>1153</v>
      </c>
    </row>
    <row r="307">
      <c r="E307" s="5">
        <v>305.0</v>
      </c>
      <c r="F307" s="5" t="s">
        <v>68</v>
      </c>
      <c r="H307" s="5" t="s">
        <v>69</v>
      </c>
      <c r="I307" s="5" t="s">
        <v>70</v>
      </c>
      <c r="J307" s="5" t="s">
        <v>71</v>
      </c>
      <c r="K307" s="5" t="s">
        <v>1161</v>
      </c>
      <c r="L307" s="5" t="s">
        <v>1157</v>
      </c>
      <c r="N307" s="5" t="s">
        <v>1158</v>
      </c>
      <c r="P307" s="5" t="s">
        <v>1152</v>
      </c>
      <c r="Q307" s="6">
        <v>12.0</v>
      </c>
      <c r="R307" s="5" t="s">
        <v>1153</v>
      </c>
      <c r="S307" s="5" t="s">
        <v>1133</v>
      </c>
      <c r="T307" s="5" t="s">
        <v>1153</v>
      </c>
    </row>
    <row r="308">
      <c r="E308" s="5">
        <v>306.0</v>
      </c>
      <c r="F308" s="5" t="s">
        <v>1148</v>
      </c>
      <c r="G308" s="5" t="s">
        <v>1135</v>
      </c>
      <c r="H308" s="5" t="s">
        <v>69</v>
      </c>
      <c r="I308" s="5" t="s">
        <v>1149</v>
      </c>
      <c r="J308" s="5" t="s">
        <v>1162</v>
      </c>
      <c r="K308" s="5" t="s">
        <v>1163</v>
      </c>
      <c r="L308" s="5" t="s">
        <v>1151</v>
      </c>
      <c r="N308" s="5" t="s">
        <v>1137</v>
      </c>
      <c r="P308" s="5" t="s">
        <v>1152</v>
      </c>
      <c r="Q308" s="6">
        <v>12.0</v>
      </c>
      <c r="R308" s="5" t="s">
        <v>1153</v>
      </c>
      <c r="S308" s="5" t="s">
        <v>1133</v>
      </c>
      <c r="T308" s="5" t="s">
        <v>1153</v>
      </c>
    </row>
    <row r="309">
      <c r="E309" s="5">
        <v>307.0</v>
      </c>
      <c r="F309" s="5" t="s">
        <v>68</v>
      </c>
      <c r="H309" s="5" t="s">
        <v>1164</v>
      </c>
      <c r="I309" s="5" t="s">
        <v>631</v>
      </c>
      <c r="J309" s="5" t="s">
        <v>71</v>
      </c>
      <c r="K309" s="5" t="s">
        <v>21</v>
      </c>
      <c r="L309" s="5" t="s">
        <v>1165</v>
      </c>
      <c r="N309" s="5" t="s">
        <v>1166</v>
      </c>
      <c r="P309" s="5" t="s">
        <v>1152</v>
      </c>
      <c r="Q309" s="6">
        <v>18.0</v>
      </c>
      <c r="R309" s="5" t="s">
        <v>1153</v>
      </c>
      <c r="S309" s="5" t="s">
        <v>1133</v>
      </c>
      <c r="T309" s="5" t="s">
        <v>1153</v>
      </c>
    </row>
    <row r="310">
      <c r="E310" s="5">
        <v>308.0</v>
      </c>
      <c r="F310" s="5" t="s">
        <v>95</v>
      </c>
      <c r="H310" s="5" t="s">
        <v>39</v>
      </c>
      <c r="I310" s="5" t="s">
        <v>29</v>
      </c>
      <c r="J310" s="5" t="s">
        <v>1167</v>
      </c>
      <c r="K310" s="5" t="s">
        <v>21</v>
      </c>
      <c r="L310" s="5" t="s">
        <v>1168</v>
      </c>
      <c r="N310" s="5" t="s">
        <v>1169</v>
      </c>
      <c r="P310" s="5" t="s">
        <v>1152</v>
      </c>
      <c r="Q310" s="6">
        <v>18.0</v>
      </c>
      <c r="R310" s="5" t="s">
        <v>1153</v>
      </c>
      <c r="S310" s="5" t="s">
        <v>1133</v>
      </c>
      <c r="T310" s="5" t="s">
        <v>1153</v>
      </c>
    </row>
    <row r="311">
      <c r="E311" s="5">
        <v>309.0</v>
      </c>
      <c r="F311" s="5" t="s">
        <v>95</v>
      </c>
      <c r="H311" s="5" t="s">
        <v>107</v>
      </c>
      <c r="I311" s="5" t="s">
        <v>631</v>
      </c>
      <c r="J311" s="5" t="s">
        <v>1167</v>
      </c>
      <c r="K311" s="5" t="s">
        <v>21</v>
      </c>
      <c r="L311" s="5" t="s">
        <v>1170</v>
      </c>
      <c r="N311" s="5" t="s">
        <v>1171</v>
      </c>
      <c r="P311" s="5" t="s">
        <v>1152</v>
      </c>
      <c r="Q311" s="6">
        <v>18.0</v>
      </c>
      <c r="R311" s="5" t="s">
        <v>1153</v>
      </c>
      <c r="S311" s="5" t="s">
        <v>1133</v>
      </c>
      <c r="T311" s="5" t="s">
        <v>1153</v>
      </c>
    </row>
    <row r="312">
      <c r="E312" s="5">
        <v>310.0</v>
      </c>
      <c r="F312" s="5" t="s">
        <v>95</v>
      </c>
      <c r="H312" s="5" t="s">
        <v>29</v>
      </c>
      <c r="I312" s="5" t="s">
        <v>39</v>
      </c>
      <c r="J312" s="5" t="s">
        <v>1172</v>
      </c>
      <c r="K312" s="5" t="s">
        <v>21</v>
      </c>
      <c r="L312" s="5" t="s">
        <v>1015</v>
      </c>
      <c r="N312" s="5" t="s">
        <v>1003</v>
      </c>
      <c r="P312" s="5" t="s">
        <v>1152</v>
      </c>
      <c r="Q312" s="6">
        <v>18.0</v>
      </c>
      <c r="R312" s="5" t="s">
        <v>1153</v>
      </c>
      <c r="S312" s="5" t="s">
        <v>1133</v>
      </c>
      <c r="T312" s="5" t="s">
        <v>1153</v>
      </c>
    </row>
    <row r="313">
      <c r="E313" s="5">
        <v>311.0</v>
      </c>
      <c r="F313" s="5" t="s">
        <v>68</v>
      </c>
      <c r="H313" s="5" t="s">
        <v>1173</v>
      </c>
      <c r="I313" s="5" t="s">
        <v>1174</v>
      </c>
      <c r="J313" s="5" t="s">
        <v>71</v>
      </c>
      <c r="K313" s="5" t="s">
        <v>21</v>
      </c>
      <c r="L313" s="5" t="s">
        <v>1157</v>
      </c>
      <c r="N313" s="5" t="s">
        <v>1158</v>
      </c>
      <c r="P313" s="5" t="s">
        <v>1152</v>
      </c>
      <c r="Q313" s="6">
        <v>19.0</v>
      </c>
      <c r="R313" s="5" t="s">
        <v>1153</v>
      </c>
      <c r="S313" s="5" t="s">
        <v>1133</v>
      </c>
      <c r="T313" s="5" t="s">
        <v>1153</v>
      </c>
    </row>
    <row r="314">
      <c r="E314" s="5">
        <v>312.0</v>
      </c>
      <c r="F314" s="5" t="s">
        <v>68</v>
      </c>
      <c r="H314" s="5" t="s">
        <v>500</v>
      </c>
      <c r="I314" s="5" t="s">
        <v>1175</v>
      </c>
      <c r="J314" s="5" t="s">
        <v>71</v>
      </c>
      <c r="K314" s="5" t="s">
        <v>21</v>
      </c>
      <c r="L314" s="5" t="s">
        <v>1176</v>
      </c>
      <c r="N314" s="5" t="s">
        <v>1177</v>
      </c>
      <c r="P314" s="5" t="s">
        <v>1152</v>
      </c>
      <c r="Q314" s="6">
        <v>19.0</v>
      </c>
      <c r="R314" s="5" t="s">
        <v>1153</v>
      </c>
      <c r="S314" s="5" t="s">
        <v>1133</v>
      </c>
      <c r="T314" s="5" t="s">
        <v>1153</v>
      </c>
    </row>
    <row r="315">
      <c r="E315" s="5">
        <v>313.0</v>
      </c>
      <c r="F315" s="5" t="s">
        <v>68</v>
      </c>
      <c r="H315" s="5" t="s">
        <v>1178</v>
      </c>
      <c r="I315" s="5" t="s">
        <v>1179</v>
      </c>
      <c r="J315" s="5" t="s">
        <v>71</v>
      </c>
      <c r="K315" s="5" t="s">
        <v>21</v>
      </c>
      <c r="L315" s="5" t="s">
        <v>1180</v>
      </c>
      <c r="N315" s="5" t="s">
        <v>1181</v>
      </c>
      <c r="P315" s="5" t="s">
        <v>1152</v>
      </c>
      <c r="Q315" s="6">
        <v>19.0</v>
      </c>
      <c r="R315" s="5" t="s">
        <v>1153</v>
      </c>
      <c r="S315" s="5" t="s">
        <v>1133</v>
      </c>
      <c r="T315" s="5" t="s">
        <v>1153</v>
      </c>
    </row>
    <row r="316">
      <c r="E316" s="5">
        <v>314.0</v>
      </c>
      <c r="F316" s="5" t="s">
        <v>68</v>
      </c>
      <c r="H316" s="5" t="s">
        <v>1182</v>
      </c>
      <c r="I316" s="5" t="s">
        <v>1179</v>
      </c>
      <c r="J316" s="5" t="s">
        <v>71</v>
      </c>
      <c r="K316" s="5" t="s">
        <v>21</v>
      </c>
      <c r="L316" s="5" t="s">
        <v>1183</v>
      </c>
      <c r="N316" s="5" t="s">
        <v>1184</v>
      </c>
      <c r="P316" s="5" t="s">
        <v>1152</v>
      </c>
      <c r="Q316" s="6">
        <v>21.0</v>
      </c>
      <c r="R316" s="5" t="s">
        <v>1153</v>
      </c>
      <c r="S316" s="5" t="s">
        <v>1133</v>
      </c>
      <c r="T316" s="5" t="s">
        <v>1153</v>
      </c>
    </row>
    <row r="317">
      <c r="E317" s="5">
        <v>315.0</v>
      </c>
      <c r="F317" s="5" t="s">
        <v>17</v>
      </c>
      <c r="H317" s="5" t="s">
        <v>435</v>
      </c>
      <c r="I317" s="5" t="s">
        <v>19</v>
      </c>
      <c r="J317" s="5" t="s">
        <v>81</v>
      </c>
      <c r="K317" s="5" t="s">
        <v>21</v>
      </c>
      <c r="L317" s="5" t="s">
        <v>1185</v>
      </c>
      <c r="M317" s="5" t="s">
        <v>1186</v>
      </c>
      <c r="N317" s="5" t="s">
        <v>1187</v>
      </c>
      <c r="O317" s="5" t="s">
        <v>1188</v>
      </c>
      <c r="P317" s="5" t="s">
        <v>1152</v>
      </c>
      <c r="Q317" s="6">
        <v>22.0</v>
      </c>
      <c r="R317" s="5" t="s">
        <v>1153</v>
      </c>
      <c r="S317" s="5" t="s">
        <v>1133</v>
      </c>
      <c r="T317" s="5" t="s">
        <v>1153</v>
      </c>
    </row>
    <row r="318">
      <c r="E318" s="5">
        <v>316.0</v>
      </c>
      <c r="F318" s="5" t="s">
        <v>229</v>
      </c>
      <c r="H318" s="5" t="s">
        <v>1189</v>
      </c>
      <c r="I318" s="5" t="s">
        <v>1190</v>
      </c>
      <c r="J318" s="5" t="s">
        <v>20</v>
      </c>
      <c r="K318" s="5" t="s">
        <v>21</v>
      </c>
      <c r="L318" s="5" t="s">
        <v>1191</v>
      </c>
      <c r="N318" s="5" t="s">
        <v>1192</v>
      </c>
      <c r="P318" s="5" t="s">
        <v>1152</v>
      </c>
      <c r="Q318" s="6">
        <v>23.0</v>
      </c>
      <c r="R318" s="5" t="s">
        <v>1153</v>
      </c>
      <c r="S318" s="5" t="s">
        <v>1133</v>
      </c>
      <c r="T318" s="5" t="s">
        <v>1153</v>
      </c>
    </row>
    <row r="319">
      <c r="E319" s="5">
        <v>317.0</v>
      </c>
      <c r="F319" s="5" t="s">
        <v>229</v>
      </c>
      <c r="H319" s="5" t="s">
        <v>1189</v>
      </c>
      <c r="I319" s="5" t="s">
        <v>128</v>
      </c>
      <c r="J319" s="5" t="s">
        <v>20</v>
      </c>
      <c r="K319" s="5" t="s">
        <v>21</v>
      </c>
      <c r="L319" s="5" t="s">
        <v>1193</v>
      </c>
      <c r="N319" s="5" t="s">
        <v>1194</v>
      </c>
      <c r="P319" s="5" t="s">
        <v>1152</v>
      </c>
      <c r="Q319" s="6">
        <v>23.0</v>
      </c>
      <c r="R319" s="5" t="s">
        <v>1153</v>
      </c>
      <c r="S319" s="5" t="s">
        <v>1133</v>
      </c>
      <c r="T319" s="5" t="s">
        <v>1153</v>
      </c>
    </row>
    <row r="320">
      <c r="E320" s="5">
        <v>318.0</v>
      </c>
      <c r="F320" s="5" t="s">
        <v>281</v>
      </c>
      <c r="H320" s="5" t="s">
        <v>142</v>
      </c>
      <c r="I320" s="5" t="s">
        <v>135</v>
      </c>
      <c r="J320" s="5" t="s">
        <v>71</v>
      </c>
      <c r="K320" s="5" t="s">
        <v>21</v>
      </c>
      <c r="L320" s="5" t="s">
        <v>1195</v>
      </c>
      <c r="N320" s="5" t="s">
        <v>1196</v>
      </c>
      <c r="O320" s="5" t="s">
        <v>1197</v>
      </c>
      <c r="P320" s="5" t="s">
        <v>1152</v>
      </c>
      <c r="Q320" s="6">
        <v>27.0</v>
      </c>
      <c r="R320" s="5" t="s">
        <v>1153</v>
      </c>
      <c r="S320" s="5" t="s">
        <v>1133</v>
      </c>
      <c r="T320" s="5" t="s">
        <v>1153</v>
      </c>
    </row>
    <row r="321">
      <c r="C321" s="14" t="s">
        <v>1198</v>
      </c>
      <c r="E321" s="5">
        <v>319.0</v>
      </c>
      <c r="F321" s="5" t="s">
        <v>95</v>
      </c>
      <c r="G321" s="5" t="s">
        <v>362</v>
      </c>
      <c r="H321" s="5" t="s">
        <v>751</v>
      </c>
      <c r="I321" s="5" t="s">
        <v>752</v>
      </c>
      <c r="J321" s="5" t="s">
        <v>1199</v>
      </c>
      <c r="K321" s="5" t="s">
        <v>21</v>
      </c>
      <c r="L321" s="5" t="s">
        <v>1200</v>
      </c>
      <c r="N321" s="5" t="s">
        <v>1201</v>
      </c>
      <c r="P321" s="5" t="s">
        <v>1202</v>
      </c>
      <c r="Q321" s="6">
        <v>521.0</v>
      </c>
      <c r="R321" s="5" t="s">
        <v>1203</v>
      </c>
      <c r="S321" s="5" t="s">
        <v>1203</v>
      </c>
      <c r="T321" s="5" t="s">
        <v>1203</v>
      </c>
    </row>
    <row r="322">
      <c r="E322" s="5">
        <v>320.0</v>
      </c>
      <c r="F322" s="5" t="s">
        <v>95</v>
      </c>
      <c r="G322" s="5" t="s">
        <v>409</v>
      </c>
      <c r="H322" s="5" t="s">
        <v>1062</v>
      </c>
      <c r="I322" s="5" t="s">
        <v>947</v>
      </c>
      <c r="J322" s="5" t="s">
        <v>1199</v>
      </c>
      <c r="K322" s="5" t="s">
        <v>21</v>
      </c>
      <c r="L322" s="5" t="s">
        <v>1204</v>
      </c>
      <c r="N322" s="5" t="s">
        <v>1205</v>
      </c>
      <c r="P322" s="5" t="s">
        <v>1202</v>
      </c>
      <c r="Q322" s="6">
        <v>521.0</v>
      </c>
      <c r="R322" s="5" t="s">
        <v>1203</v>
      </c>
      <c r="S322" s="5" t="s">
        <v>1203</v>
      </c>
      <c r="T322" s="5" t="s">
        <v>1203</v>
      </c>
    </row>
    <row r="323">
      <c r="E323" s="5">
        <v>321.0</v>
      </c>
      <c r="F323" s="5" t="s">
        <v>190</v>
      </c>
      <c r="H323" s="5" t="s">
        <v>623</v>
      </c>
      <c r="I323" s="5" t="s">
        <v>624</v>
      </c>
      <c r="J323" s="5" t="s">
        <v>1206</v>
      </c>
      <c r="K323" s="5" t="s">
        <v>21</v>
      </c>
      <c r="L323" s="5" t="s">
        <v>1204</v>
      </c>
      <c r="N323" s="5" t="s">
        <v>1205</v>
      </c>
      <c r="P323" s="5" t="s">
        <v>1202</v>
      </c>
      <c r="Q323" s="6">
        <v>521.0</v>
      </c>
      <c r="R323" s="5" t="s">
        <v>1203</v>
      </c>
      <c r="S323" s="5" t="s">
        <v>1203</v>
      </c>
      <c r="T323" s="5" t="s">
        <v>1203</v>
      </c>
    </row>
    <row r="324">
      <c r="E324" s="5">
        <v>322.0</v>
      </c>
      <c r="F324" s="5" t="s">
        <v>68</v>
      </c>
      <c r="H324" s="5" t="s">
        <v>1207</v>
      </c>
      <c r="I324" s="5" t="s">
        <v>671</v>
      </c>
      <c r="J324" s="5" t="s">
        <v>237</v>
      </c>
      <c r="K324" s="5" t="s">
        <v>21</v>
      </c>
      <c r="L324" s="5" t="s">
        <v>1208</v>
      </c>
      <c r="N324" s="5" t="s">
        <v>1209</v>
      </c>
      <c r="P324" s="5" t="s">
        <v>1202</v>
      </c>
      <c r="Q324" s="6">
        <v>521.0</v>
      </c>
      <c r="R324" s="5" t="s">
        <v>1203</v>
      </c>
      <c r="S324" s="5" t="s">
        <v>1203</v>
      </c>
      <c r="T324" s="5" t="s">
        <v>1203</v>
      </c>
    </row>
    <row r="325">
      <c r="E325" s="5">
        <v>323.0</v>
      </c>
      <c r="F325" s="5" t="s">
        <v>95</v>
      </c>
      <c r="H325" s="5" t="s">
        <v>46</v>
      </c>
      <c r="I325" s="5" t="s">
        <v>671</v>
      </c>
      <c r="J325" s="5" t="s">
        <v>1210</v>
      </c>
      <c r="K325" s="5" t="s">
        <v>21</v>
      </c>
      <c r="L325" s="5" t="s">
        <v>1211</v>
      </c>
      <c r="N325" s="5" t="s">
        <v>1212</v>
      </c>
      <c r="P325" s="5" t="s">
        <v>1202</v>
      </c>
      <c r="Q325" s="6">
        <v>521.0</v>
      </c>
      <c r="R325" s="5" t="s">
        <v>1203</v>
      </c>
      <c r="S325" s="5" t="s">
        <v>1203</v>
      </c>
      <c r="T325" s="5" t="s">
        <v>1203</v>
      </c>
    </row>
    <row r="326">
      <c r="E326" s="5">
        <v>324.0</v>
      </c>
      <c r="F326" s="5" t="s">
        <v>95</v>
      </c>
      <c r="H326" s="5" t="s">
        <v>1213</v>
      </c>
      <c r="I326" s="5" t="s">
        <v>1214</v>
      </c>
      <c r="J326" s="5" t="s">
        <v>1215</v>
      </c>
      <c r="K326" s="5" t="s">
        <v>21</v>
      </c>
      <c r="L326" s="5" t="s">
        <v>1216</v>
      </c>
      <c r="N326" s="5" t="s">
        <v>1217</v>
      </c>
      <c r="P326" s="5" t="s">
        <v>1202</v>
      </c>
      <c r="Q326" s="6" t="s">
        <v>1218</v>
      </c>
      <c r="R326" s="5" t="s">
        <v>1203</v>
      </c>
      <c r="S326" s="5" t="s">
        <v>1203</v>
      </c>
      <c r="T326" s="5" t="s">
        <v>1203</v>
      </c>
    </row>
    <row r="327">
      <c r="C327" s="14" t="s">
        <v>1219</v>
      </c>
      <c r="E327" s="5">
        <v>325.0</v>
      </c>
      <c r="F327" s="5" t="s">
        <v>68</v>
      </c>
      <c r="H327" s="5" t="s">
        <v>1220</v>
      </c>
      <c r="I327" s="5" t="s">
        <v>283</v>
      </c>
      <c r="J327" s="5" t="s">
        <v>71</v>
      </c>
      <c r="K327" s="5" t="s">
        <v>21</v>
      </c>
      <c r="L327" s="5" t="s">
        <v>1221</v>
      </c>
      <c r="M327" s="5" t="s">
        <v>1222</v>
      </c>
      <c r="N327" s="5" t="s">
        <v>1223</v>
      </c>
      <c r="P327" s="5" t="s">
        <v>1224</v>
      </c>
      <c r="Q327" s="6">
        <v>49.0</v>
      </c>
      <c r="R327" s="5" t="s">
        <v>1225</v>
      </c>
      <c r="S327" s="5" t="s">
        <v>1226</v>
      </c>
      <c r="T327" s="5" t="s">
        <v>1227</v>
      </c>
    </row>
    <row r="328">
      <c r="E328" s="5">
        <v>326.0</v>
      </c>
      <c r="F328" s="5" t="s">
        <v>52</v>
      </c>
      <c r="G328" s="5" t="s">
        <v>53</v>
      </c>
      <c r="H328" s="5" t="s">
        <v>19</v>
      </c>
      <c r="I328" s="5" t="s">
        <v>54</v>
      </c>
      <c r="J328" s="5" t="s">
        <v>81</v>
      </c>
      <c r="K328" s="5" t="s">
        <v>21</v>
      </c>
      <c r="L328" s="5" t="s">
        <v>1228</v>
      </c>
      <c r="M328" s="5" t="s">
        <v>1229</v>
      </c>
      <c r="N328" s="5" t="s">
        <v>1230</v>
      </c>
      <c r="P328" s="5" t="s">
        <v>1224</v>
      </c>
      <c r="Q328" s="6">
        <v>50.0</v>
      </c>
      <c r="R328" s="5" t="s">
        <v>1225</v>
      </c>
      <c r="S328" s="5" t="s">
        <v>1226</v>
      </c>
      <c r="T328" s="5" t="s">
        <v>1227</v>
      </c>
    </row>
    <row r="329">
      <c r="E329" s="5">
        <v>327.0</v>
      </c>
      <c r="F329" s="5" t="s">
        <v>95</v>
      </c>
      <c r="H329" s="5" t="s">
        <v>566</v>
      </c>
      <c r="I329" s="5" t="s">
        <v>567</v>
      </c>
      <c r="J329" s="5" t="s">
        <v>1231</v>
      </c>
      <c r="K329" s="5" t="s">
        <v>1232</v>
      </c>
      <c r="L329" s="5" t="s">
        <v>1233</v>
      </c>
      <c r="M329" s="5" t="s">
        <v>1234</v>
      </c>
      <c r="N329" s="5" t="s">
        <v>1235</v>
      </c>
      <c r="P329" s="5" t="s">
        <v>1224</v>
      </c>
      <c r="Q329" s="6">
        <v>51.0</v>
      </c>
      <c r="R329" s="5" t="s">
        <v>1225</v>
      </c>
      <c r="S329" s="5" t="s">
        <v>1226</v>
      </c>
      <c r="T329" s="5" t="s">
        <v>1227</v>
      </c>
    </row>
    <row r="330">
      <c r="E330" s="5">
        <v>328.0</v>
      </c>
      <c r="F330" s="5" t="s">
        <v>95</v>
      </c>
      <c r="H330" s="5" t="s">
        <v>1236</v>
      </c>
      <c r="I330" s="5" t="s">
        <v>1237</v>
      </c>
      <c r="J330" s="5" t="s">
        <v>1238</v>
      </c>
      <c r="K330" s="5" t="s">
        <v>1232</v>
      </c>
      <c r="L330" s="5" t="s">
        <v>1239</v>
      </c>
      <c r="M330" s="5" t="s">
        <v>1240</v>
      </c>
      <c r="N330" s="5" t="s">
        <v>1241</v>
      </c>
      <c r="P330" s="5" t="s">
        <v>1224</v>
      </c>
      <c r="Q330" s="6">
        <v>51.0</v>
      </c>
      <c r="R330" s="5" t="s">
        <v>1225</v>
      </c>
      <c r="S330" s="5" t="s">
        <v>1226</v>
      </c>
      <c r="T330" s="5" t="s">
        <v>1227</v>
      </c>
    </row>
    <row r="331">
      <c r="E331" s="5">
        <v>329.0</v>
      </c>
      <c r="F331" s="5" t="s">
        <v>190</v>
      </c>
      <c r="H331" s="5" t="s">
        <v>623</v>
      </c>
      <c r="I331" s="5" t="s">
        <v>624</v>
      </c>
      <c r="J331" s="5" t="s">
        <v>1242</v>
      </c>
      <c r="K331" s="5" t="s">
        <v>1243</v>
      </c>
      <c r="L331" s="5" t="s">
        <v>1244</v>
      </c>
      <c r="M331" s="5" t="s">
        <v>1245</v>
      </c>
      <c r="N331" s="5" t="s">
        <v>1003</v>
      </c>
      <c r="P331" s="5" t="s">
        <v>1224</v>
      </c>
      <c r="Q331" s="6">
        <v>52.0</v>
      </c>
      <c r="R331" s="5" t="s">
        <v>1225</v>
      </c>
      <c r="S331" s="5" t="s">
        <v>1226</v>
      </c>
      <c r="T331" s="5" t="s">
        <v>1227</v>
      </c>
    </row>
    <row r="332">
      <c r="E332" s="5">
        <v>330.0</v>
      </c>
      <c r="F332" s="5" t="s">
        <v>95</v>
      </c>
      <c r="G332" s="5" t="s">
        <v>1246</v>
      </c>
      <c r="H332" s="5" t="s">
        <v>1247</v>
      </c>
      <c r="I332" s="5" t="s">
        <v>136</v>
      </c>
      <c r="J332" s="5" t="s">
        <v>1199</v>
      </c>
      <c r="K332" s="5" t="s">
        <v>21</v>
      </c>
      <c r="L332" s="5" t="s">
        <v>1244</v>
      </c>
      <c r="M332" s="5" t="s">
        <v>1245</v>
      </c>
      <c r="N332" s="5" t="s">
        <v>1003</v>
      </c>
      <c r="P332" s="5" t="s">
        <v>1224</v>
      </c>
      <c r="Q332" s="6">
        <v>52.0</v>
      </c>
      <c r="R332" s="5" t="s">
        <v>1225</v>
      </c>
      <c r="S332" s="5" t="s">
        <v>1226</v>
      </c>
      <c r="T332" s="5" t="s">
        <v>1227</v>
      </c>
    </row>
    <row r="333">
      <c r="E333" s="5">
        <v>331.0</v>
      </c>
      <c r="F333" s="5" t="s">
        <v>190</v>
      </c>
      <c r="H333" s="5" t="s">
        <v>623</v>
      </c>
      <c r="I333" s="5" t="s">
        <v>624</v>
      </c>
      <c r="J333" s="5" t="s">
        <v>442</v>
      </c>
      <c r="K333" s="5" t="s">
        <v>1248</v>
      </c>
      <c r="L333" s="5" t="s">
        <v>1249</v>
      </c>
      <c r="M333" s="5" t="s">
        <v>1250</v>
      </c>
      <c r="N333" s="5" t="s">
        <v>1003</v>
      </c>
      <c r="P333" s="5" t="s">
        <v>1224</v>
      </c>
      <c r="Q333" s="6">
        <v>52.0</v>
      </c>
      <c r="R333" s="5" t="s">
        <v>1225</v>
      </c>
      <c r="S333" s="5" t="s">
        <v>1226</v>
      </c>
      <c r="T333" s="5" t="s">
        <v>1227</v>
      </c>
    </row>
    <row r="334">
      <c r="E334" s="5">
        <v>332.0</v>
      </c>
      <c r="F334" s="5" t="s">
        <v>95</v>
      </c>
      <c r="G334" s="5" t="s">
        <v>362</v>
      </c>
      <c r="H334" s="5" t="s">
        <v>363</v>
      </c>
      <c r="I334" s="5" t="s">
        <v>364</v>
      </c>
      <c r="J334" s="5" t="s">
        <v>1238</v>
      </c>
      <c r="K334" s="5" t="s">
        <v>21</v>
      </c>
      <c r="L334" s="5" t="s">
        <v>1249</v>
      </c>
      <c r="M334" s="5" t="s">
        <v>1250</v>
      </c>
      <c r="N334" s="5" t="s">
        <v>1003</v>
      </c>
      <c r="P334" s="5" t="s">
        <v>1224</v>
      </c>
      <c r="Q334" s="6">
        <v>52.0</v>
      </c>
      <c r="R334" s="5" t="s">
        <v>1225</v>
      </c>
      <c r="S334" s="5" t="s">
        <v>1226</v>
      </c>
      <c r="T334" s="5" t="s">
        <v>1227</v>
      </c>
    </row>
    <row r="335">
      <c r="E335" s="5">
        <v>333.0</v>
      </c>
      <c r="F335" s="5" t="s">
        <v>190</v>
      </c>
      <c r="H335" s="5" t="s">
        <v>515</v>
      </c>
      <c r="I335" s="5" t="s">
        <v>193</v>
      </c>
      <c r="J335" s="5" t="s">
        <v>148</v>
      </c>
      <c r="K335" s="5" t="s">
        <v>1251</v>
      </c>
      <c r="L335" s="5" t="s">
        <v>1252</v>
      </c>
      <c r="M335" s="5" t="s">
        <v>1253</v>
      </c>
      <c r="N335" s="5" t="s">
        <v>1003</v>
      </c>
      <c r="P335" s="5" t="s">
        <v>1224</v>
      </c>
      <c r="Q335" s="6">
        <v>53.0</v>
      </c>
      <c r="R335" s="5" t="s">
        <v>1225</v>
      </c>
      <c r="S335" s="5" t="s">
        <v>1226</v>
      </c>
      <c r="T335" s="5" t="s">
        <v>1227</v>
      </c>
    </row>
    <row r="336">
      <c r="E336" s="5">
        <v>334.0</v>
      </c>
      <c r="F336" s="5" t="s">
        <v>95</v>
      </c>
      <c r="H336" s="5" t="s">
        <v>39</v>
      </c>
      <c r="I336" s="5" t="s">
        <v>29</v>
      </c>
      <c r="J336" s="5" t="s">
        <v>1254</v>
      </c>
      <c r="K336" s="5" t="s">
        <v>21</v>
      </c>
      <c r="L336" s="5" t="s">
        <v>1252</v>
      </c>
      <c r="M336" s="5" t="s">
        <v>1253</v>
      </c>
      <c r="N336" s="5" t="s">
        <v>1003</v>
      </c>
      <c r="P336" s="5" t="s">
        <v>1224</v>
      </c>
      <c r="Q336" s="6">
        <v>53.0</v>
      </c>
      <c r="R336" s="5" t="s">
        <v>1225</v>
      </c>
      <c r="S336" s="5" t="s">
        <v>1226</v>
      </c>
      <c r="T336" s="5" t="s">
        <v>1227</v>
      </c>
    </row>
    <row r="337">
      <c r="E337" s="5">
        <v>335.0</v>
      </c>
      <c r="F337" s="5" t="s">
        <v>190</v>
      </c>
      <c r="H337" s="5" t="s">
        <v>515</v>
      </c>
      <c r="I337" s="5" t="s">
        <v>193</v>
      </c>
      <c r="J337" s="5" t="s">
        <v>1255</v>
      </c>
      <c r="K337" s="5" t="s">
        <v>21</v>
      </c>
      <c r="L337" s="5" t="s">
        <v>1015</v>
      </c>
      <c r="N337" s="5" t="s">
        <v>1003</v>
      </c>
      <c r="P337" s="5" t="s">
        <v>1224</v>
      </c>
      <c r="Q337" s="6">
        <v>53.0</v>
      </c>
      <c r="R337" s="5" t="s">
        <v>1225</v>
      </c>
      <c r="S337" s="5" t="s">
        <v>1226</v>
      </c>
      <c r="T337" s="5" t="s">
        <v>1227</v>
      </c>
    </row>
    <row r="338">
      <c r="E338" s="5">
        <v>336.0</v>
      </c>
      <c r="F338" s="5" t="s">
        <v>52</v>
      </c>
      <c r="H338" s="5" t="s">
        <v>19</v>
      </c>
      <c r="I338" s="5" t="s">
        <v>39</v>
      </c>
      <c r="J338" s="5" t="s">
        <v>1256</v>
      </c>
      <c r="K338" s="5" t="s">
        <v>21</v>
      </c>
      <c r="L338" s="5" t="s">
        <v>1257</v>
      </c>
      <c r="M338" s="5" t="s">
        <v>1258</v>
      </c>
      <c r="N338" s="5" t="s">
        <v>1003</v>
      </c>
      <c r="P338" s="5" t="s">
        <v>1224</v>
      </c>
      <c r="Q338" s="6">
        <v>54.0</v>
      </c>
      <c r="R338" s="5" t="s">
        <v>1225</v>
      </c>
      <c r="S338" s="5" t="s">
        <v>1226</v>
      </c>
      <c r="T338" s="5" t="s">
        <v>1227</v>
      </c>
    </row>
    <row r="339">
      <c r="E339" s="5">
        <v>337.0</v>
      </c>
      <c r="F339" s="5" t="s">
        <v>17</v>
      </c>
      <c r="H339" s="5" t="s">
        <v>566</v>
      </c>
      <c r="I339" s="5" t="s">
        <v>19</v>
      </c>
      <c r="J339" s="5" t="s">
        <v>71</v>
      </c>
      <c r="K339" s="5" t="s">
        <v>21</v>
      </c>
      <c r="L339" s="5" t="s">
        <v>1259</v>
      </c>
      <c r="M339" s="5" t="s">
        <v>1260</v>
      </c>
      <c r="N339" s="5" t="s">
        <v>1003</v>
      </c>
      <c r="O339" s="5" t="s">
        <v>1261</v>
      </c>
      <c r="P339" s="5" t="s">
        <v>1224</v>
      </c>
      <c r="Q339" s="6">
        <v>55.0</v>
      </c>
      <c r="R339" s="5" t="s">
        <v>1225</v>
      </c>
      <c r="S339" s="5" t="s">
        <v>1226</v>
      </c>
      <c r="T339" s="5" t="s">
        <v>1227</v>
      </c>
    </row>
    <row r="340">
      <c r="C340" s="14" t="s">
        <v>1262</v>
      </c>
      <c r="E340" s="5">
        <v>338.0</v>
      </c>
      <c r="F340" s="5" t="s">
        <v>17</v>
      </c>
      <c r="H340" s="5" t="s">
        <v>18</v>
      </c>
      <c r="I340" s="5" t="s">
        <v>19</v>
      </c>
      <c r="J340" s="5" t="s">
        <v>237</v>
      </c>
      <c r="K340" s="5" t="s">
        <v>21</v>
      </c>
      <c r="L340" s="5" t="s">
        <v>1263</v>
      </c>
      <c r="N340" s="5" t="s">
        <v>1264</v>
      </c>
      <c r="P340" s="5" t="s">
        <v>1265</v>
      </c>
      <c r="Q340" s="6">
        <v>156.0</v>
      </c>
      <c r="R340" s="5" t="s">
        <v>1266</v>
      </c>
      <c r="S340" s="5" t="s">
        <v>1267</v>
      </c>
      <c r="T340" s="5" t="s">
        <v>1268</v>
      </c>
    </row>
    <row r="341">
      <c r="E341" s="5">
        <v>339.0</v>
      </c>
      <c r="F341" s="5" t="s">
        <v>209</v>
      </c>
      <c r="H341" s="5" t="s">
        <v>1269</v>
      </c>
      <c r="I341" s="5" t="s">
        <v>1270</v>
      </c>
      <c r="J341" s="5" t="s">
        <v>237</v>
      </c>
      <c r="K341" s="5" t="s">
        <v>21</v>
      </c>
      <c r="L341" s="5" t="s">
        <v>1271</v>
      </c>
      <c r="N341" s="5" t="s">
        <v>1272</v>
      </c>
      <c r="P341" s="5" t="s">
        <v>1265</v>
      </c>
      <c r="Q341" s="6">
        <v>156.0</v>
      </c>
      <c r="R341" s="5" t="s">
        <v>1266</v>
      </c>
      <c r="S341" s="5" t="s">
        <v>1267</v>
      </c>
      <c r="T341" s="5" t="s">
        <v>1268</v>
      </c>
    </row>
    <row r="342">
      <c r="E342" s="5">
        <v>340.0</v>
      </c>
      <c r="F342" s="5" t="s">
        <v>17</v>
      </c>
      <c r="H342" s="5" t="s">
        <v>46</v>
      </c>
      <c r="I342" s="5" t="s">
        <v>19</v>
      </c>
      <c r="J342" s="5" t="s">
        <v>1162</v>
      </c>
      <c r="K342" s="5" t="s">
        <v>21</v>
      </c>
      <c r="L342" s="5" t="s">
        <v>1273</v>
      </c>
      <c r="N342" s="5" t="s">
        <v>1274</v>
      </c>
      <c r="O342" s="5" t="s">
        <v>1275</v>
      </c>
      <c r="P342" s="5" t="s">
        <v>1265</v>
      </c>
      <c r="Q342" s="6">
        <v>156.0</v>
      </c>
      <c r="R342" s="5" t="s">
        <v>1266</v>
      </c>
      <c r="S342" s="5" t="s">
        <v>1267</v>
      </c>
      <c r="T342" s="5" t="s">
        <v>1268</v>
      </c>
    </row>
    <row r="343">
      <c r="E343" s="5">
        <v>341.0</v>
      </c>
      <c r="F343" s="5" t="s">
        <v>281</v>
      </c>
      <c r="H343" s="5" t="s">
        <v>1276</v>
      </c>
      <c r="I343" s="5" t="s">
        <v>1277</v>
      </c>
      <c r="J343" s="5" t="s">
        <v>1278</v>
      </c>
      <c r="K343" s="5" t="s">
        <v>1279</v>
      </c>
      <c r="L343" s="5" t="s">
        <v>1280</v>
      </c>
      <c r="N343" s="5" t="s">
        <v>1281</v>
      </c>
      <c r="O343" s="5" t="s">
        <v>1282</v>
      </c>
      <c r="P343" s="5" t="s">
        <v>1265</v>
      </c>
      <c r="Q343" s="6">
        <v>157.0</v>
      </c>
      <c r="R343" s="5" t="s">
        <v>1266</v>
      </c>
      <c r="S343" s="5" t="s">
        <v>1267</v>
      </c>
      <c r="T343" s="5" t="s">
        <v>1268</v>
      </c>
    </row>
    <row r="344">
      <c r="E344" s="5">
        <v>342.0</v>
      </c>
      <c r="F344" s="5" t="s">
        <v>68</v>
      </c>
      <c r="H344" s="5" t="s">
        <v>69</v>
      </c>
      <c r="I344" s="5" t="s">
        <v>46</v>
      </c>
      <c r="J344" s="5" t="s">
        <v>71</v>
      </c>
      <c r="K344" s="5" t="s">
        <v>21</v>
      </c>
      <c r="L344" s="5" t="s">
        <v>1283</v>
      </c>
      <c r="M344" s="5" t="s">
        <v>427</v>
      </c>
      <c r="N344" s="5" t="s">
        <v>428</v>
      </c>
      <c r="P344" s="5" t="s">
        <v>1265</v>
      </c>
      <c r="Q344" s="6">
        <v>158.0</v>
      </c>
      <c r="R344" s="5" t="s">
        <v>1266</v>
      </c>
      <c r="S344" s="5" t="s">
        <v>1267</v>
      </c>
      <c r="T344" s="5" t="s">
        <v>1268</v>
      </c>
    </row>
    <row r="345">
      <c r="E345" s="5">
        <v>343.0</v>
      </c>
      <c r="F345" s="5" t="s">
        <v>17</v>
      </c>
      <c r="H345" s="5" t="s">
        <v>1284</v>
      </c>
      <c r="I345" s="5" t="s">
        <v>46</v>
      </c>
      <c r="J345" s="5" t="s">
        <v>1162</v>
      </c>
      <c r="K345" s="5" t="s">
        <v>21</v>
      </c>
      <c r="L345" s="5" t="s">
        <v>1285</v>
      </c>
      <c r="M345" s="10" t="s">
        <v>1286</v>
      </c>
      <c r="N345" s="5" t="s">
        <v>1287</v>
      </c>
      <c r="P345" s="5" t="s">
        <v>1265</v>
      </c>
      <c r="Q345" s="6">
        <v>158.0</v>
      </c>
      <c r="R345" s="5" t="s">
        <v>1266</v>
      </c>
      <c r="S345" s="5" t="s">
        <v>1267</v>
      </c>
      <c r="T345" s="5" t="s">
        <v>1268</v>
      </c>
    </row>
    <row r="346">
      <c r="E346" s="5">
        <v>344.0</v>
      </c>
      <c r="F346" s="5" t="s">
        <v>68</v>
      </c>
      <c r="H346" s="5" t="s">
        <v>1288</v>
      </c>
      <c r="I346" s="5" t="s">
        <v>1289</v>
      </c>
      <c r="J346" s="5" t="s">
        <v>71</v>
      </c>
      <c r="K346" s="5" t="s">
        <v>21</v>
      </c>
      <c r="L346" s="5" t="s">
        <v>1290</v>
      </c>
      <c r="N346" s="5" t="s">
        <v>1291</v>
      </c>
      <c r="P346" s="5" t="s">
        <v>1265</v>
      </c>
      <c r="Q346" s="6">
        <v>158.0</v>
      </c>
      <c r="R346" s="5" t="s">
        <v>1266</v>
      </c>
      <c r="S346" s="5" t="s">
        <v>1267</v>
      </c>
      <c r="T346" s="5" t="s">
        <v>1268</v>
      </c>
    </row>
    <row r="347">
      <c r="E347" s="5">
        <v>345.0</v>
      </c>
      <c r="F347" s="5" t="s">
        <v>17</v>
      </c>
      <c r="H347" s="17" t="s">
        <v>1292</v>
      </c>
      <c r="I347" s="13" t="s">
        <v>46</v>
      </c>
      <c r="J347" s="13" t="s">
        <v>1162</v>
      </c>
      <c r="K347" s="5" t="s">
        <v>21</v>
      </c>
      <c r="L347" s="5" t="s">
        <v>1293</v>
      </c>
      <c r="N347" s="5" t="s">
        <v>1294</v>
      </c>
      <c r="P347" s="5" t="s">
        <v>1265</v>
      </c>
      <c r="Q347" s="6">
        <v>158.0</v>
      </c>
      <c r="R347" s="5" t="s">
        <v>1266</v>
      </c>
      <c r="S347" s="5" t="s">
        <v>1267</v>
      </c>
      <c r="T347" s="5" t="s">
        <v>1268</v>
      </c>
    </row>
    <row r="348">
      <c r="E348" s="5">
        <v>346.0</v>
      </c>
      <c r="F348" s="5" t="s">
        <v>1295</v>
      </c>
      <c r="H348" s="5" t="s">
        <v>1296</v>
      </c>
      <c r="I348" s="5" t="s">
        <v>46</v>
      </c>
      <c r="J348" s="5" t="s">
        <v>71</v>
      </c>
      <c r="K348" s="5" t="s">
        <v>21</v>
      </c>
      <c r="L348" s="5" t="s">
        <v>1297</v>
      </c>
      <c r="N348" s="5" t="s">
        <v>1298</v>
      </c>
      <c r="P348" s="5" t="s">
        <v>1265</v>
      </c>
      <c r="Q348" s="6">
        <v>158.0</v>
      </c>
      <c r="R348" s="5" t="s">
        <v>1266</v>
      </c>
      <c r="S348" s="5" t="s">
        <v>1267</v>
      </c>
      <c r="T348" s="5" t="s">
        <v>1268</v>
      </c>
    </row>
    <row r="349">
      <c r="E349" s="5">
        <v>347.0</v>
      </c>
      <c r="F349" s="5" t="s">
        <v>52</v>
      </c>
      <c r="G349" s="5" t="s">
        <v>53</v>
      </c>
      <c r="H349" s="5" t="s">
        <v>19</v>
      </c>
      <c r="I349" s="5" t="s">
        <v>54</v>
      </c>
      <c r="J349" s="5" t="s">
        <v>81</v>
      </c>
      <c r="K349" s="5" t="s">
        <v>21</v>
      </c>
      <c r="L349" s="5" t="s">
        <v>1299</v>
      </c>
      <c r="N349" s="5" t="s">
        <v>1300</v>
      </c>
      <c r="P349" s="5" t="s">
        <v>1265</v>
      </c>
      <c r="Q349" s="6">
        <v>159.0</v>
      </c>
      <c r="R349" s="5" t="s">
        <v>1266</v>
      </c>
      <c r="S349" s="5" t="s">
        <v>1267</v>
      </c>
      <c r="T349" s="5" t="s">
        <v>1268</v>
      </c>
    </row>
    <row r="350">
      <c r="E350" s="5">
        <v>348.0</v>
      </c>
      <c r="F350" s="5" t="s">
        <v>17</v>
      </c>
      <c r="G350" s="5" t="s">
        <v>1135</v>
      </c>
      <c r="H350" s="5" t="s">
        <v>136</v>
      </c>
      <c r="I350" s="5" t="s">
        <v>19</v>
      </c>
      <c r="J350" s="5" t="s">
        <v>237</v>
      </c>
      <c r="K350" s="5" t="s">
        <v>21</v>
      </c>
      <c r="L350" s="5" t="s">
        <v>1301</v>
      </c>
      <c r="N350" s="5" t="s">
        <v>1302</v>
      </c>
      <c r="O350" s="5" t="s">
        <v>1303</v>
      </c>
      <c r="P350" s="5" t="s">
        <v>1265</v>
      </c>
      <c r="Q350" s="6">
        <v>160.0</v>
      </c>
      <c r="R350" s="5" t="s">
        <v>1266</v>
      </c>
      <c r="S350" s="5" t="s">
        <v>1267</v>
      </c>
      <c r="T350" s="5" t="s">
        <v>1268</v>
      </c>
    </row>
    <row r="351">
      <c r="E351" s="5">
        <v>349.0</v>
      </c>
      <c r="F351" s="5" t="s">
        <v>176</v>
      </c>
      <c r="G351" s="5" t="s">
        <v>1135</v>
      </c>
      <c r="H351" s="5" t="s">
        <v>1236</v>
      </c>
      <c r="I351" s="5" t="s">
        <v>1237</v>
      </c>
      <c r="J351" s="5" t="s">
        <v>237</v>
      </c>
      <c r="K351" s="5" t="s">
        <v>1304</v>
      </c>
      <c r="L351" s="5" t="s">
        <v>1301</v>
      </c>
      <c r="N351" s="5" t="s">
        <v>1302</v>
      </c>
      <c r="O351" s="5" t="s">
        <v>1303</v>
      </c>
      <c r="P351" s="5" t="s">
        <v>1265</v>
      </c>
      <c r="Q351" s="6">
        <v>160.0</v>
      </c>
      <c r="R351" s="5" t="s">
        <v>1266</v>
      </c>
      <c r="S351" s="5" t="s">
        <v>1267</v>
      </c>
      <c r="T351" s="5" t="s">
        <v>1268</v>
      </c>
    </row>
    <row r="352">
      <c r="E352" s="5">
        <v>350.0</v>
      </c>
      <c r="F352" s="5" t="s">
        <v>17</v>
      </c>
      <c r="H352" s="17" t="s">
        <v>1156</v>
      </c>
      <c r="I352" s="5" t="s">
        <v>19</v>
      </c>
      <c r="J352" s="5" t="s">
        <v>237</v>
      </c>
      <c r="K352" s="5" t="s">
        <v>21</v>
      </c>
      <c r="L352" s="5" t="s">
        <v>1305</v>
      </c>
      <c r="N352" s="5" t="s">
        <v>1306</v>
      </c>
      <c r="O352" s="5" t="s">
        <v>1307</v>
      </c>
      <c r="P352" s="5" t="s">
        <v>1265</v>
      </c>
      <c r="Q352" s="6">
        <v>160.0</v>
      </c>
      <c r="R352" s="5" t="s">
        <v>1266</v>
      </c>
      <c r="S352" s="5" t="s">
        <v>1267</v>
      </c>
      <c r="T352" s="5" t="s">
        <v>1268</v>
      </c>
    </row>
    <row r="353">
      <c r="E353" s="5">
        <v>351.0</v>
      </c>
      <c r="F353" s="5" t="s">
        <v>68</v>
      </c>
      <c r="H353" s="5" t="s">
        <v>1308</v>
      </c>
      <c r="I353" s="5" t="s">
        <v>78</v>
      </c>
      <c r="J353" s="5" t="s">
        <v>71</v>
      </c>
      <c r="K353" s="5" t="s">
        <v>21</v>
      </c>
      <c r="L353" s="5" t="s">
        <v>1015</v>
      </c>
      <c r="N353" s="5" t="s">
        <v>1003</v>
      </c>
      <c r="P353" s="5" t="s">
        <v>1265</v>
      </c>
      <c r="Q353" s="6">
        <v>159.0</v>
      </c>
      <c r="R353" s="5" t="s">
        <v>1266</v>
      </c>
      <c r="S353" s="5" t="s">
        <v>1267</v>
      </c>
      <c r="T353" s="5" t="s">
        <v>1268</v>
      </c>
    </row>
    <row r="354">
      <c r="E354" s="5">
        <v>352.0</v>
      </c>
      <c r="F354" s="5" t="s">
        <v>68</v>
      </c>
      <c r="H354" s="5" t="s">
        <v>1173</v>
      </c>
      <c r="I354" s="5" t="s">
        <v>78</v>
      </c>
      <c r="J354" s="5" t="s">
        <v>71</v>
      </c>
      <c r="K354" s="5" t="s">
        <v>21</v>
      </c>
      <c r="L354" s="5" t="s">
        <v>1015</v>
      </c>
      <c r="N354" s="5" t="s">
        <v>1003</v>
      </c>
      <c r="P354" s="5" t="s">
        <v>1265</v>
      </c>
      <c r="Q354" s="6">
        <v>159.0</v>
      </c>
      <c r="R354" s="5" t="s">
        <v>1266</v>
      </c>
      <c r="S354" s="5" t="s">
        <v>1267</v>
      </c>
      <c r="T354" s="5" t="s">
        <v>1268</v>
      </c>
    </row>
    <row r="355">
      <c r="E355" s="5">
        <v>353.0</v>
      </c>
      <c r="F355" s="5" t="s">
        <v>68</v>
      </c>
      <c r="H355" s="5" t="s">
        <v>1309</v>
      </c>
      <c r="I355" s="5" t="s">
        <v>29</v>
      </c>
      <c r="J355" s="5" t="s">
        <v>71</v>
      </c>
      <c r="K355" s="5" t="s">
        <v>21</v>
      </c>
      <c r="L355" s="5" t="s">
        <v>1015</v>
      </c>
      <c r="N355" s="5" t="s">
        <v>1003</v>
      </c>
      <c r="P355" s="5" t="s">
        <v>1265</v>
      </c>
      <c r="Q355" s="6">
        <v>159.0</v>
      </c>
      <c r="R355" s="5" t="s">
        <v>1266</v>
      </c>
      <c r="S355" s="5" t="s">
        <v>1267</v>
      </c>
      <c r="T355" s="5" t="s">
        <v>1268</v>
      </c>
    </row>
    <row r="356">
      <c r="E356" s="5">
        <v>354.0</v>
      </c>
      <c r="F356" s="5" t="s">
        <v>68</v>
      </c>
      <c r="H356" s="5" t="s">
        <v>1310</v>
      </c>
      <c r="I356" s="5" t="s">
        <v>978</v>
      </c>
      <c r="J356" s="5" t="s">
        <v>71</v>
      </c>
      <c r="K356" s="5" t="s">
        <v>21</v>
      </c>
      <c r="L356" s="5" t="s">
        <v>1015</v>
      </c>
      <c r="N356" s="5" t="s">
        <v>1003</v>
      </c>
      <c r="P356" s="5" t="s">
        <v>1265</v>
      </c>
      <c r="Q356" s="6">
        <v>159.0</v>
      </c>
      <c r="R356" s="5" t="s">
        <v>1266</v>
      </c>
      <c r="S356" s="5" t="s">
        <v>1267</v>
      </c>
      <c r="T356" s="5" t="s">
        <v>1268</v>
      </c>
    </row>
    <row r="357">
      <c r="E357" s="5">
        <v>355.0</v>
      </c>
      <c r="F357" s="5" t="s">
        <v>281</v>
      </c>
      <c r="H357" s="5" t="s">
        <v>1178</v>
      </c>
      <c r="I357" s="5" t="s">
        <v>1310</v>
      </c>
      <c r="J357" s="5" t="s">
        <v>71</v>
      </c>
      <c r="K357" s="5" t="s">
        <v>21</v>
      </c>
      <c r="L357" s="5" t="s">
        <v>1015</v>
      </c>
      <c r="N357" s="5" t="s">
        <v>1003</v>
      </c>
      <c r="P357" s="5" t="s">
        <v>1265</v>
      </c>
      <c r="Q357" s="6">
        <v>159.0</v>
      </c>
      <c r="R357" s="5" t="s">
        <v>1266</v>
      </c>
      <c r="S357" s="5" t="s">
        <v>1267</v>
      </c>
      <c r="T357" s="5" t="s">
        <v>1268</v>
      </c>
    </row>
    <row r="358">
      <c r="E358" s="5">
        <v>356.0</v>
      </c>
      <c r="F358" s="5" t="s">
        <v>95</v>
      </c>
      <c r="G358" s="5" t="s">
        <v>446</v>
      </c>
      <c r="H358" s="5" t="s">
        <v>136</v>
      </c>
      <c r="I358" s="5" t="s">
        <v>135</v>
      </c>
      <c r="J358" s="5" t="s">
        <v>1311</v>
      </c>
      <c r="K358" s="5" t="s">
        <v>21</v>
      </c>
      <c r="L358" s="5" t="s">
        <v>1312</v>
      </c>
      <c r="N358" s="5" t="s">
        <v>1313</v>
      </c>
      <c r="O358" s="5" t="s">
        <v>1314</v>
      </c>
      <c r="P358" s="5" t="s">
        <v>1265</v>
      </c>
      <c r="Q358" s="6">
        <v>160.0</v>
      </c>
      <c r="R358" s="5" t="s">
        <v>1266</v>
      </c>
      <c r="S358" s="5" t="s">
        <v>1267</v>
      </c>
      <c r="T358" s="5" t="s">
        <v>1268</v>
      </c>
    </row>
    <row r="359">
      <c r="E359" s="5">
        <v>357.0</v>
      </c>
      <c r="F359" s="5" t="s">
        <v>95</v>
      </c>
      <c r="H359" s="5" t="s">
        <v>363</v>
      </c>
      <c r="I359" s="5" t="s">
        <v>1189</v>
      </c>
      <c r="J359" s="5" t="s">
        <v>1315</v>
      </c>
      <c r="K359" s="5" t="s">
        <v>21</v>
      </c>
      <c r="L359" s="5" t="s">
        <v>1316</v>
      </c>
      <c r="N359" s="5" t="s">
        <v>1317</v>
      </c>
      <c r="P359" s="5" t="s">
        <v>1265</v>
      </c>
      <c r="Q359" s="6">
        <v>160.0</v>
      </c>
      <c r="R359" s="5" t="s">
        <v>1266</v>
      </c>
      <c r="S359" s="5" t="s">
        <v>1267</v>
      </c>
      <c r="T359" s="5" t="s">
        <v>1268</v>
      </c>
    </row>
    <row r="360">
      <c r="E360" s="5">
        <v>358.0</v>
      </c>
      <c r="F360" s="5" t="s">
        <v>190</v>
      </c>
      <c r="G360" s="5" t="s">
        <v>1318</v>
      </c>
      <c r="H360" s="5" t="s">
        <v>142</v>
      </c>
      <c r="I360" s="5" t="s">
        <v>135</v>
      </c>
      <c r="J360" s="5" t="s">
        <v>1319</v>
      </c>
      <c r="K360" s="5" t="s">
        <v>21</v>
      </c>
      <c r="L360" s="5" t="s">
        <v>1320</v>
      </c>
      <c r="N360" s="5" t="s">
        <v>1321</v>
      </c>
      <c r="P360" s="5" t="s">
        <v>1265</v>
      </c>
      <c r="Q360" s="6">
        <v>161.0</v>
      </c>
      <c r="R360" s="5" t="s">
        <v>1266</v>
      </c>
      <c r="S360" s="5" t="s">
        <v>1267</v>
      </c>
      <c r="T360" s="5" t="s">
        <v>1268</v>
      </c>
    </row>
    <row r="361">
      <c r="E361" s="5">
        <v>359.0</v>
      </c>
      <c r="F361" s="5" t="s">
        <v>281</v>
      </c>
      <c r="H361" s="5" t="s">
        <v>631</v>
      </c>
      <c r="I361" s="5" t="s">
        <v>18</v>
      </c>
      <c r="J361" s="5" t="s">
        <v>71</v>
      </c>
      <c r="K361" s="5" t="s">
        <v>21</v>
      </c>
      <c r="L361" s="5" t="s">
        <v>1322</v>
      </c>
      <c r="N361" s="5" t="s">
        <v>1323</v>
      </c>
      <c r="P361" s="5" t="s">
        <v>1265</v>
      </c>
      <c r="Q361" s="6">
        <v>161.0</v>
      </c>
      <c r="R361" s="5" t="s">
        <v>1266</v>
      </c>
      <c r="S361" s="5" t="s">
        <v>1267</v>
      </c>
      <c r="T361" s="5" t="s">
        <v>1268</v>
      </c>
    </row>
    <row r="362">
      <c r="E362" s="5">
        <v>360.0</v>
      </c>
      <c r="F362" s="5" t="s">
        <v>281</v>
      </c>
      <c r="H362" s="5" t="s">
        <v>29</v>
      </c>
      <c r="I362" s="5" t="s">
        <v>18</v>
      </c>
      <c r="J362" s="5" t="s">
        <v>71</v>
      </c>
      <c r="K362" s="5" t="s">
        <v>21</v>
      </c>
      <c r="L362" s="5" t="s">
        <v>1324</v>
      </c>
      <c r="N362" s="5" t="s">
        <v>1325</v>
      </c>
      <c r="P362" s="5" t="s">
        <v>1265</v>
      </c>
      <c r="Q362" s="6">
        <v>161.0</v>
      </c>
      <c r="R362" s="5" t="s">
        <v>1266</v>
      </c>
      <c r="S362" s="5" t="s">
        <v>1267</v>
      </c>
      <c r="T362" s="5" t="s">
        <v>1268</v>
      </c>
    </row>
    <row r="363">
      <c r="E363" s="5">
        <v>361.0</v>
      </c>
      <c r="F363" s="5" t="s">
        <v>281</v>
      </c>
      <c r="H363" s="5" t="s">
        <v>39</v>
      </c>
      <c r="I363" s="5" t="s">
        <v>18</v>
      </c>
      <c r="J363" s="5" t="s">
        <v>71</v>
      </c>
      <c r="K363" s="5" t="s">
        <v>21</v>
      </c>
      <c r="L363" s="5" t="s">
        <v>1326</v>
      </c>
      <c r="N363" s="5" t="s">
        <v>1327</v>
      </c>
      <c r="P363" s="5" t="s">
        <v>1265</v>
      </c>
      <c r="Q363" s="6">
        <v>161.0</v>
      </c>
      <c r="R363" s="5" t="s">
        <v>1266</v>
      </c>
      <c r="S363" s="5" t="s">
        <v>1267</v>
      </c>
      <c r="T363" s="5" t="s">
        <v>1268</v>
      </c>
    </row>
    <row r="364">
      <c r="E364" s="5">
        <v>362.0</v>
      </c>
      <c r="F364" s="5" t="s">
        <v>281</v>
      </c>
      <c r="H364" s="5" t="s">
        <v>18</v>
      </c>
      <c r="I364" s="5" t="s">
        <v>107</v>
      </c>
      <c r="J364" s="5" t="s">
        <v>71</v>
      </c>
      <c r="K364" s="5" t="s">
        <v>21</v>
      </c>
      <c r="L364" s="5" t="s">
        <v>1328</v>
      </c>
      <c r="N364" s="5" t="s">
        <v>1329</v>
      </c>
      <c r="P364" s="5" t="s">
        <v>1265</v>
      </c>
      <c r="Q364" s="6">
        <v>161.0</v>
      </c>
      <c r="R364" s="5" t="s">
        <v>1266</v>
      </c>
      <c r="S364" s="5" t="s">
        <v>1267</v>
      </c>
      <c r="T364" s="5" t="s">
        <v>1268</v>
      </c>
    </row>
    <row r="365">
      <c r="E365" s="5">
        <v>363.0</v>
      </c>
      <c r="F365" s="5" t="s">
        <v>281</v>
      </c>
      <c r="H365" s="5" t="s">
        <v>631</v>
      </c>
      <c r="I365" s="5" t="s">
        <v>107</v>
      </c>
      <c r="J365" s="5" t="s">
        <v>71</v>
      </c>
      <c r="K365" s="5" t="s">
        <v>21</v>
      </c>
      <c r="L365" s="5" t="s">
        <v>1330</v>
      </c>
      <c r="N365" s="5" t="s">
        <v>1331</v>
      </c>
      <c r="P365" s="5" t="s">
        <v>1265</v>
      </c>
      <c r="Q365" s="6">
        <v>161.0</v>
      </c>
      <c r="R365" s="5" t="s">
        <v>1266</v>
      </c>
      <c r="S365" s="5" t="s">
        <v>1267</v>
      </c>
      <c r="T365" s="5" t="s">
        <v>1268</v>
      </c>
    </row>
    <row r="366">
      <c r="E366" s="5">
        <v>364.0</v>
      </c>
      <c r="F366" s="5" t="s">
        <v>281</v>
      </c>
      <c r="H366" s="5" t="s">
        <v>39</v>
      </c>
      <c r="I366" s="5" t="s">
        <v>107</v>
      </c>
      <c r="J366" s="5" t="s">
        <v>71</v>
      </c>
      <c r="K366" s="5" t="s">
        <v>21</v>
      </c>
      <c r="L366" s="5" t="s">
        <v>1332</v>
      </c>
      <c r="N366" s="5" t="s">
        <v>1333</v>
      </c>
      <c r="P366" s="5" t="s">
        <v>1265</v>
      </c>
      <c r="Q366" s="6">
        <v>161.0</v>
      </c>
      <c r="R366" s="5" t="s">
        <v>1266</v>
      </c>
      <c r="S366" s="5" t="s">
        <v>1267</v>
      </c>
      <c r="T366" s="5" t="s">
        <v>1268</v>
      </c>
    </row>
    <row r="367">
      <c r="C367" s="14" t="s">
        <v>1334</v>
      </c>
      <c r="E367" s="5">
        <v>365.0</v>
      </c>
      <c r="F367" s="5" t="s">
        <v>52</v>
      </c>
      <c r="H367" s="5" t="s">
        <v>19</v>
      </c>
      <c r="I367" s="5" t="s">
        <v>61</v>
      </c>
      <c r="J367" s="5" t="s">
        <v>1335</v>
      </c>
      <c r="K367" s="5" t="s">
        <v>21</v>
      </c>
      <c r="L367" s="5" t="s">
        <v>1015</v>
      </c>
      <c r="N367" s="5" t="s">
        <v>1003</v>
      </c>
      <c r="P367" s="5" t="s">
        <v>1336</v>
      </c>
      <c r="Q367" s="6">
        <v>5.0</v>
      </c>
      <c r="R367" s="5" t="s">
        <v>1337</v>
      </c>
      <c r="S367" s="5" t="s">
        <v>1337</v>
      </c>
      <c r="T367" s="5" t="s">
        <v>1338</v>
      </c>
    </row>
    <row r="368">
      <c r="E368" s="5">
        <v>366.0</v>
      </c>
      <c r="F368" s="5" t="s">
        <v>17</v>
      </c>
      <c r="H368" s="5" t="s">
        <v>39</v>
      </c>
      <c r="I368" s="5" t="s">
        <v>19</v>
      </c>
      <c r="J368" s="5" t="s">
        <v>1339</v>
      </c>
      <c r="K368" s="5" t="s">
        <v>21</v>
      </c>
      <c r="L368" s="5" t="s">
        <v>1340</v>
      </c>
      <c r="N368" s="5" t="s">
        <v>1341</v>
      </c>
      <c r="O368" s="5" t="s">
        <v>1342</v>
      </c>
      <c r="P368" s="5" t="s">
        <v>1336</v>
      </c>
      <c r="Q368" s="6">
        <v>11.0</v>
      </c>
      <c r="R368" s="5" t="s">
        <v>1337</v>
      </c>
      <c r="S368" s="5" t="s">
        <v>1337</v>
      </c>
      <c r="T368" s="5" t="s">
        <v>1338</v>
      </c>
    </row>
    <row r="369">
      <c r="E369" s="5">
        <v>367.0</v>
      </c>
      <c r="F369" s="5" t="s">
        <v>95</v>
      </c>
      <c r="H369" s="5" t="s">
        <v>161</v>
      </c>
      <c r="I369" s="5" t="s">
        <v>1343</v>
      </c>
      <c r="J369" s="5" t="s">
        <v>470</v>
      </c>
      <c r="K369" s="5" t="s">
        <v>1344</v>
      </c>
      <c r="L369" s="5" t="s">
        <v>1340</v>
      </c>
      <c r="N369" s="5" t="s">
        <v>1341</v>
      </c>
      <c r="O369" s="5" t="s">
        <v>1342</v>
      </c>
      <c r="P369" s="5" t="s">
        <v>1336</v>
      </c>
      <c r="Q369" s="6">
        <v>11.0</v>
      </c>
      <c r="R369" s="5" t="s">
        <v>1337</v>
      </c>
      <c r="S369" s="5" t="s">
        <v>1337</v>
      </c>
      <c r="T369" s="5" t="s">
        <v>1338</v>
      </c>
    </row>
    <row r="370">
      <c r="E370" s="5">
        <v>368.0</v>
      </c>
      <c r="F370" s="5" t="s">
        <v>95</v>
      </c>
      <c r="H370" s="5" t="s">
        <v>1276</v>
      </c>
      <c r="I370" s="5" t="s">
        <v>1345</v>
      </c>
      <c r="J370" s="5" t="s">
        <v>1346</v>
      </c>
      <c r="K370" s="5" t="s">
        <v>21</v>
      </c>
      <c r="L370" s="5" t="s">
        <v>1347</v>
      </c>
      <c r="N370" s="5" t="s">
        <v>1348</v>
      </c>
      <c r="P370" s="5" t="s">
        <v>1336</v>
      </c>
      <c r="Q370" s="6" t="s">
        <v>1349</v>
      </c>
      <c r="R370" s="5" t="s">
        <v>1337</v>
      </c>
      <c r="S370" s="5" t="s">
        <v>1337</v>
      </c>
      <c r="T370" s="5" t="s">
        <v>1338</v>
      </c>
    </row>
    <row r="371">
      <c r="E371" s="5">
        <v>369.0</v>
      </c>
      <c r="F371" s="5" t="s">
        <v>95</v>
      </c>
      <c r="H371" s="5" t="s">
        <v>566</v>
      </c>
      <c r="I371" s="5" t="s">
        <v>18</v>
      </c>
      <c r="J371" s="5" t="s">
        <v>1350</v>
      </c>
      <c r="K371" s="5" t="s">
        <v>21</v>
      </c>
      <c r="L371" s="5" t="s">
        <v>1015</v>
      </c>
      <c r="N371" s="5" t="s">
        <v>1003</v>
      </c>
      <c r="P371" s="5" t="s">
        <v>1336</v>
      </c>
      <c r="Q371" s="6">
        <v>16.0</v>
      </c>
      <c r="R371" s="5" t="s">
        <v>1337</v>
      </c>
      <c r="S371" s="5" t="s">
        <v>1337</v>
      </c>
      <c r="T371" s="5" t="s">
        <v>1338</v>
      </c>
    </row>
    <row r="372">
      <c r="E372" s="5">
        <v>370.0</v>
      </c>
      <c r="F372" s="5" t="s">
        <v>281</v>
      </c>
      <c r="H372" s="5" t="s">
        <v>1351</v>
      </c>
      <c r="I372" s="5" t="s">
        <v>1352</v>
      </c>
      <c r="J372" s="5" t="s">
        <v>958</v>
      </c>
      <c r="K372" s="5" t="s">
        <v>21</v>
      </c>
      <c r="L372" s="5" t="s">
        <v>1015</v>
      </c>
      <c r="N372" s="5" t="s">
        <v>1003</v>
      </c>
      <c r="P372" s="5" t="s">
        <v>1336</v>
      </c>
      <c r="Q372" s="6">
        <v>17.0</v>
      </c>
      <c r="R372" s="5" t="s">
        <v>1337</v>
      </c>
      <c r="S372" s="5" t="s">
        <v>1337</v>
      </c>
      <c r="T372" s="5" t="s">
        <v>1338</v>
      </c>
    </row>
    <row r="373">
      <c r="E373" s="5">
        <v>371.0</v>
      </c>
      <c r="F373" s="5" t="s">
        <v>209</v>
      </c>
      <c r="H373" s="5" t="s">
        <v>1269</v>
      </c>
      <c r="I373" s="5" t="s">
        <v>1270</v>
      </c>
      <c r="J373" s="5" t="s">
        <v>1353</v>
      </c>
      <c r="K373" s="5" t="s">
        <v>21</v>
      </c>
      <c r="L373" s="5" t="s">
        <v>1015</v>
      </c>
      <c r="N373" s="5" t="s">
        <v>1003</v>
      </c>
      <c r="P373" s="5" t="s">
        <v>1336</v>
      </c>
      <c r="Q373" s="6" t="s">
        <v>530</v>
      </c>
      <c r="R373" s="5" t="s">
        <v>1337</v>
      </c>
      <c r="S373" s="5" t="s">
        <v>1337</v>
      </c>
      <c r="T373" s="5" t="s">
        <v>1338</v>
      </c>
    </row>
    <row r="374">
      <c r="E374" s="5">
        <v>372.0</v>
      </c>
      <c r="F374" s="5" t="s">
        <v>17</v>
      </c>
      <c r="H374" s="5" t="s">
        <v>39</v>
      </c>
      <c r="I374" s="5" t="s">
        <v>19</v>
      </c>
      <c r="J374" s="5" t="s">
        <v>1354</v>
      </c>
      <c r="K374" s="5" t="s">
        <v>21</v>
      </c>
      <c r="L374" s="5" t="s">
        <v>1355</v>
      </c>
      <c r="N374" s="5" t="s">
        <v>1356</v>
      </c>
      <c r="P374" s="5" t="s">
        <v>1336</v>
      </c>
      <c r="Q374" s="6" t="s">
        <v>530</v>
      </c>
      <c r="R374" s="5" t="s">
        <v>1337</v>
      </c>
      <c r="S374" s="5" t="s">
        <v>1337</v>
      </c>
      <c r="T374" s="5" t="s">
        <v>1338</v>
      </c>
    </row>
    <row r="375">
      <c r="E375" s="5">
        <v>373.0</v>
      </c>
      <c r="F375" s="5" t="s">
        <v>95</v>
      </c>
      <c r="G375" s="5" t="s">
        <v>446</v>
      </c>
      <c r="H375" s="5" t="s">
        <v>136</v>
      </c>
      <c r="I375" s="5" t="s">
        <v>135</v>
      </c>
      <c r="J375" s="5" t="s">
        <v>1357</v>
      </c>
      <c r="K375" s="5" t="s">
        <v>1358</v>
      </c>
      <c r="L375" s="5" t="s">
        <v>1015</v>
      </c>
      <c r="N375" s="5" t="s">
        <v>1003</v>
      </c>
      <c r="P375" s="5" t="s">
        <v>1336</v>
      </c>
      <c r="Q375" s="6" t="s">
        <v>530</v>
      </c>
      <c r="R375" s="5" t="s">
        <v>1337</v>
      </c>
      <c r="S375" s="5" t="s">
        <v>1337</v>
      </c>
      <c r="T375" s="5" t="s">
        <v>1338</v>
      </c>
    </row>
    <row r="376">
      <c r="E376" s="5">
        <v>374.0</v>
      </c>
      <c r="F376" s="5" t="s">
        <v>95</v>
      </c>
      <c r="H376" s="5" t="s">
        <v>136</v>
      </c>
      <c r="I376" s="5" t="s">
        <v>1359</v>
      </c>
      <c r="J376" s="5" t="s">
        <v>1360</v>
      </c>
      <c r="K376" s="5" t="s">
        <v>1358</v>
      </c>
      <c r="L376" s="5" t="s">
        <v>1015</v>
      </c>
      <c r="N376" s="5" t="s">
        <v>1003</v>
      </c>
      <c r="P376" s="5" t="s">
        <v>1336</v>
      </c>
      <c r="Q376" s="6" t="s">
        <v>530</v>
      </c>
      <c r="R376" s="5" t="s">
        <v>1337</v>
      </c>
      <c r="S376" s="5" t="s">
        <v>1337</v>
      </c>
      <c r="T376" s="5" t="s">
        <v>1338</v>
      </c>
    </row>
    <row r="377">
      <c r="E377" s="5">
        <v>375.0</v>
      </c>
      <c r="F377" s="5" t="s">
        <v>95</v>
      </c>
      <c r="H377" s="5" t="s">
        <v>136</v>
      </c>
      <c r="I377" s="5" t="s">
        <v>1361</v>
      </c>
      <c r="J377" s="5" t="s">
        <v>1362</v>
      </c>
      <c r="K377" s="5" t="s">
        <v>1358</v>
      </c>
      <c r="L377" s="5" t="s">
        <v>1363</v>
      </c>
      <c r="N377" s="5" t="s">
        <v>1364</v>
      </c>
      <c r="P377" s="5" t="s">
        <v>1336</v>
      </c>
      <c r="Q377" s="6" t="s">
        <v>530</v>
      </c>
      <c r="R377" s="5" t="s">
        <v>1337</v>
      </c>
      <c r="S377" s="5" t="s">
        <v>1337</v>
      </c>
      <c r="T377" s="5" t="s">
        <v>1338</v>
      </c>
    </row>
    <row r="378">
      <c r="E378" s="5">
        <v>376.0</v>
      </c>
      <c r="F378" s="5" t="s">
        <v>68</v>
      </c>
      <c r="H378" s="5" t="s">
        <v>1365</v>
      </c>
      <c r="I378" s="5" t="s">
        <v>18</v>
      </c>
      <c r="J378" s="5" t="s">
        <v>71</v>
      </c>
      <c r="K378" s="5" t="s">
        <v>21</v>
      </c>
      <c r="L378" s="5" t="s">
        <v>1366</v>
      </c>
      <c r="N378" s="5" t="s">
        <v>1367</v>
      </c>
      <c r="P378" s="5" t="s">
        <v>1336</v>
      </c>
      <c r="Q378" s="6">
        <v>20.0</v>
      </c>
      <c r="R378" s="5" t="s">
        <v>1337</v>
      </c>
      <c r="S378" s="5" t="s">
        <v>1337</v>
      </c>
      <c r="T378" s="5" t="s">
        <v>1338</v>
      </c>
    </row>
    <row r="379">
      <c r="E379" s="5">
        <v>377.0</v>
      </c>
      <c r="F379" s="5" t="s">
        <v>68</v>
      </c>
      <c r="H379" s="5" t="s">
        <v>1368</v>
      </c>
      <c r="I379" s="5" t="s">
        <v>18</v>
      </c>
      <c r="J379" s="5" t="s">
        <v>71</v>
      </c>
      <c r="K379" s="5" t="s">
        <v>21</v>
      </c>
      <c r="L379" s="5" t="s">
        <v>1369</v>
      </c>
      <c r="N379" s="5" t="s">
        <v>1370</v>
      </c>
      <c r="P379" s="5" t="s">
        <v>1336</v>
      </c>
      <c r="Q379" s="6">
        <v>20.0</v>
      </c>
      <c r="R379" s="5" t="s">
        <v>1337</v>
      </c>
      <c r="S379" s="5" t="s">
        <v>1337</v>
      </c>
      <c r="T379" s="5" t="s">
        <v>1338</v>
      </c>
    </row>
    <row r="380">
      <c r="E380" s="5">
        <v>378.0</v>
      </c>
      <c r="F380" s="5" t="s">
        <v>281</v>
      </c>
      <c r="H380" s="5" t="s">
        <v>39</v>
      </c>
      <c r="I380" s="5" t="s">
        <v>18</v>
      </c>
      <c r="J380" s="5" t="s">
        <v>71</v>
      </c>
      <c r="K380" s="5" t="s">
        <v>21</v>
      </c>
      <c r="L380" s="5" t="s">
        <v>1371</v>
      </c>
      <c r="N380" s="5" t="s">
        <v>1372</v>
      </c>
      <c r="P380" s="5" t="s">
        <v>1336</v>
      </c>
      <c r="Q380" s="6">
        <v>20.0</v>
      </c>
      <c r="R380" s="5" t="s">
        <v>1337</v>
      </c>
      <c r="S380" s="5" t="s">
        <v>1337</v>
      </c>
      <c r="T380" s="5" t="s">
        <v>1338</v>
      </c>
    </row>
    <row r="381">
      <c r="E381" s="5">
        <v>379.0</v>
      </c>
      <c r="F381" s="5" t="s">
        <v>281</v>
      </c>
      <c r="H381" s="5" t="s">
        <v>18</v>
      </c>
      <c r="I381" s="5" t="s">
        <v>1373</v>
      </c>
      <c r="J381" s="5" t="s">
        <v>71</v>
      </c>
      <c r="K381" s="5" t="s">
        <v>21</v>
      </c>
      <c r="L381" s="5" t="s">
        <v>1374</v>
      </c>
      <c r="N381" s="5" t="s">
        <v>1375</v>
      </c>
      <c r="P381" s="5" t="s">
        <v>1336</v>
      </c>
      <c r="Q381" s="6">
        <v>20.0</v>
      </c>
      <c r="R381" s="5" t="s">
        <v>1337</v>
      </c>
      <c r="S381" s="5" t="s">
        <v>1337</v>
      </c>
      <c r="T381" s="5" t="s">
        <v>1338</v>
      </c>
    </row>
    <row r="382">
      <c r="C382" s="14" t="s">
        <v>1376</v>
      </c>
      <c r="E382" s="5">
        <v>380.0</v>
      </c>
      <c r="F382" s="5" t="s">
        <v>95</v>
      </c>
      <c r="H382" s="5" t="s">
        <v>566</v>
      </c>
      <c r="I382" s="5" t="s">
        <v>18</v>
      </c>
      <c r="J382" s="5" t="s">
        <v>1350</v>
      </c>
      <c r="K382" s="5" t="s">
        <v>21</v>
      </c>
      <c r="L382" s="5" t="s">
        <v>1015</v>
      </c>
      <c r="N382" s="5" t="s">
        <v>1003</v>
      </c>
      <c r="P382" s="5" t="s">
        <v>1377</v>
      </c>
      <c r="Q382" s="6">
        <v>62.0</v>
      </c>
      <c r="R382" s="5" t="s">
        <v>1378</v>
      </c>
      <c r="S382" s="5" t="s">
        <v>1378</v>
      </c>
      <c r="T382" s="5" t="s">
        <v>1379</v>
      </c>
    </row>
    <row r="383">
      <c r="E383" s="5">
        <v>381.0</v>
      </c>
      <c r="F383" s="5" t="s">
        <v>17</v>
      </c>
      <c r="H383" s="5" t="s">
        <v>46</v>
      </c>
      <c r="I383" s="5" t="s">
        <v>19</v>
      </c>
      <c r="J383" s="5" t="s">
        <v>1353</v>
      </c>
      <c r="K383" s="5" t="s">
        <v>21</v>
      </c>
      <c r="L383" s="5" t="s">
        <v>1380</v>
      </c>
      <c r="N383" s="5" t="s">
        <v>1381</v>
      </c>
      <c r="O383" s="5" t="s">
        <v>1382</v>
      </c>
      <c r="P383" s="5" t="s">
        <v>1377</v>
      </c>
      <c r="Q383" s="6">
        <v>63.0</v>
      </c>
      <c r="R383" s="5" t="s">
        <v>1378</v>
      </c>
      <c r="S383" s="5" t="s">
        <v>1378</v>
      </c>
      <c r="T383" s="5" t="s">
        <v>1379</v>
      </c>
    </row>
    <row r="384">
      <c r="E384" s="5">
        <v>382.0</v>
      </c>
      <c r="F384" s="5" t="s">
        <v>17</v>
      </c>
      <c r="H384" s="5" t="s">
        <v>18</v>
      </c>
      <c r="I384" s="5" t="s">
        <v>19</v>
      </c>
      <c r="J384" s="5" t="s">
        <v>1383</v>
      </c>
      <c r="K384" s="5" t="s">
        <v>21</v>
      </c>
      <c r="L384" s="5" t="s">
        <v>1384</v>
      </c>
      <c r="M384" s="5" t="s">
        <v>1385</v>
      </c>
      <c r="N384" s="5" t="s">
        <v>1386</v>
      </c>
      <c r="P384" s="5" t="s">
        <v>1377</v>
      </c>
      <c r="Q384" s="6">
        <v>64.0</v>
      </c>
      <c r="R384" s="5" t="s">
        <v>1378</v>
      </c>
      <c r="S384" s="5" t="s">
        <v>1378</v>
      </c>
      <c r="T384" s="5" t="s">
        <v>1379</v>
      </c>
    </row>
    <row r="385">
      <c r="E385" s="5">
        <v>383.0</v>
      </c>
      <c r="F385" s="5" t="s">
        <v>95</v>
      </c>
      <c r="H385" s="5" t="s">
        <v>18</v>
      </c>
      <c r="I385" s="5" t="s">
        <v>78</v>
      </c>
      <c r="J385" s="5" t="s">
        <v>1387</v>
      </c>
      <c r="K385" s="5" t="s">
        <v>21</v>
      </c>
      <c r="L385" s="5" t="s">
        <v>1388</v>
      </c>
      <c r="M385" s="10" t="s">
        <v>1389</v>
      </c>
      <c r="N385" s="5" t="s">
        <v>1390</v>
      </c>
      <c r="P385" s="5" t="s">
        <v>1377</v>
      </c>
      <c r="Q385" s="6">
        <v>66.0</v>
      </c>
      <c r="R385" s="5" t="s">
        <v>1378</v>
      </c>
      <c r="S385" s="5" t="s">
        <v>1378</v>
      </c>
      <c r="T385" s="5" t="s">
        <v>1379</v>
      </c>
    </row>
    <row r="386">
      <c r="E386" s="5">
        <v>384.0</v>
      </c>
      <c r="F386" s="5" t="s">
        <v>95</v>
      </c>
      <c r="H386" s="5" t="s">
        <v>18</v>
      </c>
      <c r="I386" s="5" t="s">
        <v>1373</v>
      </c>
      <c r="J386" s="5" t="s">
        <v>1387</v>
      </c>
      <c r="K386" s="5" t="s">
        <v>21</v>
      </c>
      <c r="L386" s="5" t="s">
        <v>1015</v>
      </c>
      <c r="N386" s="5" t="s">
        <v>1003</v>
      </c>
      <c r="P386" s="5" t="s">
        <v>1377</v>
      </c>
      <c r="Q386" s="6">
        <v>66.0</v>
      </c>
      <c r="R386" s="5" t="s">
        <v>1378</v>
      </c>
      <c r="S386" s="5" t="s">
        <v>1378</v>
      </c>
      <c r="T386" s="5" t="s">
        <v>1379</v>
      </c>
    </row>
    <row r="387">
      <c r="E387" s="5">
        <v>385.0</v>
      </c>
      <c r="F387" s="5" t="s">
        <v>52</v>
      </c>
      <c r="H387" s="5" t="s">
        <v>19</v>
      </c>
      <c r="I387" s="5" t="s">
        <v>18</v>
      </c>
      <c r="J387" s="5" t="s">
        <v>1391</v>
      </c>
      <c r="K387" s="5" t="s">
        <v>21</v>
      </c>
      <c r="L387" s="5" t="s">
        <v>1392</v>
      </c>
      <c r="N387" s="5" t="s">
        <v>1003</v>
      </c>
      <c r="P387" s="5" t="s">
        <v>1377</v>
      </c>
      <c r="Q387" s="6">
        <v>67.0</v>
      </c>
      <c r="R387" s="5" t="s">
        <v>1378</v>
      </c>
      <c r="S387" s="5" t="s">
        <v>1378</v>
      </c>
      <c r="T387" s="5" t="s">
        <v>1379</v>
      </c>
    </row>
    <row r="388">
      <c r="E388" s="5">
        <v>386.0</v>
      </c>
      <c r="F388" s="5" t="s">
        <v>281</v>
      </c>
      <c r="H388" s="5" t="s">
        <v>1351</v>
      </c>
      <c r="I388" s="5" t="s">
        <v>1352</v>
      </c>
      <c r="J388" s="5" t="s">
        <v>1393</v>
      </c>
      <c r="K388" s="5" t="s">
        <v>21</v>
      </c>
      <c r="L388" s="5" t="s">
        <v>1015</v>
      </c>
      <c r="N388" s="5" t="s">
        <v>1003</v>
      </c>
      <c r="P388" s="5" t="s">
        <v>1377</v>
      </c>
      <c r="Q388" s="6">
        <v>69.0</v>
      </c>
      <c r="R388" s="5" t="s">
        <v>1378</v>
      </c>
      <c r="S388" s="5" t="s">
        <v>1378</v>
      </c>
      <c r="T388" s="5" t="s">
        <v>1379</v>
      </c>
    </row>
    <row r="389">
      <c r="E389" s="5">
        <v>387.0</v>
      </c>
      <c r="F389" s="5" t="s">
        <v>281</v>
      </c>
      <c r="H389" s="5" t="s">
        <v>1351</v>
      </c>
      <c r="I389" s="5" t="s">
        <v>1352</v>
      </c>
      <c r="J389" s="5" t="s">
        <v>1394</v>
      </c>
      <c r="K389" s="5" t="s">
        <v>21</v>
      </c>
      <c r="L389" s="5" t="s">
        <v>1395</v>
      </c>
      <c r="M389" s="5" t="s">
        <v>1396</v>
      </c>
      <c r="N389" s="5" t="s">
        <v>1397</v>
      </c>
      <c r="P389" s="5" t="s">
        <v>1377</v>
      </c>
      <c r="Q389" s="6">
        <v>69.0</v>
      </c>
      <c r="R389" s="5" t="s">
        <v>1378</v>
      </c>
      <c r="S389" s="5" t="s">
        <v>1378</v>
      </c>
      <c r="T389" s="5" t="s">
        <v>1379</v>
      </c>
    </row>
    <row r="390">
      <c r="E390" s="5">
        <v>388.0</v>
      </c>
      <c r="F390" s="5" t="s">
        <v>95</v>
      </c>
      <c r="H390" s="5" t="s">
        <v>1398</v>
      </c>
      <c r="I390" s="5" t="s">
        <v>1270</v>
      </c>
      <c r="J390" s="5" t="s">
        <v>470</v>
      </c>
      <c r="K390" s="5" t="s">
        <v>21</v>
      </c>
      <c r="L390" s="5" t="s">
        <v>1399</v>
      </c>
      <c r="N390" s="5" t="s">
        <v>1400</v>
      </c>
      <c r="P390" s="5" t="s">
        <v>1377</v>
      </c>
      <c r="Q390" s="6">
        <v>74.0</v>
      </c>
      <c r="R390" s="5" t="s">
        <v>1378</v>
      </c>
      <c r="S390" s="5" t="s">
        <v>1378</v>
      </c>
      <c r="T390" s="5" t="s">
        <v>1379</v>
      </c>
    </row>
    <row r="391">
      <c r="E391" s="5">
        <v>389.0</v>
      </c>
      <c r="F391" s="5" t="s">
        <v>209</v>
      </c>
      <c r="H391" s="5" t="s">
        <v>161</v>
      </c>
      <c r="I391" s="5" t="s">
        <v>1401</v>
      </c>
      <c r="J391" s="5" t="s">
        <v>1402</v>
      </c>
      <c r="K391" s="5" t="s">
        <v>21</v>
      </c>
      <c r="L391" s="5" t="s">
        <v>1015</v>
      </c>
      <c r="N391" s="5" t="s">
        <v>1003</v>
      </c>
      <c r="P391" s="5" t="s">
        <v>1377</v>
      </c>
      <c r="Q391" s="6">
        <v>75.0</v>
      </c>
      <c r="R391" s="5" t="s">
        <v>1378</v>
      </c>
      <c r="S391" s="5" t="s">
        <v>1378</v>
      </c>
      <c r="T391" s="5" t="s">
        <v>1379</v>
      </c>
    </row>
    <row r="392">
      <c r="E392" s="5">
        <v>390.0</v>
      </c>
      <c r="F392" s="5" t="s">
        <v>209</v>
      </c>
      <c r="H392" s="5" t="s">
        <v>161</v>
      </c>
      <c r="I392" s="5" t="s">
        <v>1401</v>
      </c>
      <c r="J392" s="5" t="s">
        <v>1387</v>
      </c>
      <c r="K392" s="5" t="s">
        <v>21</v>
      </c>
      <c r="L392" s="5" t="s">
        <v>1015</v>
      </c>
      <c r="N392" s="5" t="s">
        <v>1003</v>
      </c>
      <c r="P392" s="5" t="s">
        <v>1377</v>
      </c>
      <c r="Q392" s="6">
        <v>75.0</v>
      </c>
      <c r="R392" s="5" t="s">
        <v>1378</v>
      </c>
      <c r="S392" s="5" t="s">
        <v>1378</v>
      </c>
      <c r="T392" s="5" t="s">
        <v>1379</v>
      </c>
    </row>
    <row r="393">
      <c r="E393" s="5">
        <v>391.0</v>
      </c>
      <c r="F393" s="5" t="s">
        <v>17</v>
      </c>
      <c r="H393" s="5" t="s">
        <v>142</v>
      </c>
      <c r="I393" s="5" t="s">
        <v>19</v>
      </c>
      <c r="J393" s="5" t="s">
        <v>1339</v>
      </c>
      <c r="K393" s="5" t="s">
        <v>21</v>
      </c>
      <c r="L393" s="5" t="s">
        <v>1015</v>
      </c>
      <c r="N393" s="5" t="s">
        <v>1003</v>
      </c>
      <c r="P393" s="5" t="s">
        <v>1377</v>
      </c>
      <c r="Q393" s="6">
        <v>75.0</v>
      </c>
      <c r="R393" s="5" t="s">
        <v>1378</v>
      </c>
      <c r="S393" s="5" t="s">
        <v>1378</v>
      </c>
      <c r="T393" s="5" t="s">
        <v>1379</v>
      </c>
    </row>
    <row r="394">
      <c r="E394" s="5">
        <v>392.0</v>
      </c>
      <c r="F394" s="5" t="s">
        <v>95</v>
      </c>
      <c r="H394" s="5" t="s">
        <v>161</v>
      </c>
      <c r="I394" s="5" t="s">
        <v>1403</v>
      </c>
      <c r="J394" s="5" t="s">
        <v>1404</v>
      </c>
      <c r="K394" s="5" t="s">
        <v>21</v>
      </c>
      <c r="L394" s="5" t="s">
        <v>1015</v>
      </c>
      <c r="N394" s="5" t="s">
        <v>1003</v>
      </c>
      <c r="P394" s="5" t="s">
        <v>1377</v>
      </c>
      <c r="Q394" s="6">
        <v>75.0</v>
      </c>
      <c r="R394" s="5" t="s">
        <v>1378</v>
      </c>
      <c r="S394" s="5" t="s">
        <v>1378</v>
      </c>
      <c r="T394" s="5" t="s">
        <v>1379</v>
      </c>
    </row>
    <row r="395">
      <c r="E395" s="5">
        <v>393.0</v>
      </c>
      <c r="F395" s="5" t="s">
        <v>95</v>
      </c>
      <c r="H395" s="5" t="s">
        <v>161</v>
      </c>
      <c r="I395" s="5" t="s">
        <v>363</v>
      </c>
      <c r="J395" s="5" t="s">
        <v>1405</v>
      </c>
      <c r="K395" s="5" t="s">
        <v>21</v>
      </c>
      <c r="L395" s="5" t="s">
        <v>1015</v>
      </c>
      <c r="N395" s="5" t="s">
        <v>1003</v>
      </c>
      <c r="P395" s="5" t="s">
        <v>1377</v>
      </c>
      <c r="Q395" s="6">
        <v>75.0</v>
      </c>
      <c r="R395" s="5" t="s">
        <v>1378</v>
      </c>
      <c r="S395" s="5" t="s">
        <v>1378</v>
      </c>
      <c r="T395" s="5" t="s">
        <v>1379</v>
      </c>
    </row>
    <row r="396">
      <c r="E396" s="5">
        <v>394.0</v>
      </c>
      <c r="F396" s="5" t="s">
        <v>209</v>
      </c>
      <c r="H396" s="5" t="s">
        <v>545</v>
      </c>
      <c r="I396" s="5" t="s">
        <v>1086</v>
      </c>
      <c r="J396" s="5" t="s">
        <v>1353</v>
      </c>
      <c r="K396" s="5" t="s">
        <v>21</v>
      </c>
      <c r="L396" s="5" t="s">
        <v>1015</v>
      </c>
      <c r="N396" s="5" t="s">
        <v>1003</v>
      </c>
      <c r="P396" s="5" t="s">
        <v>1377</v>
      </c>
      <c r="Q396" s="6" t="s">
        <v>1406</v>
      </c>
      <c r="R396" s="5" t="s">
        <v>1378</v>
      </c>
      <c r="S396" s="5" t="s">
        <v>1378</v>
      </c>
      <c r="T396" s="5" t="s">
        <v>1379</v>
      </c>
    </row>
    <row r="397">
      <c r="E397" s="5">
        <v>395.0</v>
      </c>
      <c r="F397" s="5" t="s">
        <v>209</v>
      </c>
      <c r="H397" s="5" t="s">
        <v>545</v>
      </c>
      <c r="I397" s="5" t="s">
        <v>1086</v>
      </c>
      <c r="J397" s="5" t="s">
        <v>1407</v>
      </c>
      <c r="K397" s="5" t="s">
        <v>21</v>
      </c>
      <c r="L397" s="5" t="s">
        <v>1015</v>
      </c>
      <c r="N397" s="5" t="s">
        <v>1003</v>
      </c>
      <c r="P397" s="5" t="s">
        <v>1377</v>
      </c>
      <c r="Q397" s="6">
        <v>78.0</v>
      </c>
      <c r="R397" s="5" t="s">
        <v>1378</v>
      </c>
      <c r="S397" s="5" t="s">
        <v>1378</v>
      </c>
      <c r="T397" s="5" t="s">
        <v>1379</v>
      </c>
    </row>
    <row r="398">
      <c r="E398" s="5">
        <v>396.0</v>
      </c>
      <c r="F398" s="5" t="s">
        <v>229</v>
      </c>
      <c r="H398" s="5" t="s">
        <v>1408</v>
      </c>
      <c r="I398" s="5" t="s">
        <v>468</v>
      </c>
      <c r="J398" s="5" t="s">
        <v>1409</v>
      </c>
      <c r="K398" s="5" t="s">
        <v>21</v>
      </c>
      <c r="L398" s="5" t="s">
        <v>1015</v>
      </c>
      <c r="N398" s="5" t="s">
        <v>1003</v>
      </c>
      <c r="P398" s="5" t="s">
        <v>1377</v>
      </c>
      <c r="Q398" s="6">
        <v>79.0</v>
      </c>
      <c r="R398" s="5" t="s">
        <v>1378</v>
      </c>
      <c r="S398" s="5" t="s">
        <v>1378</v>
      </c>
      <c r="T398" s="5" t="s">
        <v>1379</v>
      </c>
    </row>
    <row r="399">
      <c r="E399" s="5">
        <v>397.0</v>
      </c>
      <c r="F399" s="5" t="s">
        <v>229</v>
      </c>
      <c r="H399" s="5" t="s">
        <v>1410</v>
      </c>
      <c r="I399" s="5" t="s">
        <v>1411</v>
      </c>
      <c r="J399" s="5" t="s">
        <v>1409</v>
      </c>
      <c r="K399" s="5" t="s">
        <v>21</v>
      </c>
      <c r="L399" s="5" t="s">
        <v>1015</v>
      </c>
      <c r="N399" s="5" t="s">
        <v>1003</v>
      </c>
      <c r="P399" s="5" t="s">
        <v>1377</v>
      </c>
      <c r="Q399" s="6">
        <v>79.0</v>
      </c>
      <c r="R399" s="5" t="s">
        <v>1378</v>
      </c>
      <c r="S399" s="5" t="s">
        <v>1378</v>
      </c>
      <c r="T399" s="5" t="s">
        <v>1379</v>
      </c>
    </row>
    <row r="400">
      <c r="E400" s="5">
        <v>398.0</v>
      </c>
      <c r="F400" s="5" t="s">
        <v>229</v>
      </c>
      <c r="H400" s="5" t="s">
        <v>291</v>
      </c>
      <c r="I400" s="5" t="s">
        <v>1359</v>
      </c>
      <c r="J400" s="5" t="s">
        <v>1412</v>
      </c>
      <c r="K400" s="5" t="s">
        <v>21</v>
      </c>
      <c r="L400" s="5" t="s">
        <v>1015</v>
      </c>
      <c r="N400" s="5" t="s">
        <v>1003</v>
      </c>
      <c r="P400" s="5" t="s">
        <v>1377</v>
      </c>
      <c r="Q400" s="6">
        <v>80.0</v>
      </c>
      <c r="R400" s="5" t="s">
        <v>1378</v>
      </c>
      <c r="S400" s="5" t="s">
        <v>1378</v>
      </c>
      <c r="T400" s="5" t="s">
        <v>1379</v>
      </c>
    </row>
    <row r="401">
      <c r="E401" s="5">
        <v>399.0</v>
      </c>
      <c r="F401" s="5" t="s">
        <v>229</v>
      </c>
      <c r="H401" s="5" t="s">
        <v>291</v>
      </c>
      <c r="I401" s="5" t="s">
        <v>1359</v>
      </c>
      <c r="J401" s="5" t="s">
        <v>1413</v>
      </c>
      <c r="K401" s="5" t="s">
        <v>21</v>
      </c>
      <c r="L401" s="5" t="s">
        <v>1015</v>
      </c>
      <c r="N401" s="5" t="s">
        <v>1003</v>
      </c>
      <c r="P401" s="5" t="s">
        <v>1377</v>
      </c>
      <c r="Q401" s="6">
        <v>80.0</v>
      </c>
      <c r="R401" s="5" t="s">
        <v>1378</v>
      </c>
      <c r="S401" s="5" t="s">
        <v>1378</v>
      </c>
      <c r="T401" s="5" t="s">
        <v>1379</v>
      </c>
    </row>
    <row r="402">
      <c r="E402" s="5">
        <v>400.0</v>
      </c>
      <c r="F402" s="5" t="s">
        <v>229</v>
      </c>
      <c r="H402" s="5" t="s">
        <v>1414</v>
      </c>
      <c r="I402" s="5" t="s">
        <v>135</v>
      </c>
      <c r="J402" s="5" t="s">
        <v>1415</v>
      </c>
      <c r="K402" s="5" t="s">
        <v>21</v>
      </c>
      <c r="L402" s="5" t="s">
        <v>1015</v>
      </c>
      <c r="N402" s="5" t="s">
        <v>1003</v>
      </c>
      <c r="P402" s="5" t="s">
        <v>1377</v>
      </c>
      <c r="Q402" s="6">
        <v>80.0</v>
      </c>
      <c r="R402" s="5" t="s">
        <v>1378</v>
      </c>
      <c r="S402" s="5" t="s">
        <v>1378</v>
      </c>
      <c r="T402" s="5" t="s">
        <v>1379</v>
      </c>
    </row>
    <row r="403">
      <c r="E403" s="5">
        <v>401.0</v>
      </c>
      <c r="F403" s="5" t="s">
        <v>95</v>
      </c>
      <c r="H403" s="5" t="s">
        <v>1416</v>
      </c>
      <c r="I403" s="5" t="s">
        <v>1417</v>
      </c>
      <c r="J403" s="5" t="s">
        <v>1418</v>
      </c>
      <c r="K403" s="5" t="s">
        <v>21</v>
      </c>
      <c r="L403" s="5" t="s">
        <v>1015</v>
      </c>
      <c r="N403" s="5" t="s">
        <v>1003</v>
      </c>
      <c r="P403" s="5" t="s">
        <v>1377</v>
      </c>
      <c r="Q403" s="6">
        <v>81.0</v>
      </c>
      <c r="R403" s="5" t="s">
        <v>1378</v>
      </c>
      <c r="S403" s="5" t="s">
        <v>1378</v>
      </c>
      <c r="T403" s="5" t="s">
        <v>1379</v>
      </c>
    </row>
    <row r="404">
      <c r="E404" s="5">
        <v>402.0</v>
      </c>
      <c r="F404" s="5" t="s">
        <v>95</v>
      </c>
      <c r="H404" s="5" t="s">
        <v>1419</v>
      </c>
      <c r="I404" s="5" t="s">
        <v>1420</v>
      </c>
      <c r="J404" s="5" t="s">
        <v>1421</v>
      </c>
      <c r="K404" s="5" t="s">
        <v>21</v>
      </c>
      <c r="L404" s="5" t="s">
        <v>1015</v>
      </c>
      <c r="N404" s="5" t="s">
        <v>1003</v>
      </c>
      <c r="P404" s="5" t="s">
        <v>1377</v>
      </c>
      <c r="Q404" s="6">
        <v>82.0</v>
      </c>
      <c r="R404" s="5" t="s">
        <v>1378</v>
      </c>
      <c r="S404" s="5" t="s">
        <v>1378</v>
      </c>
      <c r="T404" s="5" t="s">
        <v>1379</v>
      </c>
    </row>
    <row r="405">
      <c r="E405" s="5">
        <v>403.0</v>
      </c>
      <c r="F405" s="5" t="s">
        <v>95</v>
      </c>
      <c r="H405" s="5" t="s">
        <v>1419</v>
      </c>
      <c r="I405" s="5" t="s">
        <v>1420</v>
      </c>
      <c r="J405" s="5" t="s">
        <v>1422</v>
      </c>
      <c r="K405" s="5" t="s">
        <v>21</v>
      </c>
      <c r="L405" s="5" t="s">
        <v>1015</v>
      </c>
      <c r="N405" s="5" t="s">
        <v>1003</v>
      </c>
      <c r="P405" s="5" t="s">
        <v>1377</v>
      </c>
      <c r="Q405" s="6">
        <v>82.0</v>
      </c>
      <c r="R405" s="5" t="s">
        <v>1378</v>
      </c>
      <c r="S405" s="5" t="s">
        <v>1378</v>
      </c>
      <c r="T405" s="5" t="s">
        <v>1379</v>
      </c>
    </row>
    <row r="406">
      <c r="E406" s="5">
        <v>404.0</v>
      </c>
      <c r="F406" s="5" t="s">
        <v>95</v>
      </c>
      <c r="H406" s="5" t="s">
        <v>1423</v>
      </c>
      <c r="I406" s="5" t="s">
        <v>1424</v>
      </c>
      <c r="J406" s="5" t="s">
        <v>1425</v>
      </c>
      <c r="K406" s="5" t="s">
        <v>21</v>
      </c>
      <c r="L406" s="5" t="s">
        <v>1015</v>
      </c>
      <c r="N406" s="5" t="s">
        <v>1003</v>
      </c>
      <c r="P406" s="5" t="s">
        <v>1377</v>
      </c>
      <c r="Q406" s="6">
        <v>82.0</v>
      </c>
      <c r="R406" s="5" t="s">
        <v>1378</v>
      </c>
      <c r="S406" s="5" t="s">
        <v>1378</v>
      </c>
      <c r="T406" s="5" t="s">
        <v>1379</v>
      </c>
    </row>
    <row r="407">
      <c r="E407" s="5">
        <v>405.0</v>
      </c>
      <c r="F407" s="5" t="s">
        <v>190</v>
      </c>
      <c r="H407" s="5" t="s">
        <v>1351</v>
      </c>
      <c r="I407" s="5" t="s">
        <v>1352</v>
      </c>
      <c r="J407" s="5" t="s">
        <v>1426</v>
      </c>
      <c r="K407" s="5" t="s">
        <v>21</v>
      </c>
      <c r="L407" s="5" t="s">
        <v>1015</v>
      </c>
      <c r="N407" s="5" t="s">
        <v>1003</v>
      </c>
      <c r="P407" s="5" t="s">
        <v>1377</v>
      </c>
      <c r="Q407" s="6">
        <v>83.0</v>
      </c>
      <c r="R407" s="5" t="s">
        <v>1378</v>
      </c>
      <c r="S407" s="5" t="s">
        <v>1378</v>
      </c>
      <c r="T407" s="5" t="s">
        <v>1379</v>
      </c>
    </row>
    <row r="408">
      <c r="C408" s="14" t="s">
        <v>1427</v>
      </c>
      <c r="E408" s="5">
        <v>406.0</v>
      </c>
      <c r="F408" s="5" t="s">
        <v>95</v>
      </c>
      <c r="H408" s="5" t="s">
        <v>260</v>
      </c>
      <c r="I408" s="5" t="s">
        <v>261</v>
      </c>
      <c r="J408" s="5" t="s">
        <v>1418</v>
      </c>
      <c r="K408" s="5" t="s">
        <v>21</v>
      </c>
      <c r="L408" s="5" t="s">
        <v>1015</v>
      </c>
      <c r="N408" s="5" t="s">
        <v>1003</v>
      </c>
      <c r="P408" s="5" t="s">
        <v>1428</v>
      </c>
      <c r="Q408" s="6">
        <v>39.0</v>
      </c>
      <c r="R408" s="5" t="s">
        <v>1429</v>
      </c>
      <c r="S408" s="5" t="s">
        <v>1429</v>
      </c>
      <c r="T408" s="5" t="s">
        <v>1430</v>
      </c>
    </row>
    <row r="409">
      <c r="E409" s="5">
        <v>407.0</v>
      </c>
      <c r="F409" s="5" t="s">
        <v>281</v>
      </c>
      <c r="H409" s="5" t="s">
        <v>282</v>
      </c>
      <c r="I409" s="5" t="s">
        <v>283</v>
      </c>
      <c r="J409" s="5" t="s">
        <v>1431</v>
      </c>
      <c r="K409" s="5" t="s">
        <v>21</v>
      </c>
      <c r="L409" s="5" t="s">
        <v>1015</v>
      </c>
      <c r="N409" s="5" t="s">
        <v>1003</v>
      </c>
      <c r="O409" s="5" t="s">
        <v>1432</v>
      </c>
      <c r="P409" s="5" t="s">
        <v>1428</v>
      </c>
      <c r="Q409" s="6">
        <v>40.0</v>
      </c>
      <c r="R409" s="5" t="s">
        <v>1429</v>
      </c>
      <c r="S409" s="5" t="s">
        <v>1429</v>
      </c>
      <c r="T409" s="5" t="s">
        <v>1430</v>
      </c>
    </row>
    <row r="410">
      <c r="E410" s="5">
        <v>408.0</v>
      </c>
      <c r="F410" s="5" t="s">
        <v>281</v>
      </c>
      <c r="H410" s="5" t="s">
        <v>658</v>
      </c>
      <c r="I410" s="5" t="s">
        <v>675</v>
      </c>
      <c r="J410" s="5" t="s">
        <v>71</v>
      </c>
      <c r="K410" s="5" t="s">
        <v>21</v>
      </c>
      <c r="L410" s="5" t="s">
        <v>1015</v>
      </c>
      <c r="N410" s="5" t="s">
        <v>1003</v>
      </c>
      <c r="P410" s="5" t="s">
        <v>1428</v>
      </c>
      <c r="Q410" s="6">
        <v>40.0</v>
      </c>
      <c r="R410" s="5" t="s">
        <v>1429</v>
      </c>
      <c r="S410" s="5" t="s">
        <v>1429</v>
      </c>
      <c r="T410" s="5" t="s">
        <v>1430</v>
      </c>
    </row>
    <row r="411">
      <c r="E411" s="5">
        <v>409.0</v>
      </c>
      <c r="F411" s="5" t="s">
        <v>281</v>
      </c>
      <c r="H411" s="5" t="s">
        <v>1433</v>
      </c>
      <c r="I411" s="5" t="s">
        <v>675</v>
      </c>
      <c r="J411" s="5" t="s">
        <v>71</v>
      </c>
      <c r="K411" s="5" t="s">
        <v>21</v>
      </c>
      <c r="L411" s="5" t="s">
        <v>1015</v>
      </c>
      <c r="N411" s="5" t="s">
        <v>1003</v>
      </c>
      <c r="P411" s="5" t="s">
        <v>1428</v>
      </c>
      <c r="Q411" s="6">
        <v>40.0</v>
      </c>
      <c r="R411" s="5" t="s">
        <v>1429</v>
      </c>
      <c r="S411" s="5" t="s">
        <v>1429</v>
      </c>
      <c r="T411" s="5" t="s">
        <v>1430</v>
      </c>
    </row>
    <row r="412">
      <c r="E412" s="5">
        <v>410.0</v>
      </c>
      <c r="F412" s="5" t="s">
        <v>281</v>
      </c>
      <c r="H412" s="5" t="s">
        <v>658</v>
      </c>
      <c r="I412" s="5" t="s">
        <v>659</v>
      </c>
      <c r="J412" s="5" t="s">
        <v>71</v>
      </c>
      <c r="K412" s="5" t="s">
        <v>21</v>
      </c>
      <c r="L412" s="5" t="s">
        <v>1015</v>
      </c>
      <c r="N412" s="5" t="s">
        <v>1003</v>
      </c>
      <c r="P412" s="5" t="s">
        <v>1428</v>
      </c>
      <c r="Q412" s="6">
        <v>40.0</v>
      </c>
      <c r="R412" s="5" t="s">
        <v>1429</v>
      </c>
      <c r="S412" s="5" t="s">
        <v>1429</v>
      </c>
      <c r="T412" s="5" t="s">
        <v>1430</v>
      </c>
    </row>
    <row r="413">
      <c r="E413" s="5">
        <v>411.0</v>
      </c>
      <c r="F413" s="5" t="s">
        <v>281</v>
      </c>
      <c r="H413" s="5" t="s">
        <v>667</v>
      </c>
      <c r="I413" s="5" t="s">
        <v>659</v>
      </c>
      <c r="J413" s="5" t="s">
        <v>71</v>
      </c>
      <c r="K413" s="5" t="s">
        <v>21</v>
      </c>
      <c r="L413" s="5" t="s">
        <v>1015</v>
      </c>
      <c r="N413" s="5" t="s">
        <v>1003</v>
      </c>
      <c r="P413" s="5" t="s">
        <v>1428</v>
      </c>
      <c r="Q413" s="6">
        <v>40.0</v>
      </c>
      <c r="R413" s="5" t="s">
        <v>1429</v>
      </c>
      <c r="S413" s="5" t="s">
        <v>1429</v>
      </c>
      <c r="T413" s="5" t="s">
        <v>1430</v>
      </c>
    </row>
    <row r="414">
      <c r="E414" s="5">
        <v>412.0</v>
      </c>
      <c r="F414" s="5" t="s">
        <v>281</v>
      </c>
      <c r="H414" s="5" t="s">
        <v>667</v>
      </c>
      <c r="I414" s="5" t="s">
        <v>1433</v>
      </c>
      <c r="J414" s="5" t="s">
        <v>71</v>
      </c>
      <c r="K414" s="5" t="s">
        <v>21</v>
      </c>
      <c r="L414" s="5" t="s">
        <v>1015</v>
      </c>
      <c r="N414" s="5" t="s">
        <v>1003</v>
      </c>
      <c r="P414" s="5" t="s">
        <v>1428</v>
      </c>
      <c r="Q414" s="6">
        <v>40.0</v>
      </c>
      <c r="R414" s="5" t="s">
        <v>1429</v>
      </c>
      <c r="S414" s="5" t="s">
        <v>1429</v>
      </c>
      <c r="T414" s="5" t="s">
        <v>1430</v>
      </c>
    </row>
    <row r="415">
      <c r="E415" s="5">
        <v>413.0</v>
      </c>
      <c r="F415" s="5" t="s">
        <v>17</v>
      </c>
      <c r="H415" s="5" t="s">
        <v>1434</v>
      </c>
      <c r="I415" s="5" t="s">
        <v>19</v>
      </c>
      <c r="J415" s="5" t="s">
        <v>71</v>
      </c>
      <c r="K415" s="5" t="s">
        <v>21</v>
      </c>
      <c r="L415" s="5" t="s">
        <v>1015</v>
      </c>
      <c r="N415" s="5" t="s">
        <v>1003</v>
      </c>
      <c r="P415" s="5" t="s">
        <v>1428</v>
      </c>
      <c r="Q415" s="6">
        <v>41.0</v>
      </c>
      <c r="R415" s="5" t="s">
        <v>1429</v>
      </c>
      <c r="S415" s="5" t="s">
        <v>1429</v>
      </c>
      <c r="T415" s="5" t="s">
        <v>1430</v>
      </c>
    </row>
    <row r="416">
      <c r="E416" s="5">
        <v>414.0</v>
      </c>
      <c r="F416" s="5" t="s">
        <v>95</v>
      </c>
      <c r="H416" s="5" t="s">
        <v>1435</v>
      </c>
      <c r="I416" s="5" t="s">
        <v>1436</v>
      </c>
      <c r="J416" s="5" t="s">
        <v>1437</v>
      </c>
      <c r="K416" s="5" t="s">
        <v>21</v>
      </c>
      <c r="L416" s="5" t="s">
        <v>1015</v>
      </c>
      <c r="N416" s="5" t="s">
        <v>1003</v>
      </c>
      <c r="P416" s="5" t="s">
        <v>1428</v>
      </c>
      <c r="Q416" s="6">
        <v>43.0</v>
      </c>
      <c r="R416" s="5" t="s">
        <v>1429</v>
      </c>
      <c r="S416" s="5" t="s">
        <v>1429</v>
      </c>
      <c r="T416" s="5" t="s">
        <v>1430</v>
      </c>
    </row>
    <row r="417">
      <c r="E417" s="5">
        <v>415.0</v>
      </c>
      <c r="F417" s="5" t="s">
        <v>95</v>
      </c>
      <c r="G417" s="5" t="s">
        <v>409</v>
      </c>
      <c r="H417" s="5" t="s">
        <v>1062</v>
      </c>
      <c r="I417" s="5" t="s">
        <v>723</v>
      </c>
      <c r="J417" s="5" t="s">
        <v>1438</v>
      </c>
      <c r="K417" s="5" t="s">
        <v>21</v>
      </c>
      <c r="L417" s="5" t="s">
        <v>1015</v>
      </c>
      <c r="N417" s="5" t="s">
        <v>1003</v>
      </c>
      <c r="P417" s="5" t="s">
        <v>1428</v>
      </c>
      <c r="Q417" s="6">
        <v>43.0</v>
      </c>
      <c r="R417" s="5" t="s">
        <v>1429</v>
      </c>
      <c r="S417" s="5" t="s">
        <v>1429</v>
      </c>
      <c r="T417" s="5" t="s">
        <v>1430</v>
      </c>
    </row>
    <row r="418">
      <c r="E418" s="5">
        <v>416.0</v>
      </c>
      <c r="F418" s="5" t="s">
        <v>95</v>
      </c>
      <c r="H418" s="5" t="s">
        <v>1439</v>
      </c>
      <c r="I418" s="5" t="s">
        <v>769</v>
      </c>
      <c r="J418" s="5" t="s">
        <v>1440</v>
      </c>
      <c r="K418" s="5" t="s">
        <v>21</v>
      </c>
      <c r="L418" s="5" t="s">
        <v>1015</v>
      </c>
      <c r="N418" s="5" t="s">
        <v>1003</v>
      </c>
      <c r="P418" s="5" t="s">
        <v>1428</v>
      </c>
      <c r="Q418" s="6">
        <v>43.0</v>
      </c>
      <c r="R418" s="5" t="s">
        <v>1429</v>
      </c>
      <c r="S418" s="5" t="s">
        <v>1429</v>
      </c>
      <c r="T418" s="5" t="s">
        <v>1430</v>
      </c>
    </row>
    <row r="419">
      <c r="E419" s="5">
        <v>417.0</v>
      </c>
      <c r="F419" s="5" t="s">
        <v>95</v>
      </c>
      <c r="H419" s="5" t="s">
        <v>1441</v>
      </c>
      <c r="I419" s="5" t="s">
        <v>777</v>
      </c>
      <c r="J419" s="5" t="s">
        <v>1442</v>
      </c>
      <c r="K419" s="5" t="s">
        <v>21</v>
      </c>
      <c r="L419" s="5" t="s">
        <v>1015</v>
      </c>
      <c r="N419" s="5" t="s">
        <v>1003</v>
      </c>
      <c r="P419" s="5" t="s">
        <v>1428</v>
      </c>
      <c r="Q419" s="6">
        <v>43.0</v>
      </c>
      <c r="R419" s="5" t="s">
        <v>1429</v>
      </c>
      <c r="S419" s="5" t="s">
        <v>1429</v>
      </c>
      <c r="T419" s="5" t="s">
        <v>1430</v>
      </c>
    </row>
    <row r="420">
      <c r="E420" s="5">
        <v>418.0</v>
      </c>
      <c r="F420" s="5" t="s">
        <v>95</v>
      </c>
      <c r="H420" s="5" t="s">
        <v>751</v>
      </c>
      <c r="I420" s="5" t="s">
        <v>1066</v>
      </c>
      <c r="J420" s="5" t="s">
        <v>1315</v>
      </c>
      <c r="K420" s="5" t="s">
        <v>21</v>
      </c>
      <c r="L420" s="5" t="s">
        <v>1015</v>
      </c>
      <c r="N420" s="5" t="s">
        <v>1003</v>
      </c>
      <c r="P420" s="5" t="s">
        <v>1428</v>
      </c>
      <c r="Q420" s="6">
        <v>43.0</v>
      </c>
      <c r="R420" s="5" t="s">
        <v>1429</v>
      </c>
      <c r="S420" s="5" t="s">
        <v>1429</v>
      </c>
      <c r="T420" s="5" t="s">
        <v>1430</v>
      </c>
    </row>
    <row r="421">
      <c r="E421" s="5">
        <v>419.0</v>
      </c>
      <c r="F421" s="5" t="s">
        <v>95</v>
      </c>
      <c r="H421" s="5" t="s">
        <v>1443</v>
      </c>
      <c r="I421" s="5" t="s">
        <v>1444</v>
      </c>
      <c r="J421" s="5" t="s">
        <v>1315</v>
      </c>
      <c r="K421" s="5" t="s">
        <v>21</v>
      </c>
      <c r="L421" s="5" t="s">
        <v>1015</v>
      </c>
      <c r="N421" s="5" t="s">
        <v>1003</v>
      </c>
      <c r="P421" s="5" t="s">
        <v>1428</v>
      </c>
      <c r="Q421" s="6">
        <v>43.0</v>
      </c>
      <c r="R421" s="5" t="s">
        <v>1429</v>
      </c>
      <c r="S421" s="5" t="s">
        <v>1429</v>
      </c>
      <c r="T421" s="5" t="s">
        <v>1430</v>
      </c>
    </row>
    <row r="422">
      <c r="E422" s="5">
        <v>420.0</v>
      </c>
      <c r="F422" s="5" t="s">
        <v>190</v>
      </c>
      <c r="G422" s="5" t="s">
        <v>1445</v>
      </c>
      <c r="H422" s="5" t="s">
        <v>1443</v>
      </c>
      <c r="I422" s="5" t="s">
        <v>947</v>
      </c>
      <c r="J422" s="5" t="s">
        <v>1446</v>
      </c>
      <c r="K422" s="5" t="s">
        <v>21</v>
      </c>
      <c r="L422" s="5" t="s">
        <v>1015</v>
      </c>
      <c r="N422" s="5" t="s">
        <v>1003</v>
      </c>
      <c r="P422" s="5" t="s">
        <v>1428</v>
      </c>
      <c r="Q422" s="6">
        <v>43.0</v>
      </c>
      <c r="R422" s="5" t="s">
        <v>1429</v>
      </c>
      <c r="S422" s="5" t="s">
        <v>1429</v>
      </c>
      <c r="T422" s="5" t="s">
        <v>1430</v>
      </c>
    </row>
    <row r="423">
      <c r="E423" s="5">
        <v>421.0</v>
      </c>
      <c r="F423" s="5" t="s">
        <v>281</v>
      </c>
      <c r="H423" s="5" t="s">
        <v>1447</v>
      </c>
      <c r="I423" s="5" t="s">
        <v>1448</v>
      </c>
      <c r="J423" s="5" t="s">
        <v>71</v>
      </c>
      <c r="K423" s="5" t="s">
        <v>21</v>
      </c>
      <c r="L423" s="5" t="s">
        <v>1015</v>
      </c>
      <c r="N423" s="5" t="s">
        <v>1003</v>
      </c>
      <c r="P423" s="5" t="s">
        <v>1428</v>
      </c>
      <c r="Q423" s="6" t="s">
        <v>1449</v>
      </c>
      <c r="R423" s="5" t="s">
        <v>1429</v>
      </c>
      <c r="S423" s="5" t="s">
        <v>1429</v>
      </c>
      <c r="T423" s="5" t="s">
        <v>1430</v>
      </c>
    </row>
    <row r="424">
      <c r="E424" s="5">
        <v>422.0</v>
      </c>
      <c r="F424" s="5" t="s">
        <v>281</v>
      </c>
      <c r="H424" s="5" t="s">
        <v>776</v>
      </c>
      <c r="I424" s="5" t="s">
        <v>901</v>
      </c>
      <c r="J424" s="5" t="s">
        <v>71</v>
      </c>
      <c r="K424" s="5" t="s">
        <v>21</v>
      </c>
      <c r="L424" s="5" t="s">
        <v>1015</v>
      </c>
      <c r="N424" s="5" t="s">
        <v>1003</v>
      </c>
      <c r="P424" s="5" t="s">
        <v>1428</v>
      </c>
      <c r="Q424" s="6" t="s">
        <v>1449</v>
      </c>
      <c r="R424" s="5" t="s">
        <v>1429</v>
      </c>
      <c r="S424" s="5" t="s">
        <v>1429</v>
      </c>
      <c r="T424" s="5" t="s">
        <v>1430</v>
      </c>
    </row>
    <row r="425">
      <c r="E425" s="5">
        <v>423.0</v>
      </c>
      <c r="F425" s="5" t="s">
        <v>281</v>
      </c>
      <c r="H425" s="5" t="s">
        <v>1450</v>
      </c>
      <c r="I425" s="5" t="s">
        <v>1451</v>
      </c>
      <c r="J425" s="5" t="s">
        <v>71</v>
      </c>
      <c r="K425" s="5" t="s">
        <v>21</v>
      </c>
      <c r="L425" s="5" t="s">
        <v>1015</v>
      </c>
      <c r="N425" s="5" t="s">
        <v>1003</v>
      </c>
      <c r="P425" s="5" t="s">
        <v>1428</v>
      </c>
      <c r="Q425" s="6" t="s">
        <v>1449</v>
      </c>
      <c r="R425" s="5" t="s">
        <v>1429</v>
      </c>
      <c r="S425" s="5" t="s">
        <v>1429</v>
      </c>
      <c r="T425" s="5" t="s">
        <v>1430</v>
      </c>
    </row>
    <row r="426">
      <c r="E426" s="5">
        <v>424.0</v>
      </c>
      <c r="F426" s="5" t="s">
        <v>281</v>
      </c>
      <c r="H426" s="5" t="s">
        <v>1450</v>
      </c>
      <c r="I426" s="5" t="s">
        <v>1452</v>
      </c>
      <c r="J426" s="5" t="s">
        <v>71</v>
      </c>
      <c r="K426" s="5" t="s">
        <v>21</v>
      </c>
      <c r="L426" s="5" t="s">
        <v>1015</v>
      </c>
      <c r="N426" s="5" t="s">
        <v>1003</v>
      </c>
      <c r="P426" s="5" t="s">
        <v>1428</v>
      </c>
      <c r="Q426" s="6" t="s">
        <v>1449</v>
      </c>
      <c r="R426" s="5" t="s">
        <v>1429</v>
      </c>
      <c r="S426" s="5" t="s">
        <v>1429</v>
      </c>
      <c r="T426" s="5" t="s">
        <v>1430</v>
      </c>
    </row>
    <row r="427">
      <c r="E427" s="5">
        <v>425.0</v>
      </c>
      <c r="F427" s="5" t="s">
        <v>281</v>
      </c>
      <c r="H427" s="5" t="s">
        <v>901</v>
      </c>
      <c r="I427" s="5" t="s">
        <v>1452</v>
      </c>
      <c r="J427" s="5" t="s">
        <v>71</v>
      </c>
      <c r="K427" s="5" t="s">
        <v>21</v>
      </c>
      <c r="L427" s="5" t="s">
        <v>1015</v>
      </c>
      <c r="N427" s="5" t="s">
        <v>1003</v>
      </c>
      <c r="P427" s="5" t="s">
        <v>1428</v>
      </c>
      <c r="Q427" s="6" t="s">
        <v>1449</v>
      </c>
      <c r="R427" s="5" t="s">
        <v>1429</v>
      </c>
      <c r="S427" s="5" t="s">
        <v>1429</v>
      </c>
      <c r="T427" s="5" t="s">
        <v>1430</v>
      </c>
    </row>
    <row r="428">
      <c r="E428" s="5">
        <v>426.0</v>
      </c>
      <c r="F428" s="5" t="s">
        <v>281</v>
      </c>
      <c r="H428" s="5" t="s">
        <v>1452</v>
      </c>
      <c r="I428" s="5" t="s">
        <v>1451</v>
      </c>
      <c r="J428" s="5" t="s">
        <v>71</v>
      </c>
      <c r="K428" s="5" t="s">
        <v>21</v>
      </c>
      <c r="L428" s="5" t="s">
        <v>1015</v>
      </c>
      <c r="N428" s="5" t="s">
        <v>1003</v>
      </c>
      <c r="P428" s="5" t="s">
        <v>1428</v>
      </c>
      <c r="Q428" s="6" t="s">
        <v>1449</v>
      </c>
      <c r="R428" s="5" t="s">
        <v>1429</v>
      </c>
      <c r="S428" s="5" t="s">
        <v>1429</v>
      </c>
      <c r="T428" s="5" t="s">
        <v>1430</v>
      </c>
    </row>
    <row r="429">
      <c r="E429" s="5">
        <v>427.0</v>
      </c>
      <c r="F429" s="5" t="s">
        <v>281</v>
      </c>
      <c r="H429" s="5" t="s">
        <v>1453</v>
      </c>
      <c r="I429" s="5" t="s">
        <v>901</v>
      </c>
      <c r="J429" s="5" t="s">
        <v>71</v>
      </c>
      <c r="K429" s="5" t="s">
        <v>21</v>
      </c>
      <c r="L429" s="5" t="s">
        <v>1015</v>
      </c>
      <c r="N429" s="5" t="s">
        <v>1003</v>
      </c>
      <c r="P429" s="5" t="s">
        <v>1428</v>
      </c>
      <c r="Q429" s="6" t="s">
        <v>1449</v>
      </c>
      <c r="R429" s="5" t="s">
        <v>1429</v>
      </c>
      <c r="S429" s="5" t="s">
        <v>1429</v>
      </c>
      <c r="T429" s="5" t="s">
        <v>1430</v>
      </c>
    </row>
    <row r="430">
      <c r="E430" s="5">
        <v>428.0</v>
      </c>
      <c r="F430" s="5" t="s">
        <v>281</v>
      </c>
      <c r="H430" s="5" t="s">
        <v>1452</v>
      </c>
      <c r="I430" s="5" t="s">
        <v>814</v>
      </c>
      <c r="J430" s="5" t="s">
        <v>71</v>
      </c>
      <c r="K430" s="5" t="s">
        <v>21</v>
      </c>
      <c r="L430" s="5" t="s">
        <v>1015</v>
      </c>
      <c r="N430" s="5" t="s">
        <v>1003</v>
      </c>
      <c r="P430" s="5" t="s">
        <v>1428</v>
      </c>
      <c r="Q430" s="6" t="s">
        <v>1449</v>
      </c>
      <c r="R430" s="5" t="s">
        <v>1429</v>
      </c>
      <c r="S430" s="5" t="s">
        <v>1429</v>
      </c>
      <c r="T430" s="5" t="s">
        <v>1430</v>
      </c>
    </row>
    <row r="431">
      <c r="E431" s="5">
        <v>429.0</v>
      </c>
      <c r="F431" s="5" t="s">
        <v>281</v>
      </c>
      <c r="H431" s="5" t="s">
        <v>1447</v>
      </c>
      <c r="I431" s="5" t="s">
        <v>1454</v>
      </c>
      <c r="J431" s="5" t="s">
        <v>71</v>
      </c>
      <c r="K431" s="5" t="s">
        <v>21</v>
      </c>
      <c r="L431" s="5" t="s">
        <v>1015</v>
      </c>
      <c r="N431" s="5" t="s">
        <v>1003</v>
      </c>
      <c r="P431" s="5" t="s">
        <v>1428</v>
      </c>
      <c r="Q431" s="6" t="s">
        <v>1449</v>
      </c>
      <c r="R431" s="5" t="s">
        <v>1429</v>
      </c>
      <c r="S431" s="5" t="s">
        <v>1429</v>
      </c>
      <c r="T431" s="5" t="s">
        <v>1430</v>
      </c>
    </row>
    <row r="432">
      <c r="E432" s="5">
        <v>430.0</v>
      </c>
      <c r="F432" s="5" t="s">
        <v>281</v>
      </c>
      <c r="H432" s="5" t="s">
        <v>1455</v>
      </c>
      <c r="I432" s="5" t="s">
        <v>1456</v>
      </c>
      <c r="J432" s="5" t="s">
        <v>71</v>
      </c>
      <c r="K432" s="5" t="s">
        <v>21</v>
      </c>
      <c r="L432" s="5" t="s">
        <v>1015</v>
      </c>
      <c r="N432" s="5" t="s">
        <v>1003</v>
      </c>
      <c r="P432" s="5" t="s">
        <v>1428</v>
      </c>
      <c r="Q432" s="6">
        <v>44.0</v>
      </c>
      <c r="R432" s="5" t="s">
        <v>1429</v>
      </c>
      <c r="S432" s="5" t="s">
        <v>1429</v>
      </c>
      <c r="T432" s="5" t="s">
        <v>1430</v>
      </c>
    </row>
    <row r="433">
      <c r="E433" s="5">
        <v>431.0</v>
      </c>
      <c r="F433" s="5" t="s">
        <v>281</v>
      </c>
      <c r="H433" s="5" t="s">
        <v>1453</v>
      </c>
      <c r="I433" s="5" t="s">
        <v>1457</v>
      </c>
      <c r="J433" s="5" t="s">
        <v>71</v>
      </c>
      <c r="K433" s="5" t="s">
        <v>21</v>
      </c>
      <c r="L433" s="5" t="s">
        <v>1015</v>
      </c>
      <c r="N433" s="5" t="s">
        <v>1003</v>
      </c>
      <c r="P433" s="5" t="s">
        <v>1428</v>
      </c>
      <c r="Q433" s="6">
        <v>44.0</v>
      </c>
      <c r="R433" s="5" t="s">
        <v>1429</v>
      </c>
      <c r="S433" s="5" t="s">
        <v>1429</v>
      </c>
      <c r="T433" s="5" t="s">
        <v>1430</v>
      </c>
    </row>
    <row r="434">
      <c r="E434" s="5">
        <v>432.0</v>
      </c>
      <c r="F434" s="5" t="s">
        <v>17</v>
      </c>
      <c r="H434" s="5" t="s">
        <v>741</v>
      </c>
      <c r="I434" s="5" t="s">
        <v>19</v>
      </c>
      <c r="J434" s="5" t="s">
        <v>1353</v>
      </c>
      <c r="K434" s="5" t="s">
        <v>21</v>
      </c>
      <c r="L434" s="5" t="s">
        <v>1015</v>
      </c>
      <c r="N434" s="5" t="s">
        <v>1003</v>
      </c>
      <c r="P434" s="5" t="s">
        <v>1428</v>
      </c>
      <c r="Q434" s="6">
        <v>44.0</v>
      </c>
      <c r="R434" s="5" t="s">
        <v>1429</v>
      </c>
      <c r="S434" s="5" t="s">
        <v>1429</v>
      </c>
      <c r="T434" s="5" t="s">
        <v>1430</v>
      </c>
    </row>
    <row r="435">
      <c r="E435" s="5">
        <v>433.0</v>
      </c>
      <c r="F435" s="5" t="s">
        <v>17</v>
      </c>
      <c r="H435" s="5" t="s">
        <v>1062</v>
      </c>
      <c r="I435" s="5" t="s">
        <v>19</v>
      </c>
      <c r="J435" s="5" t="s">
        <v>1458</v>
      </c>
      <c r="K435" s="5" t="s">
        <v>21</v>
      </c>
      <c r="L435" s="5" t="s">
        <v>1015</v>
      </c>
      <c r="N435" s="5" t="s">
        <v>1003</v>
      </c>
      <c r="P435" s="5" t="s">
        <v>1428</v>
      </c>
      <c r="Q435" s="6">
        <v>44.0</v>
      </c>
      <c r="R435" s="5" t="s">
        <v>1429</v>
      </c>
      <c r="S435" s="5" t="s">
        <v>1429</v>
      </c>
      <c r="T435" s="5" t="s">
        <v>1430</v>
      </c>
    </row>
    <row r="436">
      <c r="E436" s="5">
        <v>434.0</v>
      </c>
      <c r="F436" s="5" t="s">
        <v>17</v>
      </c>
      <c r="H436" s="5" t="s">
        <v>751</v>
      </c>
      <c r="I436" s="5" t="s">
        <v>19</v>
      </c>
      <c r="J436" s="5" t="s">
        <v>1459</v>
      </c>
      <c r="K436" s="5" t="s">
        <v>21</v>
      </c>
      <c r="L436" s="5" t="s">
        <v>1015</v>
      </c>
      <c r="N436" s="5" t="s">
        <v>1003</v>
      </c>
      <c r="P436" s="5" t="s">
        <v>1428</v>
      </c>
      <c r="Q436" s="6">
        <v>44.0</v>
      </c>
      <c r="R436" s="5" t="s">
        <v>1429</v>
      </c>
      <c r="S436" s="5" t="s">
        <v>1429</v>
      </c>
      <c r="T436" s="5" t="s">
        <v>1430</v>
      </c>
    </row>
    <row r="437">
      <c r="E437" s="5">
        <v>435.0</v>
      </c>
      <c r="F437" s="5" t="s">
        <v>17</v>
      </c>
      <c r="H437" s="5" t="s">
        <v>1066</v>
      </c>
      <c r="I437" s="5" t="s">
        <v>19</v>
      </c>
      <c r="J437" s="5" t="s">
        <v>1460</v>
      </c>
      <c r="K437" s="5" t="s">
        <v>21</v>
      </c>
      <c r="L437" s="5" t="s">
        <v>1015</v>
      </c>
      <c r="N437" s="5" t="s">
        <v>1003</v>
      </c>
      <c r="P437" s="5" t="s">
        <v>1428</v>
      </c>
      <c r="Q437" s="6">
        <v>44.0</v>
      </c>
      <c r="R437" s="5" t="s">
        <v>1429</v>
      </c>
      <c r="S437" s="5" t="s">
        <v>1429</v>
      </c>
      <c r="T437" s="5" t="s">
        <v>1430</v>
      </c>
    </row>
    <row r="438">
      <c r="E438" s="5">
        <v>436.0</v>
      </c>
      <c r="F438" s="5" t="s">
        <v>17</v>
      </c>
      <c r="H438" s="5" t="s">
        <v>1443</v>
      </c>
      <c r="I438" s="5" t="s">
        <v>19</v>
      </c>
      <c r="J438" s="5" t="s">
        <v>1461</v>
      </c>
      <c r="K438" s="5" t="s">
        <v>21</v>
      </c>
      <c r="L438" s="5" t="s">
        <v>1015</v>
      </c>
      <c r="N438" s="5" t="s">
        <v>1003</v>
      </c>
      <c r="P438" s="5" t="s">
        <v>1428</v>
      </c>
      <c r="Q438" s="6">
        <v>44.0</v>
      </c>
      <c r="R438" s="5" t="s">
        <v>1429</v>
      </c>
      <c r="S438" s="5" t="s">
        <v>1429</v>
      </c>
      <c r="T438" s="5" t="s">
        <v>1430</v>
      </c>
    </row>
    <row r="439">
      <c r="E439" s="5">
        <v>437.0</v>
      </c>
      <c r="F439" s="5" t="s">
        <v>17</v>
      </c>
      <c r="H439" s="5" t="s">
        <v>751</v>
      </c>
      <c r="I439" s="5" t="s">
        <v>19</v>
      </c>
      <c r="J439" s="5" t="s">
        <v>1462</v>
      </c>
      <c r="K439" s="5" t="s">
        <v>21</v>
      </c>
      <c r="L439" s="5" t="s">
        <v>1015</v>
      </c>
      <c r="N439" s="5" t="s">
        <v>1003</v>
      </c>
      <c r="P439" s="5" t="s">
        <v>1428</v>
      </c>
      <c r="Q439" s="6">
        <v>45.0</v>
      </c>
      <c r="R439" s="5" t="s">
        <v>1429</v>
      </c>
      <c r="S439" s="5" t="s">
        <v>1429</v>
      </c>
      <c r="T439" s="5" t="s">
        <v>1430</v>
      </c>
    </row>
    <row r="440">
      <c r="C440" s="14" t="s">
        <v>1463</v>
      </c>
      <c r="E440" s="5">
        <v>438.0</v>
      </c>
      <c r="F440" s="5" t="s">
        <v>95</v>
      </c>
      <c r="G440" s="5" t="s">
        <v>1464</v>
      </c>
      <c r="H440" s="5" t="s">
        <v>1465</v>
      </c>
      <c r="I440" s="5" t="s">
        <v>1466</v>
      </c>
      <c r="J440" s="5" t="s">
        <v>71</v>
      </c>
      <c r="K440" s="5" t="s">
        <v>21</v>
      </c>
      <c r="L440" s="5" t="s">
        <v>1015</v>
      </c>
      <c r="N440" s="5" t="s">
        <v>1003</v>
      </c>
      <c r="P440" s="5" t="s">
        <v>1467</v>
      </c>
      <c r="Q440" s="6">
        <v>507.0</v>
      </c>
      <c r="R440" s="5" t="s">
        <v>1468</v>
      </c>
      <c r="S440" s="5" t="s">
        <v>1468</v>
      </c>
      <c r="T440" s="5" t="s">
        <v>1469</v>
      </c>
    </row>
    <row r="441">
      <c r="E441" s="5">
        <v>439.0</v>
      </c>
      <c r="F441" s="5" t="s">
        <v>95</v>
      </c>
      <c r="G441" s="5" t="s">
        <v>134</v>
      </c>
      <c r="H441" s="5" t="s">
        <v>1470</v>
      </c>
      <c r="I441" s="5" t="s">
        <v>947</v>
      </c>
      <c r="J441" s="5" t="s">
        <v>1471</v>
      </c>
      <c r="K441" s="5" t="s">
        <v>21</v>
      </c>
      <c r="L441" s="5" t="s">
        <v>1015</v>
      </c>
      <c r="N441" s="5" t="s">
        <v>1003</v>
      </c>
      <c r="P441" s="5" t="s">
        <v>1467</v>
      </c>
      <c r="Q441" s="6">
        <v>507.0</v>
      </c>
      <c r="R441" s="5" t="s">
        <v>1468</v>
      </c>
      <c r="S441" s="5" t="s">
        <v>1468</v>
      </c>
      <c r="T441" s="5" t="s">
        <v>1469</v>
      </c>
    </row>
    <row r="442">
      <c r="E442" s="5">
        <v>440.0</v>
      </c>
      <c r="F442" s="5" t="s">
        <v>95</v>
      </c>
      <c r="G442" s="5" t="s">
        <v>434</v>
      </c>
      <c r="H442" s="5" t="s">
        <v>1443</v>
      </c>
      <c r="I442" s="5" t="s">
        <v>723</v>
      </c>
      <c r="J442" s="5" t="s">
        <v>1472</v>
      </c>
      <c r="K442" s="5" t="s">
        <v>21</v>
      </c>
      <c r="L442" s="5" t="s">
        <v>1015</v>
      </c>
      <c r="N442" s="5" t="s">
        <v>1003</v>
      </c>
      <c r="P442" s="5" t="s">
        <v>1467</v>
      </c>
      <c r="Q442" s="6">
        <v>507.0</v>
      </c>
      <c r="R442" s="5" t="s">
        <v>1468</v>
      </c>
      <c r="S442" s="5" t="s">
        <v>1468</v>
      </c>
      <c r="T442" s="5" t="s">
        <v>1469</v>
      </c>
    </row>
    <row r="443">
      <c r="E443" s="5">
        <v>441.0</v>
      </c>
      <c r="F443" s="5" t="s">
        <v>95</v>
      </c>
      <c r="H443" s="5" t="s">
        <v>1473</v>
      </c>
      <c r="I443" s="5" t="s">
        <v>1270</v>
      </c>
      <c r="J443" s="5" t="s">
        <v>1315</v>
      </c>
      <c r="K443" s="5" t="s">
        <v>21</v>
      </c>
      <c r="L443" s="5" t="s">
        <v>1015</v>
      </c>
      <c r="N443" s="5" t="s">
        <v>1003</v>
      </c>
      <c r="P443" s="5" t="s">
        <v>1467</v>
      </c>
      <c r="Q443" s="6">
        <v>508.0</v>
      </c>
      <c r="R443" s="5" t="s">
        <v>1468</v>
      </c>
      <c r="S443" s="5" t="s">
        <v>1468</v>
      </c>
      <c r="T443" s="5" t="s">
        <v>1469</v>
      </c>
    </row>
    <row r="444">
      <c r="E444" s="5">
        <v>442.0</v>
      </c>
      <c r="F444" s="5" t="s">
        <v>190</v>
      </c>
      <c r="H444" s="5" t="s">
        <v>515</v>
      </c>
      <c r="I444" s="5" t="s">
        <v>193</v>
      </c>
      <c r="J444" s="5" t="s">
        <v>966</v>
      </c>
      <c r="K444" s="5" t="s">
        <v>21</v>
      </c>
      <c r="L444" s="5" t="s">
        <v>1015</v>
      </c>
      <c r="N444" s="5" t="s">
        <v>1003</v>
      </c>
      <c r="P444" s="5" t="s">
        <v>1467</v>
      </c>
      <c r="Q444" s="6">
        <v>508.0</v>
      </c>
      <c r="R444" s="5" t="s">
        <v>1468</v>
      </c>
      <c r="S444" s="5" t="s">
        <v>1468</v>
      </c>
      <c r="T444" s="5" t="s">
        <v>1469</v>
      </c>
    </row>
    <row r="445">
      <c r="E445" s="5">
        <v>443.0</v>
      </c>
      <c r="F445" s="5" t="s">
        <v>229</v>
      </c>
      <c r="H445" s="5" t="s">
        <v>230</v>
      </c>
      <c r="I445" s="5" t="s">
        <v>231</v>
      </c>
      <c r="J445" s="5" t="s">
        <v>1353</v>
      </c>
      <c r="K445" s="5" t="s">
        <v>21</v>
      </c>
      <c r="L445" s="5" t="s">
        <v>1015</v>
      </c>
      <c r="N445" s="5" t="s">
        <v>1003</v>
      </c>
      <c r="P445" s="5" t="s">
        <v>1467</v>
      </c>
      <c r="Q445" s="6">
        <v>508.0</v>
      </c>
      <c r="R445" s="5" t="s">
        <v>1468</v>
      </c>
      <c r="S445" s="5" t="s">
        <v>1468</v>
      </c>
      <c r="T445" s="5" t="s">
        <v>1469</v>
      </c>
    </row>
    <row r="446">
      <c r="E446" s="5">
        <v>444.0</v>
      </c>
      <c r="F446" s="5" t="s">
        <v>209</v>
      </c>
      <c r="H446" s="5" t="s">
        <v>1474</v>
      </c>
      <c r="I446" s="5" t="s">
        <v>1475</v>
      </c>
      <c r="J446" s="5" t="s">
        <v>1476</v>
      </c>
      <c r="K446" s="5" t="s">
        <v>1477</v>
      </c>
      <c r="L446" s="5" t="s">
        <v>1015</v>
      </c>
      <c r="N446" s="5" t="s">
        <v>1003</v>
      </c>
      <c r="P446" s="5" t="s">
        <v>1467</v>
      </c>
      <c r="Q446" s="6">
        <v>508.0</v>
      </c>
      <c r="R446" s="5" t="s">
        <v>1468</v>
      </c>
      <c r="S446" s="5" t="s">
        <v>1468</v>
      </c>
      <c r="T446" s="5" t="s">
        <v>1469</v>
      </c>
    </row>
    <row r="447">
      <c r="E447" s="5">
        <v>445.0</v>
      </c>
      <c r="F447" s="5" t="s">
        <v>281</v>
      </c>
      <c r="H447" s="5" t="s">
        <v>852</v>
      </c>
      <c r="I447" s="5" t="s">
        <v>859</v>
      </c>
      <c r="J447" s="5" t="s">
        <v>1478</v>
      </c>
      <c r="K447" s="5" t="s">
        <v>21</v>
      </c>
      <c r="L447" s="5" t="s">
        <v>1015</v>
      </c>
      <c r="N447" s="5" t="s">
        <v>1003</v>
      </c>
      <c r="P447" s="5" t="s">
        <v>1467</v>
      </c>
      <c r="Q447" s="6">
        <v>508.0</v>
      </c>
      <c r="R447" s="5" t="s">
        <v>1468</v>
      </c>
      <c r="S447" s="5" t="s">
        <v>1468</v>
      </c>
      <c r="T447" s="5" t="s">
        <v>1469</v>
      </c>
    </row>
    <row r="448">
      <c r="E448" s="5">
        <v>446.0</v>
      </c>
      <c r="F448" s="5" t="s">
        <v>95</v>
      </c>
      <c r="G448" s="5" t="s">
        <v>134</v>
      </c>
      <c r="H448" s="5" t="s">
        <v>723</v>
      </c>
      <c r="I448" s="5" t="s">
        <v>1062</v>
      </c>
      <c r="J448" s="5" t="s">
        <v>1479</v>
      </c>
      <c r="K448" s="5" t="s">
        <v>21</v>
      </c>
      <c r="L448" s="5" t="s">
        <v>1015</v>
      </c>
      <c r="N448" s="5" t="s">
        <v>1003</v>
      </c>
      <c r="P448" s="5" t="s">
        <v>1467</v>
      </c>
      <c r="Q448" s="6">
        <v>508.0</v>
      </c>
      <c r="R448" s="5" t="s">
        <v>1468</v>
      </c>
      <c r="S448" s="5" t="s">
        <v>1468</v>
      </c>
      <c r="T448" s="5" t="s">
        <v>1469</v>
      </c>
    </row>
    <row r="449">
      <c r="E449" s="5">
        <v>447.0</v>
      </c>
      <c r="F449" s="5" t="s">
        <v>190</v>
      </c>
      <c r="G449" s="5" t="s">
        <v>1318</v>
      </c>
      <c r="H449" s="5" t="s">
        <v>1062</v>
      </c>
      <c r="I449" s="5" t="s">
        <v>859</v>
      </c>
      <c r="J449" s="5" t="s">
        <v>1480</v>
      </c>
      <c r="K449" s="5" t="s">
        <v>1481</v>
      </c>
      <c r="L449" s="5" t="s">
        <v>1015</v>
      </c>
      <c r="N449" s="5" t="s">
        <v>1003</v>
      </c>
      <c r="P449" s="5" t="s">
        <v>1467</v>
      </c>
      <c r="Q449" s="6">
        <v>508.0</v>
      </c>
      <c r="R449" s="5" t="s">
        <v>1468</v>
      </c>
      <c r="S449" s="5" t="s">
        <v>1468</v>
      </c>
      <c r="T449" s="5" t="s">
        <v>1469</v>
      </c>
    </row>
    <row r="450">
      <c r="E450" s="5">
        <v>448.0</v>
      </c>
      <c r="F450" s="5" t="s">
        <v>209</v>
      </c>
      <c r="H450" s="5" t="s">
        <v>1482</v>
      </c>
      <c r="I450" s="5" t="s">
        <v>1483</v>
      </c>
      <c r="J450" s="5" t="s">
        <v>71</v>
      </c>
      <c r="K450" s="5" t="s">
        <v>21</v>
      </c>
      <c r="L450" s="5" t="s">
        <v>1015</v>
      </c>
      <c r="N450" s="5" t="s">
        <v>1003</v>
      </c>
      <c r="P450" s="5" t="s">
        <v>1467</v>
      </c>
      <c r="Q450" s="6">
        <v>508.0</v>
      </c>
      <c r="R450" s="5" t="s">
        <v>1468</v>
      </c>
      <c r="S450" s="5" t="s">
        <v>1468</v>
      </c>
      <c r="T450" s="5" t="s">
        <v>1469</v>
      </c>
    </row>
    <row r="451">
      <c r="E451" s="5">
        <v>449.0</v>
      </c>
      <c r="F451" s="5" t="s">
        <v>209</v>
      </c>
      <c r="H451" s="5" t="s">
        <v>738</v>
      </c>
      <c r="I451" s="5" t="s">
        <v>1484</v>
      </c>
      <c r="J451" s="5" t="s">
        <v>71</v>
      </c>
      <c r="K451" s="5" t="s">
        <v>21</v>
      </c>
      <c r="L451" s="5" t="s">
        <v>1015</v>
      </c>
      <c r="N451" s="5" t="s">
        <v>1003</v>
      </c>
      <c r="P451" s="5" t="s">
        <v>1467</v>
      </c>
      <c r="Q451" s="6">
        <v>508.0</v>
      </c>
      <c r="R451" s="5" t="s">
        <v>1468</v>
      </c>
      <c r="S451" s="5" t="s">
        <v>1468</v>
      </c>
      <c r="T451" s="5" t="s">
        <v>1469</v>
      </c>
    </row>
    <row r="452">
      <c r="E452" s="5">
        <v>450.0</v>
      </c>
      <c r="F452" s="5" t="s">
        <v>870</v>
      </c>
      <c r="H452" s="5" t="s">
        <v>1485</v>
      </c>
      <c r="I452" s="5" t="s">
        <v>1486</v>
      </c>
      <c r="J452" s="5" t="s">
        <v>1487</v>
      </c>
      <c r="K452" s="5" t="s">
        <v>21</v>
      </c>
      <c r="L452" s="5" t="s">
        <v>1015</v>
      </c>
      <c r="N452" s="5" t="s">
        <v>1003</v>
      </c>
      <c r="P452" s="5" t="s">
        <v>1467</v>
      </c>
      <c r="Q452" s="6">
        <v>508.0</v>
      </c>
      <c r="R452" s="5" t="s">
        <v>1468</v>
      </c>
      <c r="S452" s="5" t="s">
        <v>1468</v>
      </c>
      <c r="T452" s="5" t="s">
        <v>1469</v>
      </c>
    </row>
    <row r="453">
      <c r="E453" s="5">
        <v>451.0</v>
      </c>
      <c r="F453" s="5" t="s">
        <v>870</v>
      </c>
      <c r="H453" s="5" t="s">
        <v>1488</v>
      </c>
      <c r="I453" s="5" t="s">
        <v>1489</v>
      </c>
      <c r="J453" s="5" t="s">
        <v>1490</v>
      </c>
      <c r="K453" s="5" t="s">
        <v>21</v>
      </c>
      <c r="L453" s="5" t="s">
        <v>1015</v>
      </c>
      <c r="N453" s="5" t="s">
        <v>1003</v>
      </c>
      <c r="P453" s="5" t="s">
        <v>1467</v>
      </c>
      <c r="Q453" s="6">
        <v>508.0</v>
      </c>
      <c r="R453" s="5" t="s">
        <v>1468</v>
      </c>
      <c r="S453" s="5" t="s">
        <v>1468</v>
      </c>
      <c r="T453" s="5" t="s">
        <v>1469</v>
      </c>
    </row>
    <row r="454">
      <c r="E454" s="5">
        <v>452.0</v>
      </c>
      <c r="F454" s="5" t="s">
        <v>95</v>
      </c>
      <c r="H454" s="5" t="s">
        <v>658</v>
      </c>
      <c r="I454" s="5" t="s">
        <v>667</v>
      </c>
      <c r="J454" s="5" t="s">
        <v>1491</v>
      </c>
      <c r="K454" s="5" t="s">
        <v>21</v>
      </c>
      <c r="L454" s="5" t="s">
        <v>1015</v>
      </c>
      <c r="N454" s="5" t="s">
        <v>1003</v>
      </c>
      <c r="P454" s="5" t="s">
        <v>1467</v>
      </c>
      <c r="Q454" s="6">
        <v>508.0</v>
      </c>
      <c r="R454" s="5" t="s">
        <v>1468</v>
      </c>
      <c r="S454" s="5" t="s">
        <v>1468</v>
      </c>
      <c r="T454" s="5" t="s">
        <v>1469</v>
      </c>
    </row>
    <row r="455">
      <c r="E455" s="5">
        <v>453.0</v>
      </c>
      <c r="F455" s="5" t="s">
        <v>17</v>
      </c>
      <c r="H455" s="5" t="s">
        <v>852</v>
      </c>
      <c r="I455" s="5" t="s">
        <v>19</v>
      </c>
      <c r="J455" s="5" t="s">
        <v>81</v>
      </c>
      <c r="K455" s="5" t="s">
        <v>21</v>
      </c>
      <c r="L455" s="5" t="s">
        <v>1015</v>
      </c>
      <c r="N455" s="5" t="s">
        <v>1003</v>
      </c>
      <c r="P455" s="5" t="s">
        <v>1467</v>
      </c>
      <c r="Q455" s="6">
        <v>508.0</v>
      </c>
      <c r="R455" s="5" t="s">
        <v>1468</v>
      </c>
      <c r="S455" s="5" t="s">
        <v>1468</v>
      </c>
      <c r="T455" s="5" t="s">
        <v>1469</v>
      </c>
    </row>
    <row r="456">
      <c r="E456" s="5">
        <v>454.0</v>
      </c>
      <c r="F456" s="5" t="s">
        <v>17</v>
      </c>
      <c r="H456" s="5" t="s">
        <v>46</v>
      </c>
      <c r="I456" s="5" t="s">
        <v>19</v>
      </c>
      <c r="J456" s="5" t="s">
        <v>1492</v>
      </c>
      <c r="K456" s="5" t="s">
        <v>21</v>
      </c>
      <c r="L456" s="5" t="s">
        <v>1015</v>
      </c>
      <c r="N456" s="5" t="s">
        <v>1003</v>
      </c>
      <c r="P456" s="5" t="s">
        <v>1467</v>
      </c>
      <c r="Q456" s="6">
        <v>508.0</v>
      </c>
      <c r="R456" s="5" t="s">
        <v>1468</v>
      </c>
      <c r="S456" s="5" t="s">
        <v>1468</v>
      </c>
      <c r="T456" s="5" t="s">
        <v>1469</v>
      </c>
    </row>
    <row r="457">
      <c r="C457" s="14" t="s">
        <v>1493</v>
      </c>
      <c r="E457" s="5">
        <v>455.0</v>
      </c>
      <c r="F457" s="5" t="s">
        <v>209</v>
      </c>
      <c r="H457" s="5" t="s">
        <v>1473</v>
      </c>
      <c r="I457" s="5" t="s">
        <v>1270</v>
      </c>
      <c r="J457" s="5" t="s">
        <v>1353</v>
      </c>
      <c r="K457" s="5" t="s">
        <v>21</v>
      </c>
      <c r="L457" s="5" t="s">
        <v>1015</v>
      </c>
      <c r="N457" s="5" t="s">
        <v>1003</v>
      </c>
      <c r="P457" s="5" t="s">
        <v>1494</v>
      </c>
      <c r="Q457" s="6">
        <v>45.0</v>
      </c>
      <c r="R457" s="13" t="s">
        <v>1495</v>
      </c>
      <c r="S457" s="5" t="s">
        <v>1495</v>
      </c>
      <c r="T457" s="5" t="s">
        <v>1495</v>
      </c>
    </row>
    <row r="458">
      <c r="E458" s="5">
        <v>456.0</v>
      </c>
      <c r="F458" s="5" t="s">
        <v>95</v>
      </c>
      <c r="H458" s="5" t="s">
        <v>751</v>
      </c>
      <c r="I458" s="5" t="s">
        <v>1066</v>
      </c>
      <c r="J458" s="5" t="s">
        <v>1315</v>
      </c>
      <c r="K458" s="5" t="s">
        <v>21</v>
      </c>
      <c r="L458" s="5" t="s">
        <v>1015</v>
      </c>
      <c r="N458" s="5" t="s">
        <v>1003</v>
      </c>
      <c r="P458" s="5" t="s">
        <v>1494</v>
      </c>
      <c r="Q458" s="6">
        <v>45.0</v>
      </c>
      <c r="R458" s="13" t="s">
        <v>1495</v>
      </c>
      <c r="S458" s="5" t="s">
        <v>1495</v>
      </c>
      <c r="T458" s="5" t="s">
        <v>1495</v>
      </c>
    </row>
    <row r="459">
      <c r="E459" s="5">
        <v>457.0</v>
      </c>
      <c r="F459" s="5" t="s">
        <v>95</v>
      </c>
      <c r="H459" s="5" t="s">
        <v>1443</v>
      </c>
      <c r="I459" s="5" t="s">
        <v>1444</v>
      </c>
      <c r="J459" s="5" t="s">
        <v>1315</v>
      </c>
      <c r="K459" s="5" t="s">
        <v>21</v>
      </c>
      <c r="L459" s="5" t="s">
        <v>1015</v>
      </c>
      <c r="N459" s="5" t="s">
        <v>1003</v>
      </c>
      <c r="P459" s="5" t="s">
        <v>1494</v>
      </c>
      <c r="Q459" s="6">
        <v>45.0</v>
      </c>
      <c r="R459" s="13" t="s">
        <v>1495</v>
      </c>
      <c r="S459" s="5" t="s">
        <v>1495</v>
      </c>
      <c r="T459" s="5" t="s">
        <v>1495</v>
      </c>
    </row>
    <row r="460">
      <c r="E460" s="5">
        <v>458.0</v>
      </c>
      <c r="F460" s="5" t="s">
        <v>229</v>
      </c>
      <c r="H460" s="5" t="s">
        <v>996</v>
      </c>
      <c r="I460" s="5" t="s">
        <v>997</v>
      </c>
      <c r="J460" s="5" t="s">
        <v>81</v>
      </c>
      <c r="K460" s="5" t="s">
        <v>21</v>
      </c>
      <c r="L460" s="5" t="s">
        <v>1015</v>
      </c>
      <c r="N460" s="5" t="s">
        <v>1003</v>
      </c>
      <c r="P460" s="5" t="s">
        <v>1494</v>
      </c>
      <c r="Q460" s="6">
        <v>45.0</v>
      </c>
      <c r="R460" s="13" t="s">
        <v>1495</v>
      </c>
      <c r="S460" s="5" t="s">
        <v>1495</v>
      </c>
      <c r="T460" s="5" t="s">
        <v>1495</v>
      </c>
    </row>
    <row r="461">
      <c r="E461" s="5">
        <v>459.0</v>
      </c>
      <c r="F461" s="5" t="s">
        <v>95</v>
      </c>
      <c r="H461" s="5" t="s">
        <v>996</v>
      </c>
      <c r="I461" s="5" t="s">
        <v>997</v>
      </c>
      <c r="J461" s="5" t="s">
        <v>1496</v>
      </c>
      <c r="K461" s="5" t="s">
        <v>21</v>
      </c>
      <c r="L461" s="5" t="s">
        <v>1015</v>
      </c>
      <c r="N461" s="5" t="s">
        <v>1003</v>
      </c>
      <c r="P461" s="5" t="s">
        <v>1494</v>
      </c>
      <c r="Q461" s="6">
        <v>45.0</v>
      </c>
      <c r="R461" s="13" t="s">
        <v>1495</v>
      </c>
      <c r="S461" s="5" t="s">
        <v>1495</v>
      </c>
      <c r="T461" s="5" t="s">
        <v>1495</v>
      </c>
    </row>
    <row r="462">
      <c r="E462" s="5">
        <v>460.0</v>
      </c>
      <c r="F462" s="5" t="s">
        <v>95</v>
      </c>
      <c r="H462" s="5" t="s">
        <v>859</v>
      </c>
      <c r="I462" s="5" t="s">
        <v>1443</v>
      </c>
      <c r="J462" s="5" t="s">
        <v>1497</v>
      </c>
      <c r="K462" s="5" t="s">
        <v>21</v>
      </c>
      <c r="L462" s="5" t="s">
        <v>1015</v>
      </c>
      <c r="N462" s="5" t="s">
        <v>1003</v>
      </c>
      <c r="P462" s="5" t="s">
        <v>1494</v>
      </c>
      <c r="Q462" s="6">
        <v>46.0</v>
      </c>
      <c r="R462" s="13" t="s">
        <v>1495</v>
      </c>
      <c r="S462" s="5" t="s">
        <v>1495</v>
      </c>
      <c r="T462" s="5" t="s">
        <v>1495</v>
      </c>
    </row>
    <row r="463">
      <c r="E463" s="5">
        <v>461.0</v>
      </c>
      <c r="F463" s="5" t="s">
        <v>95</v>
      </c>
      <c r="H463" s="5" t="s">
        <v>1498</v>
      </c>
      <c r="I463" s="5" t="s">
        <v>1499</v>
      </c>
      <c r="J463" s="5" t="s">
        <v>1500</v>
      </c>
      <c r="K463" s="5" t="s">
        <v>21</v>
      </c>
      <c r="L463" s="5" t="s">
        <v>1015</v>
      </c>
      <c r="N463" s="5" t="s">
        <v>1003</v>
      </c>
      <c r="P463" s="5" t="s">
        <v>1494</v>
      </c>
      <c r="Q463" s="6">
        <v>46.0</v>
      </c>
      <c r="R463" s="13" t="s">
        <v>1495</v>
      </c>
      <c r="S463" s="5" t="s">
        <v>1495</v>
      </c>
      <c r="T463" s="5" t="s">
        <v>1495</v>
      </c>
    </row>
    <row r="464">
      <c r="E464" s="5">
        <v>462.0</v>
      </c>
      <c r="F464" s="5" t="s">
        <v>95</v>
      </c>
      <c r="G464" s="5" t="s">
        <v>446</v>
      </c>
      <c r="H464" s="5" t="s">
        <v>947</v>
      </c>
      <c r="I464" s="5" t="s">
        <v>752</v>
      </c>
      <c r="J464" s="5" t="s">
        <v>1478</v>
      </c>
      <c r="K464" s="5" t="s">
        <v>21</v>
      </c>
      <c r="L464" s="5" t="s">
        <v>1015</v>
      </c>
      <c r="N464" s="5" t="s">
        <v>1003</v>
      </c>
      <c r="P464" s="5" t="s">
        <v>1494</v>
      </c>
      <c r="Q464" s="6">
        <v>47.0</v>
      </c>
      <c r="R464" s="13" t="s">
        <v>1495</v>
      </c>
      <c r="S464" s="5" t="s">
        <v>1495</v>
      </c>
      <c r="T464" s="5" t="s">
        <v>1495</v>
      </c>
    </row>
    <row r="465">
      <c r="E465" s="5">
        <v>463.0</v>
      </c>
      <c r="F465" s="5" t="s">
        <v>95</v>
      </c>
      <c r="H465" s="5" t="s">
        <v>1501</v>
      </c>
      <c r="I465" s="5" t="s">
        <v>261</v>
      </c>
      <c r="J465" s="5" t="s">
        <v>1502</v>
      </c>
      <c r="K465" s="5" t="s">
        <v>21</v>
      </c>
      <c r="L465" s="5" t="s">
        <v>1015</v>
      </c>
      <c r="N465" s="5" t="s">
        <v>1003</v>
      </c>
      <c r="P465" s="5" t="s">
        <v>1503</v>
      </c>
      <c r="Q465" s="6">
        <v>184.0</v>
      </c>
      <c r="R465" s="13" t="s">
        <v>1495</v>
      </c>
      <c r="S465" s="5" t="s">
        <v>1495</v>
      </c>
      <c r="T465" s="5" t="s">
        <v>1495</v>
      </c>
    </row>
    <row r="466">
      <c r="E466" s="5">
        <v>464.0</v>
      </c>
      <c r="F466" s="5" t="s">
        <v>95</v>
      </c>
      <c r="H466" s="5" t="s">
        <v>1501</v>
      </c>
      <c r="I466" s="5" t="s">
        <v>261</v>
      </c>
      <c r="J466" s="5" t="s">
        <v>1014</v>
      </c>
      <c r="K466" s="5" t="s">
        <v>21</v>
      </c>
      <c r="L466" s="5" t="s">
        <v>1015</v>
      </c>
      <c r="N466" s="5" t="s">
        <v>1003</v>
      </c>
      <c r="P466" s="5" t="s">
        <v>1503</v>
      </c>
      <c r="Q466" s="6">
        <v>184.0</v>
      </c>
      <c r="R466" s="13" t="s">
        <v>1495</v>
      </c>
      <c r="S466" s="5" t="s">
        <v>1495</v>
      </c>
      <c r="T466" s="5" t="s">
        <v>1495</v>
      </c>
    </row>
    <row r="467">
      <c r="E467" s="5">
        <v>465.0</v>
      </c>
      <c r="F467" s="5" t="s">
        <v>17</v>
      </c>
      <c r="G467" s="5" t="s">
        <v>1135</v>
      </c>
      <c r="H467" s="5" t="s">
        <v>136</v>
      </c>
      <c r="I467" s="5" t="s">
        <v>19</v>
      </c>
      <c r="J467" s="5" t="s">
        <v>1353</v>
      </c>
      <c r="K467" s="5" t="s">
        <v>21</v>
      </c>
      <c r="L467" s="5" t="s">
        <v>1015</v>
      </c>
      <c r="N467" s="5" t="s">
        <v>1003</v>
      </c>
      <c r="P467" s="5" t="s">
        <v>1503</v>
      </c>
      <c r="Q467" s="6">
        <v>184.0</v>
      </c>
      <c r="R467" s="13" t="s">
        <v>1495</v>
      </c>
      <c r="S467" s="5" t="s">
        <v>1495</v>
      </c>
      <c r="T467" s="5" t="s">
        <v>1495</v>
      </c>
    </row>
    <row r="468">
      <c r="E468" s="5">
        <v>466.0</v>
      </c>
      <c r="F468" s="5" t="s">
        <v>176</v>
      </c>
      <c r="G468" s="5" t="s">
        <v>1135</v>
      </c>
      <c r="H468" s="5" t="s">
        <v>1236</v>
      </c>
      <c r="I468" s="5" t="s">
        <v>1237</v>
      </c>
      <c r="J468" s="5" t="s">
        <v>1353</v>
      </c>
      <c r="K468" s="5" t="s">
        <v>1504</v>
      </c>
      <c r="L468" s="5" t="s">
        <v>1015</v>
      </c>
      <c r="N468" s="5" t="s">
        <v>1003</v>
      </c>
      <c r="P468" s="5" t="s">
        <v>1503</v>
      </c>
      <c r="Q468" s="6">
        <v>184.0</v>
      </c>
      <c r="R468" s="13" t="s">
        <v>1495</v>
      </c>
      <c r="S468" s="5" t="s">
        <v>1495</v>
      </c>
      <c r="T468" s="5" t="s">
        <v>1495</v>
      </c>
    </row>
    <row r="469">
      <c r="C469" s="14" t="s">
        <v>1505</v>
      </c>
      <c r="E469" s="5">
        <v>467.0</v>
      </c>
      <c r="F469" s="5" t="s">
        <v>95</v>
      </c>
      <c r="H469" s="5" t="s">
        <v>282</v>
      </c>
      <c r="I469" s="5" t="s">
        <v>283</v>
      </c>
      <c r="J469" s="5" t="s">
        <v>1506</v>
      </c>
      <c r="K469" s="5" t="s">
        <v>21</v>
      </c>
      <c r="L469" s="5" t="s">
        <v>1015</v>
      </c>
      <c r="N469" s="5" t="s">
        <v>1003</v>
      </c>
      <c r="P469" s="5" t="s">
        <v>1507</v>
      </c>
      <c r="Q469" s="6">
        <v>17.0</v>
      </c>
      <c r="R469" s="5" t="s">
        <v>1508</v>
      </c>
      <c r="S469" s="5" t="s">
        <v>1508</v>
      </c>
      <c r="T469" s="5" t="s">
        <v>1509</v>
      </c>
    </row>
    <row r="470">
      <c r="E470" s="5">
        <v>468.0</v>
      </c>
      <c r="F470" s="5" t="s">
        <v>281</v>
      </c>
      <c r="H470" s="5" t="s">
        <v>46</v>
      </c>
      <c r="I470" s="5" t="s">
        <v>1510</v>
      </c>
      <c r="J470" s="5" t="s">
        <v>1511</v>
      </c>
      <c r="K470" s="5" t="s">
        <v>21</v>
      </c>
      <c r="L470" s="5" t="s">
        <v>1015</v>
      </c>
      <c r="N470" s="5" t="s">
        <v>1003</v>
      </c>
      <c r="P470" s="5" t="s">
        <v>1507</v>
      </c>
      <c r="Q470" s="6">
        <v>17.0</v>
      </c>
      <c r="R470" s="5" t="s">
        <v>1508</v>
      </c>
      <c r="S470" s="5" t="s">
        <v>1508</v>
      </c>
      <c r="T470" s="5" t="s">
        <v>1509</v>
      </c>
    </row>
    <row r="471">
      <c r="E471" s="5">
        <v>469.0</v>
      </c>
      <c r="F471" s="5" t="s">
        <v>281</v>
      </c>
      <c r="H471" s="5" t="s">
        <v>659</v>
      </c>
      <c r="I471" s="5" t="s">
        <v>1512</v>
      </c>
      <c r="J471" s="5" t="s">
        <v>71</v>
      </c>
      <c r="K471" s="5" t="s">
        <v>1513</v>
      </c>
      <c r="L471" s="5" t="s">
        <v>1015</v>
      </c>
      <c r="N471" s="5" t="s">
        <v>1003</v>
      </c>
      <c r="P471" s="5" t="s">
        <v>1507</v>
      </c>
      <c r="Q471" s="6">
        <v>17.0</v>
      </c>
      <c r="R471" s="5" t="s">
        <v>1508</v>
      </c>
      <c r="S471" s="5" t="s">
        <v>1508</v>
      </c>
      <c r="T471" s="5" t="s">
        <v>1509</v>
      </c>
    </row>
    <row r="472">
      <c r="E472" s="5">
        <v>470.0</v>
      </c>
      <c r="F472" s="5" t="s">
        <v>17</v>
      </c>
      <c r="H472" s="5" t="s">
        <v>46</v>
      </c>
      <c r="I472" s="5" t="s">
        <v>19</v>
      </c>
      <c r="J472" s="5" t="s">
        <v>1514</v>
      </c>
      <c r="K472" s="5" t="s">
        <v>21</v>
      </c>
      <c r="L472" s="5" t="s">
        <v>1015</v>
      </c>
      <c r="N472" s="5" t="s">
        <v>1003</v>
      </c>
      <c r="P472" s="5" t="s">
        <v>1507</v>
      </c>
      <c r="Q472" s="6" t="s">
        <v>1515</v>
      </c>
      <c r="R472" s="5" t="s">
        <v>1508</v>
      </c>
      <c r="S472" s="5" t="s">
        <v>1508</v>
      </c>
      <c r="T472" s="5" t="s">
        <v>1509</v>
      </c>
    </row>
    <row r="473">
      <c r="E473" s="5">
        <v>471.0</v>
      </c>
      <c r="F473" s="5" t="s">
        <v>17</v>
      </c>
      <c r="H473" s="5" t="s">
        <v>46</v>
      </c>
      <c r="I473" s="5" t="s">
        <v>19</v>
      </c>
      <c r="J473" s="5" t="s">
        <v>1516</v>
      </c>
      <c r="K473" s="5" t="s">
        <v>21</v>
      </c>
      <c r="L473" s="5" t="s">
        <v>1015</v>
      </c>
      <c r="N473" s="5" t="s">
        <v>1003</v>
      </c>
      <c r="P473" s="5" t="s">
        <v>1507</v>
      </c>
      <c r="Q473" s="6" t="s">
        <v>1515</v>
      </c>
      <c r="R473" s="5" t="s">
        <v>1508</v>
      </c>
      <c r="S473" s="5" t="s">
        <v>1508</v>
      </c>
      <c r="T473" s="5" t="s">
        <v>1509</v>
      </c>
    </row>
    <row r="474">
      <c r="E474" s="5">
        <v>472.0</v>
      </c>
      <c r="F474" s="5" t="s">
        <v>95</v>
      </c>
      <c r="G474" s="5" t="s">
        <v>134</v>
      </c>
      <c r="H474" s="5" t="s">
        <v>723</v>
      </c>
      <c r="I474" s="5" t="s">
        <v>947</v>
      </c>
      <c r="J474" s="5" t="s">
        <v>1517</v>
      </c>
      <c r="K474" s="5" t="s">
        <v>21</v>
      </c>
      <c r="L474" s="5" t="s">
        <v>1015</v>
      </c>
      <c r="N474" s="5" t="s">
        <v>1003</v>
      </c>
      <c r="P474" s="5" t="s">
        <v>1507</v>
      </c>
      <c r="Q474" s="6">
        <v>35.0</v>
      </c>
      <c r="R474" s="5" t="s">
        <v>1508</v>
      </c>
      <c r="S474" s="5" t="s">
        <v>1508</v>
      </c>
      <c r="T474" s="5" t="s">
        <v>1509</v>
      </c>
    </row>
    <row r="475">
      <c r="E475" s="5">
        <v>473.0</v>
      </c>
      <c r="F475" s="5" t="s">
        <v>95</v>
      </c>
      <c r="G475" s="5" t="s">
        <v>409</v>
      </c>
      <c r="H475" s="5" t="s">
        <v>1062</v>
      </c>
      <c r="I475" s="5" t="s">
        <v>723</v>
      </c>
      <c r="J475" s="5" t="s">
        <v>1472</v>
      </c>
      <c r="K475" s="5" t="s">
        <v>21</v>
      </c>
      <c r="L475" s="5" t="s">
        <v>1015</v>
      </c>
      <c r="N475" s="5" t="s">
        <v>1003</v>
      </c>
      <c r="P475" s="5" t="s">
        <v>1507</v>
      </c>
      <c r="Q475" s="6">
        <v>35.0</v>
      </c>
      <c r="R475" s="5" t="s">
        <v>1508</v>
      </c>
      <c r="S475" s="5" t="s">
        <v>1508</v>
      </c>
      <c r="T475" s="5" t="s">
        <v>1509</v>
      </c>
    </row>
    <row r="476">
      <c r="E476" s="5">
        <v>474.0</v>
      </c>
      <c r="F476" s="5" t="s">
        <v>95</v>
      </c>
      <c r="G476" s="5" t="s">
        <v>446</v>
      </c>
      <c r="H476" s="5" t="s">
        <v>947</v>
      </c>
      <c r="I476" s="5" t="s">
        <v>752</v>
      </c>
      <c r="J476" s="5" t="s">
        <v>1518</v>
      </c>
      <c r="K476" s="5" t="s">
        <v>21</v>
      </c>
      <c r="L476" s="5" t="s">
        <v>1015</v>
      </c>
      <c r="N476" s="5" t="s">
        <v>1003</v>
      </c>
      <c r="P476" s="5" t="s">
        <v>1507</v>
      </c>
      <c r="Q476" s="6">
        <v>35.0</v>
      </c>
      <c r="R476" s="5" t="s">
        <v>1508</v>
      </c>
      <c r="S476" s="5" t="s">
        <v>1508</v>
      </c>
      <c r="T476" s="5" t="s">
        <v>1509</v>
      </c>
    </row>
    <row r="477">
      <c r="E477" s="5">
        <v>475.0</v>
      </c>
      <c r="F477" s="5" t="s">
        <v>17</v>
      </c>
      <c r="H477" s="5" t="s">
        <v>1519</v>
      </c>
      <c r="I477" s="5" t="s">
        <v>19</v>
      </c>
      <c r="J477" s="5" t="s">
        <v>1520</v>
      </c>
      <c r="K477" s="5" t="s">
        <v>21</v>
      </c>
      <c r="L477" s="5" t="s">
        <v>1015</v>
      </c>
      <c r="N477" s="5" t="s">
        <v>1003</v>
      </c>
      <c r="P477" s="5" t="s">
        <v>1507</v>
      </c>
      <c r="Q477" s="6">
        <v>36.0</v>
      </c>
      <c r="R477" s="5" t="s">
        <v>1508</v>
      </c>
      <c r="S477" s="5" t="s">
        <v>1508</v>
      </c>
      <c r="T477" s="5" t="s">
        <v>1509</v>
      </c>
    </row>
    <row r="478">
      <c r="E478" s="5">
        <v>476.0</v>
      </c>
      <c r="F478" s="5" t="s">
        <v>95</v>
      </c>
      <c r="H478" s="5" t="s">
        <v>1521</v>
      </c>
      <c r="I478" s="5" t="s">
        <v>1522</v>
      </c>
      <c r="J478" s="5" t="s">
        <v>1523</v>
      </c>
      <c r="K478" s="5" t="s">
        <v>21</v>
      </c>
      <c r="L478" s="5" t="s">
        <v>1015</v>
      </c>
      <c r="N478" s="5" t="s">
        <v>1003</v>
      </c>
      <c r="P478" s="5" t="s">
        <v>1507</v>
      </c>
      <c r="Q478" s="6">
        <v>36.0</v>
      </c>
      <c r="R478" s="5" t="s">
        <v>1508</v>
      </c>
      <c r="S478" s="5" t="s">
        <v>1508</v>
      </c>
      <c r="T478" s="5" t="s">
        <v>1509</v>
      </c>
    </row>
    <row r="479">
      <c r="E479" s="5">
        <v>477.0</v>
      </c>
      <c r="F479" s="5" t="s">
        <v>95</v>
      </c>
      <c r="H479" s="5" t="s">
        <v>1524</v>
      </c>
      <c r="I479" s="5" t="s">
        <v>1525</v>
      </c>
      <c r="J479" s="5" t="s">
        <v>1523</v>
      </c>
      <c r="K479" s="5" t="s">
        <v>21</v>
      </c>
      <c r="L479" s="5" t="s">
        <v>1015</v>
      </c>
      <c r="N479" s="5" t="s">
        <v>1003</v>
      </c>
      <c r="P479" s="5" t="s">
        <v>1507</v>
      </c>
      <c r="Q479" s="6">
        <v>36.0</v>
      </c>
      <c r="R479" s="5" t="s">
        <v>1508</v>
      </c>
      <c r="S479" s="5" t="s">
        <v>1508</v>
      </c>
      <c r="T479" s="5" t="s">
        <v>1509</v>
      </c>
    </row>
    <row r="480">
      <c r="E480" s="5">
        <v>478.0</v>
      </c>
      <c r="F480" s="5" t="s">
        <v>209</v>
      </c>
      <c r="H480" s="5" t="s">
        <v>1526</v>
      </c>
      <c r="I480" s="5" t="s">
        <v>1475</v>
      </c>
      <c r="J480" s="5" t="s">
        <v>705</v>
      </c>
      <c r="K480" s="5" t="s">
        <v>21</v>
      </c>
      <c r="L480" s="5" t="s">
        <v>1015</v>
      </c>
      <c r="N480" s="5" t="s">
        <v>1003</v>
      </c>
      <c r="P480" s="5" t="s">
        <v>1507</v>
      </c>
      <c r="Q480" s="6">
        <v>37.0</v>
      </c>
      <c r="R480" s="5" t="s">
        <v>1508</v>
      </c>
      <c r="S480" s="5" t="s">
        <v>1508</v>
      </c>
      <c r="T480" s="5" t="s">
        <v>1509</v>
      </c>
    </row>
    <row r="481">
      <c r="E481" s="5">
        <v>479.0</v>
      </c>
      <c r="F481" s="5" t="s">
        <v>209</v>
      </c>
      <c r="H481" s="5" t="s">
        <v>1527</v>
      </c>
      <c r="I481" s="5" t="s">
        <v>1475</v>
      </c>
      <c r="J481" s="5" t="s">
        <v>1528</v>
      </c>
      <c r="K481" s="5" t="s">
        <v>21</v>
      </c>
      <c r="L481" s="5" t="s">
        <v>1015</v>
      </c>
      <c r="N481" s="5" t="s">
        <v>1003</v>
      </c>
      <c r="P481" s="5" t="s">
        <v>1507</v>
      </c>
      <c r="Q481" s="6">
        <v>37.0</v>
      </c>
      <c r="R481" s="5" t="s">
        <v>1508</v>
      </c>
      <c r="S481" s="5" t="s">
        <v>1508</v>
      </c>
      <c r="T481" s="5" t="s">
        <v>1509</v>
      </c>
    </row>
    <row r="482">
      <c r="E482" s="5">
        <v>480.0</v>
      </c>
      <c r="F482" s="5" t="s">
        <v>209</v>
      </c>
      <c r="H482" s="5" t="s">
        <v>1527</v>
      </c>
      <c r="I482" s="5" t="s">
        <v>1475</v>
      </c>
      <c r="J482" s="5" t="s">
        <v>1529</v>
      </c>
      <c r="K482" s="5" t="s">
        <v>21</v>
      </c>
      <c r="L482" s="5" t="s">
        <v>1015</v>
      </c>
      <c r="N482" s="5" t="s">
        <v>1003</v>
      </c>
      <c r="P482" s="5" t="s">
        <v>1507</v>
      </c>
      <c r="Q482" s="6">
        <v>37.0</v>
      </c>
      <c r="R482" s="5" t="s">
        <v>1508</v>
      </c>
      <c r="S482" s="5" t="s">
        <v>1508</v>
      </c>
      <c r="T482" s="5" t="s">
        <v>1509</v>
      </c>
    </row>
    <row r="483">
      <c r="E483" s="5">
        <v>481.0</v>
      </c>
      <c r="F483" s="5" t="s">
        <v>95</v>
      </c>
      <c r="H483" s="5" t="s">
        <v>515</v>
      </c>
      <c r="I483" s="5" t="s">
        <v>193</v>
      </c>
      <c r="J483" s="5" t="s">
        <v>1530</v>
      </c>
      <c r="K483" s="5" t="s">
        <v>21</v>
      </c>
      <c r="L483" s="5" t="s">
        <v>1015</v>
      </c>
      <c r="N483" s="5" t="s">
        <v>1003</v>
      </c>
      <c r="P483" s="5" t="s">
        <v>1507</v>
      </c>
      <c r="Q483" s="6">
        <v>38.0</v>
      </c>
      <c r="R483" s="5" t="s">
        <v>1508</v>
      </c>
      <c r="S483" s="5" t="s">
        <v>1508</v>
      </c>
      <c r="T483" s="5" t="s">
        <v>1509</v>
      </c>
    </row>
    <row r="484">
      <c r="E484" s="5">
        <v>482.0</v>
      </c>
      <c r="F484" s="5" t="s">
        <v>190</v>
      </c>
      <c r="H484" s="5" t="s">
        <v>515</v>
      </c>
      <c r="I484" s="5" t="s">
        <v>193</v>
      </c>
      <c r="J484" s="5" t="s">
        <v>1531</v>
      </c>
      <c r="K484" s="5" t="s">
        <v>21</v>
      </c>
      <c r="L484" s="5" t="s">
        <v>1015</v>
      </c>
      <c r="N484" s="5" t="s">
        <v>1003</v>
      </c>
      <c r="P484" s="5" t="s">
        <v>1507</v>
      </c>
      <c r="Q484" s="6">
        <v>38.0</v>
      </c>
      <c r="R484" s="5" t="s">
        <v>1508</v>
      </c>
      <c r="S484" s="5" t="s">
        <v>1508</v>
      </c>
      <c r="T484" s="5" t="s">
        <v>1509</v>
      </c>
    </row>
    <row r="485">
      <c r="C485" s="14" t="s">
        <v>1532</v>
      </c>
      <c r="E485" s="5">
        <v>483.0</v>
      </c>
      <c r="F485" s="5" t="s">
        <v>52</v>
      </c>
      <c r="H485" s="5" t="s">
        <v>19</v>
      </c>
      <c r="I485" s="5" t="s">
        <v>46</v>
      </c>
      <c r="J485" s="5" t="s">
        <v>958</v>
      </c>
      <c r="K485" s="5" t="s">
        <v>21</v>
      </c>
      <c r="L485" s="5" t="s">
        <v>1015</v>
      </c>
      <c r="N485" s="5" t="s">
        <v>1003</v>
      </c>
      <c r="P485" s="5" t="s">
        <v>1533</v>
      </c>
      <c r="Q485" s="6">
        <v>304.0</v>
      </c>
      <c r="R485" s="5" t="s">
        <v>1534</v>
      </c>
      <c r="S485" s="5" t="s">
        <v>1534</v>
      </c>
      <c r="T485" s="5" t="s">
        <v>1534</v>
      </c>
    </row>
    <row r="486">
      <c r="E486" s="5">
        <v>484.0</v>
      </c>
      <c r="F486" s="5" t="s">
        <v>17</v>
      </c>
      <c r="H486" s="5" t="s">
        <v>46</v>
      </c>
      <c r="I486" s="5" t="s">
        <v>19</v>
      </c>
      <c r="J486" s="5" t="s">
        <v>1514</v>
      </c>
      <c r="K486" s="5" t="s">
        <v>21</v>
      </c>
      <c r="L486" s="5" t="s">
        <v>1015</v>
      </c>
      <c r="N486" s="5" t="s">
        <v>1003</v>
      </c>
      <c r="P486" s="5" t="s">
        <v>1533</v>
      </c>
      <c r="Q486" s="6">
        <v>304.0</v>
      </c>
      <c r="R486" s="5" t="s">
        <v>1534</v>
      </c>
      <c r="S486" s="5" t="s">
        <v>1534</v>
      </c>
      <c r="T486" s="5" t="s">
        <v>1534</v>
      </c>
    </row>
    <row r="487">
      <c r="E487" s="5">
        <v>485.0</v>
      </c>
      <c r="F487" s="5" t="s">
        <v>17</v>
      </c>
      <c r="H487" s="5" t="s">
        <v>1535</v>
      </c>
      <c r="I487" s="5" t="s">
        <v>19</v>
      </c>
      <c r="J487" s="5" t="s">
        <v>1536</v>
      </c>
      <c r="K487" s="5" t="s">
        <v>21</v>
      </c>
      <c r="L487" s="5" t="s">
        <v>1015</v>
      </c>
      <c r="N487" s="5" t="s">
        <v>1003</v>
      </c>
      <c r="P487" s="5" t="s">
        <v>1533</v>
      </c>
      <c r="Q487" s="6">
        <v>305.0</v>
      </c>
      <c r="R487" s="5" t="s">
        <v>1534</v>
      </c>
      <c r="S487" s="5" t="s">
        <v>1534</v>
      </c>
      <c r="T487" s="5" t="s">
        <v>1534</v>
      </c>
    </row>
    <row r="488">
      <c r="E488" s="5">
        <v>486.0</v>
      </c>
      <c r="F488" s="5" t="s">
        <v>95</v>
      </c>
      <c r="G488" s="5" t="s">
        <v>446</v>
      </c>
      <c r="H488" s="5" t="s">
        <v>947</v>
      </c>
      <c r="I488" s="5" t="s">
        <v>1062</v>
      </c>
      <c r="J488" s="5" t="s">
        <v>1537</v>
      </c>
      <c r="K488" s="5" t="s">
        <v>21</v>
      </c>
      <c r="L488" s="5" t="s">
        <v>1015</v>
      </c>
      <c r="N488" s="5" t="s">
        <v>1003</v>
      </c>
      <c r="P488" s="5" t="s">
        <v>1533</v>
      </c>
      <c r="Q488" s="6">
        <v>308.0</v>
      </c>
      <c r="R488" s="5" t="s">
        <v>1534</v>
      </c>
      <c r="S488" s="5" t="s">
        <v>1534</v>
      </c>
      <c r="T488" s="5" t="s">
        <v>1534</v>
      </c>
    </row>
    <row r="489">
      <c r="E489" s="5">
        <v>487.0</v>
      </c>
      <c r="F489" s="5" t="s">
        <v>95</v>
      </c>
      <c r="G489" s="5" t="s">
        <v>446</v>
      </c>
      <c r="H489" s="5" t="s">
        <v>947</v>
      </c>
      <c r="I489" s="5" t="s">
        <v>723</v>
      </c>
      <c r="J489" s="5" t="s">
        <v>724</v>
      </c>
      <c r="K489" s="5" t="s">
        <v>21</v>
      </c>
      <c r="L489" s="5" t="s">
        <v>1015</v>
      </c>
      <c r="N489" s="5" t="s">
        <v>1003</v>
      </c>
      <c r="P489" s="5" t="s">
        <v>1533</v>
      </c>
      <c r="Q489" s="6">
        <v>308.0</v>
      </c>
      <c r="R489" s="5" t="s">
        <v>1534</v>
      </c>
      <c r="S489" s="5" t="s">
        <v>1534</v>
      </c>
      <c r="T489" s="5" t="s">
        <v>1534</v>
      </c>
    </row>
    <row r="490">
      <c r="E490" s="5">
        <v>488.0</v>
      </c>
      <c r="F490" s="5" t="s">
        <v>95</v>
      </c>
      <c r="G490" s="5" t="s">
        <v>446</v>
      </c>
      <c r="H490" s="5" t="s">
        <v>947</v>
      </c>
      <c r="I490" s="5" t="s">
        <v>1443</v>
      </c>
      <c r="J490" s="5" t="s">
        <v>1538</v>
      </c>
      <c r="K490" s="5" t="s">
        <v>21</v>
      </c>
      <c r="L490" s="5" t="s">
        <v>1015</v>
      </c>
      <c r="N490" s="5" t="s">
        <v>1003</v>
      </c>
      <c r="P490" s="5" t="s">
        <v>1533</v>
      </c>
      <c r="Q490" s="6">
        <v>308.0</v>
      </c>
      <c r="R490" s="5" t="s">
        <v>1534</v>
      </c>
      <c r="S490" s="5" t="s">
        <v>1534</v>
      </c>
      <c r="T490" s="5" t="s">
        <v>1534</v>
      </c>
    </row>
    <row r="491">
      <c r="E491" s="5">
        <v>489.0</v>
      </c>
      <c r="F491" s="5" t="s">
        <v>95</v>
      </c>
      <c r="G491" s="5" t="s">
        <v>446</v>
      </c>
      <c r="H491" s="5" t="s">
        <v>947</v>
      </c>
      <c r="I491" s="5" t="s">
        <v>752</v>
      </c>
      <c r="J491" s="5" t="s">
        <v>1108</v>
      </c>
      <c r="K491" s="5" t="s">
        <v>21</v>
      </c>
      <c r="L491" s="5" t="s">
        <v>1015</v>
      </c>
      <c r="N491" s="5" t="s">
        <v>1003</v>
      </c>
      <c r="P491" s="5" t="s">
        <v>1533</v>
      </c>
      <c r="Q491" s="6">
        <v>308.0</v>
      </c>
      <c r="R491" s="5" t="s">
        <v>1534</v>
      </c>
      <c r="S491" s="5" t="s">
        <v>1534</v>
      </c>
      <c r="T491" s="5" t="s">
        <v>1534</v>
      </c>
    </row>
    <row r="492">
      <c r="E492" s="5">
        <v>490.0</v>
      </c>
      <c r="F492" s="5" t="s">
        <v>95</v>
      </c>
      <c r="G492" s="5" t="s">
        <v>446</v>
      </c>
      <c r="H492" s="5" t="s">
        <v>947</v>
      </c>
      <c r="I492" s="5" t="s">
        <v>1539</v>
      </c>
      <c r="J492" s="5" t="s">
        <v>1540</v>
      </c>
      <c r="K492" s="5" t="s">
        <v>21</v>
      </c>
      <c r="L492" s="5" t="s">
        <v>1015</v>
      </c>
      <c r="N492" s="5" t="s">
        <v>1003</v>
      </c>
      <c r="P492" s="5" t="s">
        <v>1533</v>
      </c>
      <c r="Q492" s="6">
        <v>308.0</v>
      </c>
      <c r="R492" s="5" t="s">
        <v>1534</v>
      </c>
      <c r="S492" s="5" t="s">
        <v>1534</v>
      </c>
      <c r="T492" s="5" t="s">
        <v>1534</v>
      </c>
    </row>
    <row r="493">
      <c r="E493" s="5">
        <v>491.0</v>
      </c>
      <c r="F493" s="5" t="s">
        <v>95</v>
      </c>
      <c r="H493" s="5" t="s">
        <v>1541</v>
      </c>
      <c r="I493" s="5" t="s">
        <v>776</v>
      </c>
      <c r="J493" s="5" t="s">
        <v>1542</v>
      </c>
      <c r="K493" s="5" t="s">
        <v>21</v>
      </c>
      <c r="L493" s="5" t="s">
        <v>1015</v>
      </c>
      <c r="N493" s="5" t="s">
        <v>1003</v>
      </c>
      <c r="P493" s="5" t="s">
        <v>1533</v>
      </c>
      <c r="Q493" s="6">
        <v>308.0</v>
      </c>
      <c r="R493" s="5" t="s">
        <v>1534</v>
      </c>
      <c r="S493" s="5" t="s">
        <v>1534</v>
      </c>
      <c r="T493" s="5" t="s">
        <v>1534</v>
      </c>
    </row>
    <row r="494">
      <c r="E494" s="5">
        <v>492.0</v>
      </c>
      <c r="F494" s="5" t="s">
        <v>95</v>
      </c>
      <c r="H494" s="5" t="s">
        <v>1541</v>
      </c>
      <c r="I494" s="5" t="s">
        <v>777</v>
      </c>
      <c r="J494" s="5" t="s">
        <v>1543</v>
      </c>
      <c r="K494" s="5" t="s">
        <v>21</v>
      </c>
      <c r="L494" s="5" t="s">
        <v>1015</v>
      </c>
      <c r="N494" s="5" t="s">
        <v>1003</v>
      </c>
      <c r="P494" s="5" t="s">
        <v>1533</v>
      </c>
      <c r="Q494" s="6">
        <v>308.0</v>
      </c>
      <c r="R494" s="5" t="s">
        <v>1534</v>
      </c>
      <c r="S494" s="5" t="s">
        <v>1534</v>
      </c>
      <c r="T494" s="5" t="s">
        <v>1534</v>
      </c>
    </row>
    <row r="495">
      <c r="E495" s="5">
        <v>493.0</v>
      </c>
      <c r="F495" s="5" t="s">
        <v>95</v>
      </c>
      <c r="H495" s="5" t="s">
        <v>893</v>
      </c>
      <c r="I495" s="5" t="s">
        <v>765</v>
      </c>
      <c r="J495" s="5" t="s">
        <v>1544</v>
      </c>
      <c r="K495" s="5" t="s">
        <v>21</v>
      </c>
      <c r="L495" s="5" t="s">
        <v>1015</v>
      </c>
      <c r="N495" s="5" t="s">
        <v>1003</v>
      </c>
      <c r="P495" s="5" t="s">
        <v>1533</v>
      </c>
      <c r="Q495" s="6">
        <v>308.0</v>
      </c>
      <c r="R495" s="5" t="s">
        <v>1534</v>
      </c>
      <c r="S495" s="5" t="s">
        <v>1534</v>
      </c>
      <c r="T495" s="5" t="s">
        <v>1534</v>
      </c>
    </row>
    <row r="496">
      <c r="E496" s="5">
        <v>494.0</v>
      </c>
      <c r="F496" s="5" t="s">
        <v>68</v>
      </c>
      <c r="H496" s="5" t="s">
        <v>1545</v>
      </c>
      <c r="I496" s="5" t="s">
        <v>1546</v>
      </c>
      <c r="J496" s="5" t="s">
        <v>71</v>
      </c>
      <c r="K496" s="5" t="s">
        <v>21</v>
      </c>
      <c r="L496" s="5" t="s">
        <v>1015</v>
      </c>
      <c r="N496" s="5" t="s">
        <v>1003</v>
      </c>
      <c r="P496" s="5" t="s">
        <v>1533</v>
      </c>
      <c r="Q496" s="6">
        <v>308.0</v>
      </c>
      <c r="R496" s="5" t="s">
        <v>1534</v>
      </c>
      <c r="S496" s="5" t="s">
        <v>1534</v>
      </c>
      <c r="T496" s="5" t="s">
        <v>1534</v>
      </c>
    </row>
    <row r="497">
      <c r="E497" s="5">
        <v>495.0</v>
      </c>
      <c r="F497" s="5" t="s">
        <v>52</v>
      </c>
      <c r="G497" s="5" t="s">
        <v>53</v>
      </c>
      <c r="H497" s="5" t="s">
        <v>19</v>
      </c>
      <c r="I497" s="5" t="s">
        <v>859</v>
      </c>
      <c r="J497" s="5" t="s">
        <v>1547</v>
      </c>
      <c r="K497" s="5" t="s">
        <v>21</v>
      </c>
      <c r="L497" s="5" t="s">
        <v>1015</v>
      </c>
      <c r="N497" s="5" t="s">
        <v>1003</v>
      </c>
      <c r="P497" s="5" t="s">
        <v>1533</v>
      </c>
      <c r="Q497" s="6">
        <v>308.0</v>
      </c>
      <c r="R497" s="5" t="s">
        <v>1534</v>
      </c>
      <c r="S497" s="5" t="s">
        <v>1534</v>
      </c>
      <c r="T497" s="5" t="s">
        <v>1534</v>
      </c>
    </row>
    <row r="498">
      <c r="E498" s="5">
        <v>496.0</v>
      </c>
      <c r="F498" s="5" t="s">
        <v>281</v>
      </c>
      <c r="H498" s="5" t="s">
        <v>1548</v>
      </c>
      <c r="I498" s="5" t="s">
        <v>894</v>
      </c>
      <c r="J498" s="5" t="s">
        <v>71</v>
      </c>
      <c r="K498" s="5" t="s">
        <v>21</v>
      </c>
      <c r="L498" s="5" t="s">
        <v>1015</v>
      </c>
      <c r="N498" s="5" t="s">
        <v>1003</v>
      </c>
      <c r="P498" s="5" t="s">
        <v>1533</v>
      </c>
      <c r="Q498" s="6">
        <v>308.0</v>
      </c>
      <c r="R498" s="5" t="s">
        <v>1534</v>
      </c>
      <c r="S498" s="5" t="s">
        <v>1534</v>
      </c>
      <c r="T498" s="5" t="s">
        <v>1534</v>
      </c>
    </row>
    <row r="499">
      <c r="E499" s="5">
        <v>497.0</v>
      </c>
      <c r="F499" s="5" t="s">
        <v>281</v>
      </c>
      <c r="H499" s="5" t="s">
        <v>1549</v>
      </c>
      <c r="I499" s="5" t="s">
        <v>894</v>
      </c>
      <c r="J499" s="5" t="s">
        <v>71</v>
      </c>
      <c r="K499" s="5" t="s">
        <v>21</v>
      </c>
      <c r="L499" s="5" t="s">
        <v>1015</v>
      </c>
      <c r="N499" s="5" t="s">
        <v>1003</v>
      </c>
      <c r="P499" s="5" t="s">
        <v>1533</v>
      </c>
      <c r="Q499" s="6">
        <v>308.0</v>
      </c>
      <c r="R499" s="5" t="s">
        <v>1534</v>
      </c>
      <c r="S499" s="5" t="s">
        <v>1534</v>
      </c>
      <c r="T499" s="5" t="s">
        <v>1534</v>
      </c>
    </row>
    <row r="500">
      <c r="E500" s="5">
        <v>498.0</v>
      </c>
      <c r="F500" s="5" t="s">
        <v>281</v>
      </c>
      <c r="H500" s="5" t="s">
        <v>765</v>
      </c>
      <c r="I500" s="5" t="s">
        <v>777</v>
      </c>
      <c r="J500" s="5" t="s">
        <v>71</v>
      </c>
      <c r="K500" s="5" t="s">
        <v>21</v>
      </c>
      <c r="L500" s="5" t="s">
        <v>1015</v>
      </c>
      <c r="N500" s="5" t="s">
        <v>1003</v>
      </c>
      <c r="P500" s="5" t="s">
        <v>1533</v>
      </c>
      <c r="Q500" s="6">
        <v>308.0</v>
      </c>
      <c r="R500" s="5" t="s">
        <v>1534</v>
      </c>
      <c r="S500" s="5" t="s">
        <v>1534</v>
      </c>
      <c r="T500" s="5" t="s">
        <v>1534</v>
      </c>
    </row>
    <row r="501">
      <c r="E501" s="5">
        <v>499.0</v>
      </c>
      <c r="F501" s="5" t="s">
        <v>281</v>
      </c>
      <c r="H501" s="5" t="s">
        <v>769</v>
      </c>
      <c r="I501" s="5" t="s">
        <v>893</v>
      </c>
      <c r="J501" s="5" t="s">
        <v>71</v>
      </c>
      <c r="K501" s="5" t="s">
        <v>21</v>
      </c>
      <c r="L501" s="5" t="s">
        <v>1015</v>
      </c>
      <c r="N501" s="5" t="s">
        <v>1003</v>
      </c>
      <c r="P501" s="5" t="s">
        <v>1533</v>
      </c>
      <c r="Q501" s="6">
        <v>308.0</v>
      </c>
      <c r="R501" s="5" t="s">
        <v>1534</v>
      </c>
      <c r="S501" s="5" t="s">
        <v>1534</v>
      </c>
      <c r="T501" s="5" t="s">
        <v>1534</v>
      </c>
    </row>
    <row r="502">
      <c r="C502" s="14" t="s">
        <v>1550</v>
      </c>
      <c r="E502" s="5">
        <v>500.0</v>
      </c>
      <c r="F502" s="5" t="s">
        <v>17</v>
      </c>
      <c r="G502" s="5" t="s">
        <v>1135</v>
      </c>
      <c r="H502" s="5" t="s">
        <v>947</v>
      </c>
      <c r="I502" s="5" t="s">
        <v>19</v>
      </c>
      <c r="J502" s="5" t="s">
        <v>237</v>
      </c>
      <c r="K502" s="5" t="s">
        <v>21</v>
      </c>
      <c r="L502" s="5" t="s">
        <v>1015</v>
      </c>
      <c r="N502" s="5" t="s">
        <v>1003</v>
      </c>
      <c r="P502" s="5" t="s">
        <v>1551</v>
      </c>
      <c r="Q502" s="6">
        <v>18.0</v>
      </c>
      <c r="R502" s="5" t="s">
        <v>1552</v>
      </c>
      <c r="S502" s="5" t="s">
        <v>1552</v>
      </c>
      <c r="T502" s="5" t="s">
        <v>1553</v>
      </c>
    </row>
    <row r="503">
      <c r="E503" s="5">
        <v>501.0</v>
      </c>
      <c r="F503" s="5" t="s">
        <v>176</v>
      </c>
      <c r="G503" s="5" t="s">
        <v>1135</v>
      </c>
      <c r="H503" s="5" t="s">
        <v>1236</v>
      </c>
      <c r="I503" s="5" t="s">
        <v>1237</v>
      </c>
      <c r="J503" s="5" t="s">
        <v>237</v>
      </c>
      <c r="K503" s="5" t="s">
        <v>1554</v>
      </c>
      <c r="L503" s="5" t="s">
        <v>1015</v>
      </c>
      <c r="N503" s="5" t="s">
        <v>1003</v>
      </c>
      <c r="P503" s="5" t="s">
        <v>1551</v>
      </c>
      <c r="Q503" s="6">
        <v>18.0</v>
      </c>
      <c r="R503" s="5" t="s">
        <v>1552</v>
      </c>
      <c r="S503" s="5" t="s">
        <v>1552</v>
      </c>
      <c r="T503" s="5" t="s">
        <v>1553</v>
      </c>
    </row>
    <row r="504">
      <c r="E504" s="5">
        <v>502.0</v>
      </c>
      <c r="F504" s="5" t="s">
        <v>176</v>
      </c>
      <c r="G504" s="5" t="s">
        <v>1135</v>
      </c>
      <c r="H504" s="5" t="s">
        <v>1236</v>
      </c>
      <c r="I504" s="5" t="s">
        <v>1237</v>
      </c>
      <c r="J504" s="5" t="s">
        <v>71</v>
      </c>
      <c r="K504" s="5" t="s">
        <v>1554</v>
      </c>
      <c r="L504" s="5" t="s">
        <v>1015</v>
      </c>
      <c r="N504" s="5" t="s">
        <v>1003</v>
      </c>
      <c r="P504" s="5" t="s">
        <v>1551</v>
      </c>
      <c r="Q504" s="6">
        <v>18.0</v>
      </c>
      <c r="R504" s="5" t="s">
        <v>1552</v>
      </c>
      <c r="S504" s="5" t="s">
        <v>1552</v>
      </c>
      <c r="T504" s="5" t="s">
        <v>1553</v>
      </c>
    </row>
    <row r="505">
      <c r="E505" s="5">
        <v>503.0</v>
      </c>
      <c r="F505" s="5" t="s">
        <v>176</v>
      </c>
      <c r="H505" s="5" t="s">
        <v>566</v>
      </c>
      <c r="I505" s="5" t="s">
        <v>567</v>
      </c>
      <c r="J505" s="5" t="s">
        <v>71</v>
      </c>
      <c r="K505" s="5" t="s">
        <v>1554</v>
      </c>
      <c r="L505" s="5" t="s">
        <v>1015</v>
      </c>
      <c r="N505" s="5" t="s">
        <v>1003</v>
      </c>
      <c r="P505" s="5" t="s">
        <v>1551</v>
      </c>
      <c r="Q505" s="6">
        <v>19.0</v>
      </c>
      <c r="R505" s="5" t="s">
        <v>1552</v>
      </c>
      <c r="S505" s="5" t="s">
        <v>1552</v>
      </c>
      <c r="T505" s="5" t="s">
        <v>1553</v>
      </c>
    </row>
    <row r="506">
      <c r="E506" s="5">
        <v>504.0</v>
      </c>
      <c r="F506" s="5" t="s">
        <v>870</v>
      </c>
      <c r="H506" s="5" t="s">
        <v>1485</v>
      </c>
      <c r="I506" s="5" t="s">
        <v>1486</v>
      </c>
      <c r="J506" s="5" t="s">
        <v>1555</v>
      </c>
      <c r="K506" s="5" t="s">
        <v>21</v>
      </c>
      <c r="L506" s="5" t="s">
        <v>1015</v>
      </c>
      <c r="N506" s="5" t="s">
        <v>1003</v>
      </c>
      <c r="P506" s="5" t="s">
        <v>1551</v>
      </c>
      <c r="Q506" s="6">
        <v>19.0</v>
      </c>
      <c r="R506" s="5" t="s">
        <v>1552</v>
      </c>
      <c r="S506" s="5" t="s">
        <v>1552</v>
      </c>
      <c r="T506" s="5" t="s">
        <v>1553</v>
      </c>
    </row>
    <row r="507">
      <c r="E507" s="5">
        <v>505.0</v>
      </c>
      <c r="F507" s="5" t="s">
        <v>870</v>
      </c>
      <c r="H507" s="5" t="s">
        <v>1488</v>
      </c>
      <c r="I507" s="5" t="s">
        <v>1489</v>
      </c>
      <c r="J507" s="5" t="s">
        <v>1556</v>
      </c>
      <c r="K507" s="5" t="s">
        <v>21</v>
      </c>
      <c r="L507" s="5" t="s">
        <v>1015</v>
      </c>
      <c r="N507" s="5" t="s">
        <v>1003</v>
      </c>
      <c r="P507" s="5" t="s">
        <v>1551</v>
      </c>
      <c r="Q507" s="6">
        <v>19.0</v>
      </c>
      <c r="R507" s="5" t="s">
        <v>1552</v>
      </c>
      <c r="S507" s="5" t="s">
        <v>1552</v>
      </c>
      <c r="T507" s="5" t="s">
        <v>1553</v>
      </c>
    </row>
    <row r="508">
      <c r="E508" s="5">
        <v>506.0</v>
      </c>
      <c r="F508" s="5" t="s">
        <v>209</v>
      </c>
      <c r="H508" s="5" t="s">
        <v>1447</v>
      </c>
      <c r="I508" s="5" t="s">
        <v>1557</v>
      </c>
      <c r="J508" s="5" t="s">
        <v>1558</v>
      </c>
      <c r="K508" s="5" t="s">
        <v>21</v>
      </c>
      <c r="L508" s="5" t="s">
        <v>1015</v>
      </c>
      <c r="N508" s="5" t="s">
        <v>1003</v>
      </c>
      <c r="P508" s="5" t="s">
        <v>1551</v>
      </c>
      <c r="Q508" s="6">
        <v>32.0</v>
      </c>
      <c r="R508" s="5" t="s">
        <v>1552</v>
      </c>
      <c r="S508" s="5" t="s">
        <v>1552</v>
      </c>
      <c r="T508" s="5" t="s">
        <v>1553</v>
      </c>
    </row>
    <row r="509">
      <c r="E509" s="5">
        <v>507.0</v>
      </c>
      <c r="F509" s="5" t="s">
        <v>209</v>
      </c>
      <c r="H509" s="5" t="s">
        <v>1444</v>
      </c>
      <c r="I509" s="5" t="s">
        <v>1559</v>
      </c>
      <c r="J509" s="5" t="s">
        <v>1560</v>
      </c>
      <c r="K509" s="5" t="s">
        <v>21</v>
      </c>
      <c r="L509" s="5" t="s">
        <v>1015</v>
      </c>
      <c r="N509" s="5" t="s">
        <v>1003</v>
      </c>
      <c r="P509" s="5" t="s">
        <v>1551</v>
      </c>
      <c r="Q509" s="6">
        <v>32.0</v>
      </c>
      <c r="R509" s="5" t="s">
        <v>1552</v>
      </c>
      <c r="S509" s="5" t="s">
        <v>1552</v>
      </c>
      <c r="T509" s="5" t="s">
        <v>1553</v>
      </c>
    </row>
    <row r="510">
      <c r="E510" s="5">
        <v>508.0</v>
      </c>
      <c r="F510" s="5" t="s">
        <v>209</v>
      </c>
      <c r="H510" s="5" t="s">
        <v>1448</v>
      </c>
      <c r="I510" s="5" t="s">
        <v>1561</v>
      </c>
      <c r="J510" s="5" t="s">
        <v>1560</v>
      </c>
      <c r="K510" s="5" t="s">
        <v>21</v>
      </c>
      <c r="L510" s="5" t="s">
        <v>1015</v>
      </c>
      <c r="N510" s="5" t="s">
        <v>1003</v>
      </c>
      <c r="P510" s="5" t="s">
        <v>1551</v>
      </c>
      <c r="Q510" s="6">
        <v>33.0</v>
      </c>
      <c r="R510" s="5" t="s">
        <v>1552</v>
      </c>
      <c r="S510" s="5" t="s">
        <v>1552</v>
      </c>
      <c r="T510" s="5" t="s">
        <v>1553</v>
      </c>
    </row>
    <row r="511">
      <c r="E511" s="5">
        <v>509.0</v>
      </c>
      <c r="F511" s="5" t="s">
        <v>209</v>
      </c>
      <c r="H511" s="5" t="s">
        <v>1562</v>
      </c>
      <c r="I511" s="5" t="s">
        <v>1563</v>
      </c>
      <c r="J511" s="5" t="s">
        <v>1564</v>
      </c>
      <c r="K511" s="5" t="s">
        <v>21</v>
      </c>
      <c r="L511" s="5" t="s">
        <v>1015</v>
      </c>
      <c r="N511" s="5" t="s">
        <v>1003</v>
      </c>
      <c r="P511" s="5" t="s">
        <v>1551</v>
      </c>
      <c r="Q511" s="6" t="s">
        <v>76</v>
      </c>
      <c r="R511" s="5" t="s">
        <v>1552</v>
      </c>
      <c r="S511" s="5" t="s">
        <v>1552</v>
      </c>
      <c r="T511" s="5" t="s">
        <v>1553</v>
      </c>
    </row>
    <row r="512">
      <c r="E512" s="5">
        <v>510.0</v>
      </c>
      <c r="F512" s="5" t="s">
        <v>209</v>
      </c>
      <c r="H512" s="5" t="s">
        <v>769</v>
      </c>
      <c r="I512" s="5" t="s">
        <v>772</v>
      </c>
      <c r="J512" s="5" t="s">
        <v>1564</v>
      </c>
      <c r="K512" s="5" t="s">
        <v>21</v>
      </c>
      <c r="L512" s="5" t="s">
        <v>1015</v>
      </c>
      <c r="N512" s="5" t="s">
        <v>1003</v>
      </c>
      <c r="P512" s="5" t="s">
        <v>1551</v>
      </c>
      <c r="Q512" s="6">
        <v>34.0</v>
      </c>
      <c r="R512" s="5" t="s">
        <v>1552</v>
      </c>
      <c r="S512" s="5" t="s">
        <v>1552</v>
      </c>
      <c r="T512" s="5" t="s">
        <v>1553</v>
      </c>
    </row>
    <row r="513">
      <c r="E513" s="5">
        <v>511.0</v>
      </c>
      <c r="F513" s="5" t="s">
        <v>209</v>
      </c>
      <c r="H513" s="5" t="s">
        <v>893</v>
      </c>
      <c r="I513" s="5" t="s">
        <v>1562</v>
      </c>
      <c r="J513" s="5" t="s">
        <v>1560</v>
      </c>
      <c r="K513" s="5" t="s">
        <v>21</v>
      </c>
      <c r="L513" s="5" t="s">
        <v>1015</v>
      </c>
      <c r="N513" s="5" t="s">
        <v>1003</v>
      </c>
      <c r="P513" s="5" t="s">
        <v>1551</v>
      </c>
      <c r="Q513" s="6">
        <v>34.0</v>
      </c>
      <c r="R513" s="5" t="s">
        <v>1552</v>
      </c>
      <c r="S513" s="5" t="s">
        <v>1552</v>
      </c>
      <c r="T513" s="5" t="s">
        <v>1553</v>
      </c>
    </row>
    <row r="514">
      <c r="E514" s="5">
        <v>512.0</v>
      </c>
      <c r="F514" s="5" t="s">
        <v>229</v>
      </c>
      <c r="H514" s="5" t="s">
        <v>1565</v>
      </c>
      <c r="I514" s="5" t="s">
        <v>852</v>
      </c>
      <c r="J514" s="5" t="s">
        <v>1560</v>
      </c>
      <c r="K514" s="5" t="s">
        <v>21</v>
      </c>
      <c r="L514" s="5" t="s">
        <v>1015</v>
      </c>
      <c r="N514" s="5" t="s">
        <v>1003</v>
      </c>
      <c r="P514" s="5" t="s">
        <v>1551</v>
      </c>
      <c r="Q514" s="6" t="s">
        <v>1566</v>
      </c>
      <c r="R514" s="5" t="s">
        <v>1552</v>
      </c>
      <c r="S514" s="5" t="s">
        <v>1552</v>
      </c>
      <c r="T514" s="5" t="s">
        <v>1553</v>
      </c>
    </row>
    <row r="515">
      <c r="E515" s="5">
        <v>513.0</v>
      </c>
      <c r="F515" s="5" t="s">
        <v>95</v>
      </c>
      <c r="G515" s="5" t="s">
        <v>434</v>
      </c>
      <c r="H515" s="5" t="s">
        <v>1443</v>
      </c>
      <c r="I515" s="5" t="s">
        <v>947</v>
      </c>
      <c r="J515" s="5" t="s">
        <v>1471</v>
      </c>
      <c r="K515" s="5" t="s">
        <v>21</v>
      </c>
      <c r="L515" s="5" t="s">
        <v>1015</v>
      </c>
      <c r="N515" s="5" t="s">
        <v>1003</v>
      </c>
      <c r="P515" s="5" t="s">
        <v>1551</v>
      </c>
      <c r="Q515" s="6">
        <v>35.0</v>
      </c>
      <c r="R515" s="5" t="s">
        <v>1552</v>
      </c>
      <c r="S515" s="5" t="s">
        <v>1552</v>
      </c>
      <c r="T515" s="5" t="s">
        <v>1553</v>
      </c>
    </row>
    <row r="516">
      <c r="E516" s="5">
        <v>514.0</v>
      </c>
      <c r="F516" s="5" t="s">
        <v>95</v>
      </c>
      <c r="H516" s="5" t="s">
        <v>1567</v>
      </c>
      <c r="I516" s="5" t="s">
        <v>1563</v>
      </c>
      <c r="J516" s="5" t="s">
        <v>1568</v>
      </c>
      <c r="K516" s="5" t="s">
        <v>21</v>
      </c>
      <c r="L516" s="5" t="s">
        <v>1015</v>
      </c>
      <c r="N516" s="5" t="s">
        <v>1003</v>
      </c>
      <c r="P516" s="5" t="s">
        <v>1551</v>
      </c>
      <c r="Q516" s="6">
        <v>44.0</v>
      </c>
      <c r="R516" s="5" t="s">
        <v>1552</v>
      </c>
      <c r="S516" s="5" t="s">
        <v>1552</v>
      </c>
      <c r="T516" s="5" t="s">
        <v>1553</v>
      </c>
    </row>
    <row r="517">
      <c r="E517" s="5">
        <v>515.0</v>
      </c>
      <c r="F517" s="5" t="s">
        <v>95</v>
      </c>
      <c r="H517" s="5" t="s">
        <v>1443</v>
      </c>
      <c r="I517" s="5" t="s">
        <v>772</v>
      </c>
      <c r="J517" s="5" t="s">
        <v>1569</v>
      </c>
      <c r="K517" s="5" t="s">
        <v>21</v>
      </c>
      <c r="L517" s="5" t="s">
        <v>1015</v>
      </c>
      <c r="N517" s="5" t="s">
        <v>1003</v>
      </c>
      <c r="P517" s="5" t="s">
        <v>1551</v>
      </c>
      <c r="Q517" s="6">
        <v>44.0</v>
      </c>
      <c r="R517" s="5" t="s">
        <v>1552</v>
      </c>
      <c r="S517" s="5" t="s">
        <v>1552</v>
      </c>
      <c r="T517" s="5" t="s">
        <v>1553</v>
      </c>
    </row>
    <row r="518">
      <c r="E518" s="5">
        <v>516.0</v>
      </c>
      <c r="F518" s="5" t="s">
        <v>95</v>
      </c>
      <c r="H518" s="5" t="s">
        <v>1570</v>
      </c>
      <c r="I518" s="5" t="s">
        <v>1571</v>
      </c>
      <c r="J518" s="5" t="s">
        <v>457</v>
      </c>
      <c r="K518" s="5" t="s">
        <v>21</v>
      </c>
      <c r="L518" s="5" t="s">
        <v>1015</v>
      </c>
      <c r="N518" s="5" t="s">
        <v>1003</v>
      </c>
      <c r="P518" s="5" t="s">
        <v>1551</v>
      </c>
      <c r="Q518" s="6">
        <v>45.0</v>
      </c>
      <c r="R518" s="5" t="s">
        <v>1552</v>
      </c>
      <c r="S518" s="5" t="s">
        <v>1552</v>
      </c>
      <c r="T518" s="5" t="s">
        <v>1553</v>
      </c>
    </row>
    <row r="519">
      <c r="D519" s="18" t="s">
        <v>1572</v>
      </c>
      <c r="E519" s="19">
        <v>517.0</v>
      </c>
      <c r="F519" s="5" t="s">
        <v>17</v>
      </c>
      <c r="G519" s="20"/>
      <c r="H519" s="18" t="s">
        <v>814</v>
      </c>
      <c r="I519" s="5" t="s">
        <v>19</v>
      </c>
      <c r="J519" s="18" t="s">
        <v>81</v>
      </c>
      <c r="K519" s="18" t="s">
        <v>21</v>
      </c>
      <c r="L519" s="18" t="s">
        <v>1573</v>
      </c>
      <c r="N519" s="18" t="s">
        <v>1574</v>
      </c>
      <c r="O519" s="20"/>
      <c r="P519" s="18" t="s">
        <v>1575</v>
      </c>
      <c r="Q519" s="19">
        <v>25.0</v>
      </c>
      <c r="R519" s="18" t="s">
        <v>1576</v>
      </c>
      <c r="S519" s="18" t="s">
        <v>1576</v>
      </c>
      <c r="T519" s="18" t="s">
        <v>1576</v>
      </c>
    </row>
    <row r="520">
      <c r="D520" s="20"/>
      <c r="E520" s="19">
        <v>518.0</v>
      </c>
      <c r="F520" s="5" t="s">
        <v>68</v>
      </c>
      <c r="G520" s="20"/>
      <c r="H520" s="18" t="s">
        <v>69</v>
      </c>
      <c r="I520" s="18" t="s">
        <v>70</v>
      </c>
      <c r="J520" s="18" t="s">
        <v>71</v>
      </c>
      <c r="K520" s="18" t="s">
        <v>21</v>
      </c>
      <c r="L520" s="18" t="s">
        <v>1573</v>
      </c>
      <c r="N520" s="18" t="s">
        <v>1574</v>
      </c>
      <c r="O520" s="20"/>
      <c r="P520" s="18" t="s">
        <v>1575</v>
      </c>
      <c r="Q520" s="19">
        <v>25.0</v>
      </c>
      <c r="R520" s="18" t="s">
        <v>1576</v>
      </c>
      <c r="S520" s="18" t="s">
        <v>1576</v>
      </c>
      <c r="T520" s="18" t="s">
        <v>1576</v>
      </c>
    </row>
    <row r="521">
      <c r="D521" s="20"/>
      <c r="E521" s="19">
        <v>519.0</v>
      </c>
      <c r="F521" s="5" t="s">
        <v>17</v>
      </c>
      <c r="G521" s="20"/>
      <c r="H521" s="18" t="s">
        <v>667</v>
      </c>
      <c r="I521" s="5" t="s">
        <v>19</v>
      </c>
      <c r="J521" s="18" t="s">
        <v>350</v>
      </c>
      <c r="K521" s="18" t="s">
        <v>21</v>
      </c>
      <c r="L521" s="18" t="s">
        <v>1015</v>
      </c>
      <c r="M521" s="18" t="s">
        <v>1577</v>
      </c>
      <c r="N521" s="18" t="s">
        <v>1003</v>
      </c>
      <c r="O521" s="20"/>
      <c r="P521" s="18" t="s">
        <v>1575</v>
      </c>
      <c r="Q521" s="19">
        <v>25.0</v>
      </c>
      <c r="R521" s="18" t="s">
        <v>1576</v>
      </c>
      <c r="S521" s="18" t="s">
        <v>1576</v>
      </c>
      <c r="T521" s="18" t="s">
        <v>1576</v>
      </c>
    </row>
    <row r="522">
      <c r="D522" s="20"/>
      <c r="E522" s="19">
        <v>520.0</v>
      </c>
      <c r="F522" s="5" t="s">
        <v>1050</v>
      </c>
      <c r="G522" s="20"/>
      <c r="H522" s="18" t="s">
        <v>623</v>
      </c>
      <c r="I522" s="18" t="s">
        <v>1578</v>
      </c>
      <c r="J522" s="18" t="s">
        <v>1569</v>
      </c>
      <c r="K522" s="18" t="s">
        <v>1579</v>
      </c>
      <c r="L522" s="18" t="s">
        <v>1015</v>
      </c>
      <c r="M522" s="20"/>
      <c r="N522" s="18" t="s">
        <v>1003</v>
      </c>
      <c r="O522" s="20"/>
      <c r="P522" s="18" t="s">
        <v>1575</v>
      </c>
      <c r="Q522" s="19">
        <v>26.0</v>
      </c>
      <c r="R522" s="18" t="s">
        <v>1576</v>
      </c>
      <c r="S522" s="18" t="s">
        <v>1576</v>
      </c>
      <c r="T522" s="18" t="s">
        <v>1576</v>
      </c>
    </row>
    <row r="523">
      <c r="D523" s="20"/>
      <c r="E523" s="19">
        <v>521.0</v>
      </c>
      <c r="F523" s="5" t="s">
        <v>95</v>
      </c>
      <c r="G523" s="18" t="s">
        <v>362</v>
      </c>
      <c r="H523" s="18" t="s">
        <v>751</v>
      </c>
      <c r="I523" s="18" t="s">
        <v>752</v>
      </c>
      <c r="J523" s="18" t="s">
        <v>1580</v>
      </c>
      <c r="K523" s="18" t="s">
        <v>21</v>
      </c>
      <c r="L523" s="18" t="s">
        <v>1581</v>
      </c>
      <c r="M523" s="20"/>
      <c r="N523" s="18" t="s">
        <v>1003</v>
      </c>
      <c r="O523" s="20"/>
      <c r="P523" s="18" t="s">
        <v>1575</v>
      </c>
      <c r="Q523" s="19">
        <v>26.0</v>
      </c>
      <c r="R523" s="18" t="s">
        <v>1576</v>
      </c>
      <c r="S523" s="18" t="s">
        <v>1576</v>
      </c>
      <c r="T523" s="18" t="s">
        <v>1576</v>
      </c>
    </row>
    <row r="524">
      <c r="D524" s="20"/>
      <c r="E524" s="19">
        <v>522.0</v>
      </c>
      <c r="F524" s="5" t="s">
        <v>95</v>
      </c>
      <c r="G524" s="18" t="s">
        <v>362</v>
      </c>
      <c r="H524" s="18" t="s">
        <v>751</v>
      </c>
      <c r="I524" s="18" t="s">
        <v>752</v>
      </c>
      <c r="J524" s="18" t="s">
        <v>1199</v>
      </c>
      <c r="K524" s="18" t="s">
        <v>21</v>
      </c>
      <c r="L524" s="18" t="s">
        <v>1582</v>
      </c>
      <c r="M524" s="20"/>
      <c r="N524" s="18" t="s">
        <v>1003</v>
      </c>
      <c r="O524" s="20"/>
      <c r="P524" s="18" t="s">
        <v>1575</v>
      </c>
      <c r="Q524" s="19">
        <v>26.0</v>
      </c>
      <c r="R524" s="18" t="s">
        <v>1576</v>
      </c>
      <c r="S524" s="18" t="s">
        <v>1576</v>
      </c>
      <c r="T524" s="18" t="s">
        <v>1576</v>
      </c>
    </row>
    <row r="525">
      <c r="D525" s="20"/>
      <c r="E525" s="19">
        <v>523.0</v>
      </c>
      <c r="F525" s="5" t="s">
        <v>17</v>
      </c>
      <c r="G525" s="20"/>
      <c r="H525" s="18" t="s">
        <v>947</v>
      </c>
      <c r="I525" s="5" t="s">
        <v>19</v>
      </c>
      <c r="J525" s="18" t="s">
        <v>1108</v>
      </c>
      <c r="K525" s="18" t="s">
        <v>21</v>
      </c>
      <c r="L525" s="18" t="s">
        <v>1015</v>
      </c>
      <c r="M525" s="20"/>
      <c r="N525" s="18" t="s">
        <v>1003</v>
      </c>
      <c r="O525" s="20"/>
      <c r="P525" s="18" t="s">
        <v>1575</v>
      </c>
      <c r="Q525" s="19">
        <v>26.0</v>
      </c>
      <c r="R525" s="18" t="s">
        <v>1576</v>
      </c>
      <c r="S525" s="18" t="s">
        <v>1576</v>
      </c>
      <c r="T525" s="18" t="s">
        <v>1576</v>
      </c>
    </row>
    <row r="526">
      <c r="D526" s="20"/>
      <c r="E526" s="19">
        <v>524.0</v>
      </c>
      <c r="F526" s="5" t="s">
        <v>95</v>
      </c>
      <c r="G526" s="20"/>
      <c r="H526" s="18" t="s">
        <v>1473</v>
      </c>
      <c r="I526" s="18" t="s">
        <v>1270</v>
      </c>
      <c r="J526" s="18" t="s">
        <v>470</v>
      </c>
      <c r="K526" s="18" t="s">
        <v>21</v>
      </c>
      <c r="L526" s="18" t="s">
        <v>1015</v>
      </c>
      <c r="M526" s="20"/>
      <c r="N526" s="18" t="s">
        <v>1003</v>
      </c>
      <c r="O526" s="20"/>
      <c r="P526" s="18" t="s">
        <v>1575</v>
      </c>
      <c r="Q526" s="19">
        <v>27.0</v>
      </c>
      <c r="R526" s="18" t="s">
        <v>1576</v>
      </c>
      <c r="S526" s="18" t="s">
        <v>1576</v>
      </c>
      <c r="T526" s="18" t="s">
        <v>1576</v>
      </c>
    </row>
    <row r="527">
      <c r="D527" s="20"/>
      <c r="E527" s="19">
        <v>525.0</v>
      </c>
      <c r="F527" s="5" t="s">
        <v>95</v>
      </c>
      <c r="G527" s="18" t="s">
        <v>434</v>
      </c>
      <c r="H527" s="18" t="s">
        <v>1443</v>
      </c>
      <c r="I527" s="18" t="s">
        <v>947</v>
      </c>
      <c r="J527" s="18" t="s">
        <v>1517</v>
      </c>
      <c r="K527" s="18" t="s">
        <v>21</v>
      </c>
      <c r="L527" s="18" t="s">
        <v>1583</v>
      </c>
      <c r="M527" s="20"/>
      <c r="N527" s="18" t="s">
        <v>1003</v>
      </c>
      <c r="O527" s="20"/>
      <c r="P527" s="18" t="s">
        <v>1575</v>
      </c>
      <c r="Q527" s="19">
        <v>27.0</v>
      </c>
      <c r="R527" s="18" t="s">
        <v>1576</v>
      </c>
      <c r="S527" s="18" t="s">
        <v>1576</v>
      </c>
      <c r="T527" s="18" t="s">
        <v>1576</v>
      </c>
    </row>
    <row r="528">
      <c r="D528" s="20"/>
      <c r="E528" s="19">
        <v>526.0</v>
      </c>
      <c r="F528" s="5" t="s">
        <v>95</v>
      </c>
      <c r="G528" s="20"/>
      <c r="H528" s="18" t="s">
        <v>1584</v>
      </c>
      <c r="I528" s="18" t="s">
        <v>1424</v>
      </c>
      <c r="J528" s="18" t="s">
        <v>1585</v>
      </c>
      <c r="K528" s="18" t="s">
        <v>21</v>
      </c>
      <c r="L528" s="18" t="s">
        <v>1015</v>
      </c>
      <c r="M528" s="20"/>
      <c r="N528" s="18" t="s">
        <v>1003</v>
      </c>
      <c r="O528" s="20"/>
      <c r="P528" s="18" t="s">
        <v>1575</v>
      </c>
      <c r="Q528" s="19">
        <v>27.0</v>
      </c>
      <c r="R528" s="18" t="s">
        <v>1576</v>
      </c>
      <c r="S528" s="18" t="s">
        <v>1576</v>
      </c>
      <c r="T528" s="18" t="s">
        <v>1576</v>
      </c>
    </row>
    <row r="529">
      <c r="D529" s="20"/>
      <c r="E529" s="19">
        <v>527.0</v>
      </c>
      <c r="F529" s="5" t="s">
        <v>190</v>
      </c>
      <c r="G529" s="20"/>
      <c r="H529" s="18" t="s">
        <v>1586</v>
      </c>
      <c r="I529" s="18" t="s">
        <v>1587</v>
      </c>
      <c r="J529" s="18" t="s">
        <v>1588</v>
      </c>
      <c r="K529" s="18" t="s">
        <v>21</v>
      </c>
      <c r="L529" s="18" t="s">
        <v>1015</v>
      </c>
      <c r="M529" s="20"/>
      <c r="N529" s="18" t="s">
        <v>1003</v>
      </c>
      <c r="O529" s="20"/>
      <c r="P529" s="18" t="s">
        <v>1575</v>
      </c>
      <c r="Q529" s="19">
        <v>30.0</v>
      </c>
      <c r="R529" s="18" t="s">
        <v>1576</v>
      </c>
      <c r="S529" s="18" t="s">
        <v>1576</v>
      </c>
      <c r="T529" s="18" t="s">
        <v>1576</v>
      </c>
    </row>
    <row r="530">
      <c r="D530" s="20"/>
      <c r="E530" s="19">
        <v>528.0</v>
      </c>
      <c r="F530" s="5" t="s">
        <v>17</v>
      </c>
      <c r="G530" s="18"/>
      <c r="H530" s="18" t="s">
        <v>80</v>
      </c>
      <c r="I530" s="5" t="s">
        <v>19</v>
      </c>
      <c r="J530" s="18" t="s">
        <v>1589</v>
      </c>
      <c r="K530" s="18" t="s">
        <v>21</v>
      </c>
      <c r="L530" s="18" t="s">
        <v>1015</v>
      </c>
      <c r="M530" s="20"/>
      <c r="N530" s="18" t="s">
        <v>1003</v>
      </c>
      <c r="O530" s="20"/>
      <c r="P530" s="18" t="s">
        <v>1575</v>
      </c>
      <c r="Q530" s="19">
        <v>30.0</v>
      </c>
      <c r="R530" s="18" t="s">
        <v>1576</v>
      </c>
      <c r="S530" s="18" t="s">
        <v>1576</v>
      </c>
      <c r="T530" s="18" t="s">
        <v>1576</v>
      </c>
    </row>
    <row r="531">
      <c r="D531" s="20"/>
      <c r="E531" s="19">
        <v>529.0</v>
      </c>
      <c r="F531" s="5" t="s">
        <v>95</v>
      </c>
      <c r="G531" s="18"/>
      <c r="H531" s="18" t="s">
        <v>1590</v>
      </c>
      <c r="I531" s="18" t="s">
        <v>1591</v>
      </c>
      <c r="J531" s="18" t="s">
        <v>1592</v>
      </c>
      <c r="K531" s="18" t="s">
        <v>1593</v>
      </c>
      <c r="L531" s="18" t="s">
        <v>1015</v>
      </c>
      <c r="M531" s="20"/>
      <c r="N531" s="18" t="s">
        <v>1003</v>
      </c>
      <c r="O531" s="20"/>
      <c r="P531" s="18" t="s">
        <v>1575</v>
      </c>
      <c r="Q531" s="19">
        <v>30.0</v>
      </c>
      <c r="R531" s="18" t="s">
        <v>1576</v>
      </c>
      <c r="S531" s="18" t="s">
        <v>1576</v>
      </c>
      <c r="T531" s="18" t="s">
        <v>1576</v>
      </c>
    </row>
    <row r="532">
      <c r="D532" s="20"/>
      <c r="E532" s="19">
        <v>530.0</v>
      </c>
      <c r="F532" s="5" t="s">
        <v>17</v>
      </c>
      <c r="G532" s="18" t="s">
        <v>28</v>
      </c>
      <c r="H532" s="18" t="s">
        <v>1594</v>
      </c>
      <c r="I532" s="5" t="s">
        <v>19</v>
      </c>
      <c r="J532" s="18" t="s">
        <v>1595</v>
      </c>
      <c r="K532" s="18" t="s">
        <v>21</v>
      </c>
      <c r="L532" s="18" t="s">
        <v>1596</v>
      </c>
      <c r="M532" s="20"/>
      <c r="N532" s="18" t="s">
        <v>1003</v>
      </c>
      <c r="O532" s="20"/>
      <c r="P532" s="18" t="s">
        <v>1575</v>
      </c>
      <c r="Q532" s="19">
        <v>31.0</v>
      </c>
      <c r="R532" s="18" t="s">
        <v>1576</v>
      </c>
      <c r="S532" s="18" t="s">
        <v>1576</v>
      </c>
      <c r="T532" s="18" t="s">
        <v>1576</v>
      </c>
    </row>
    <row r="533">
      <c r="D533" s="20"/>
      <c r="E533" s="19">
        <v>531.0</v>
      </c>
      <c r="F533" s="5" t="s">
        <v>176</v>
      </c>
      <c r="G533" s="18" t="s">
        <v>28</v>
      </c>
      <c r="H533" s="18" t="s">
        <v>1597</v>
      </c>
      <c r="I533" s="18" t="s">
        <v>1591</v>
      </c>
      <c r="J533" s="18" t="s">
        <v>1588</v>
      </c>
      <c r="K533" s="18" t="s">
        <v>1598</v>
      </c>
      <c r="L533" s="18" t="s">
        <v>1596</v>
      </c>
      <c r="M533" s="20"/>
      <c r="N533" s="18" t="s">
        <v>1003</v>
      </c>
      <c r="O533" s="20"/>
      <c r="P533" s="18" t="s">
        <v>1575</v>
      </c>
      <c r="Q533" s="19">
        <v>31.0</v>
      </c>
      <c r="R533" s="18" t="s">
        <v>1576</v>
      </c>
      <c r="S533" s="18" t="s">
        <v>1576</v>
      </c>
      <c r="T533" s="18" t="s">
        <v>1576</v>
      </c>
    </row>
    <row r="534">
      <c r="D534" s="18" t="s">
        <v>1599</v>
      </c>
      <c r="E534" s="19">
        <v>532.0</v>
      </c>
      <c r="F534" s="5" t="s">
        <v>281</v>
      </c>
      <c r="G534" s="20"/>
      <c r="H534" s="18" t="s">
        <v>503</v>
      </c>
      <c r="I534" s="18" t="s">
        <v>1600</v>
      </c>
      <c r="J534" s="18" t="s">
        <v>1353</v>
      </c>
      <c r="K534" s="18" t="s">
        <v>21</v>
      </c>
      <c r="L534" s="18" t="s">
        <v>1015</v>
      </c>
      <c r="M534" s="20"/>
      <c r="N534" s="18" t="s">
        <v>1003</v>
      </c>
      <c r="O534" s="18" t="s">
        <v>1601</v>
      </c>
      <c r="P534" s="18" t="s">
        <v>1602</v>
      </c>
      <c r="Q534" s="19">
        <v>19.0</v>
      </c>
      <c r="R534" s="18" t="s">
        <v>1603</v>
      </c>
      <c r="S534" s="18" t="s">
        <v>1603</v>
      </c>
      <c r="T534" s="5" t="s">
        <v>1603</v>
      </c>
    </row>
    <row r="535">
      <c r="D535" s="20"/>
      <c r="E535" s="19">
        <v>533.0</v>
      </c>
      <c r="F535" s="5" t="s">
        <v>68</v>
      </c>
      <c r="G535" s="20"/>
      <c r="H535" s="18" t="s">
        <v>1600</v>
      </c>
      <c r="I535" s="18" t="s">
        <v>1604</v>
      </c>
      <c r="J535" s="18" t="s">
        <v>1353</v>
      </c>
      <c r="K535" s="18" t="s">
        <v>21</v>
      </c>
      <c r="L535" s="18" t="s">
        <v>1015</v>
      </c>
      <c r="M535" s="20"/>
      <c r="N535" s="18" t="s">
        <v>1003</v>
      </c>
      <c r="O535" s="18" t="s">
        <v>1605</v>
      </c>
      <c r="P535" s="18" t="s">
        <v>1602</v>
      </c>
      <c r="Q535" s="19">
        <v>19.0</v>
      </c>
      <c r="R535" s="18" t="s">
        <v>1603</v>
      </c>
      <c r="S535" s="18" t="s">
        <v>1603</v>
      </c>
      <c r="T535" s="5" t="s">
        <v>1603</v>
      </c>
    </row>
    <row r="536">
      <c r="D536" s="20"/>
      <c r="E536" s="19">
        <v>534.0</v>
      </c>
      <c r="F536" s="5" t="s">
        <v>68</v>
      </c>
      <c r="G536" s="20"/>
      <c r="H536" s="18" t="s">
        <v>1164</v>
      </c>
      <c r="I536" s="18" t="s">
        <v>631</v>
      </c>
      <c r="J536" s="18" t="s">
        <v>71</v>
      </c>
      <c r="K536" s="18" t="s">
        <v>21</v>
      </c>
      <c r="L536" s="18" t="s">
        <v>1015</v>
      </c>
      <c r="M536" s="20"/>
      <c r="N536" s="18" t="s">
        <v>1003</v>
      </c>
      <c r="O536" s="20"/>
      <c r="P536" s="18" t="s">
        <v>1602</v>
      </c>
      <c r="Q536" s="19">
        <v>19.0</v>
      </c>
      <c r="R536" s="18" t="s">
        <v>1603</v>
      </c>
      <c r="S536" s="18" t="s">
        <v>1603</v>
      </c>
      <c r="T536" s="5" t="s">
        <v>1603</v>
      </c>
    </row>
    <row r="537">
      <c r="D537" s="20"/>
      <c r="E537" s="19">
        <v>535.0</v>
      </c>
      <c r="F537" s="5" t="s">
        <v>68</v>
      </c>
      <c r="G537" s="20"/>
      <c r="H537" s="18" t="s">
        <v>503</v>
      </c>
      <c r="I537" s="18" t="s">
        <v>107</v>
      </c>
      <c r="J537" s="18" t="s">
        <v>71</v>
      </c>
      <c r="K537" s="18" t="s">
        <v>21</v>
      </c>
      <c r="L537" s="18" t="s">
        <v>1015</v>
      </c>
      <c r="M537" s="20"/>
      <c r="N537" s="18" t="s">
        <v>1003</v>
      </c>
      <c r="O537" s="18" t="s">
        <v>1606</v>
      </c>
      <c r="P537" s="18" t="s">
        <v>1602</v>
      </c>
      <c r="Q537" s="19">
        <v>19.0</v>
      </c>
      <c r="R537" s="18" t="s">
        <v>1603</v>
      </c>
      <c r="S537" s="18" t="s">
        <v>1603</v>
      </c>
      <c r="T537" s="5" t="s">
        <v>1603</v>
      </c>
    </row>
    <row r="538">
      <c r="D538" s="20"/>
      <c r="E538" s="19">
        <v>536.0</v>
      </c>
      <c r="F538" s="5" t="s">
        <v>95</v>
      </c>
      <c r="G538" s="20"/>
      <c r="H538" s="18" t="s">
        <v>1590</v>
      </c>
      <c r="I538" s="18" t="s">
        <v>1591</v>
      </c>
      <c r="J538" s="18" t="s">
        <v>1530</v>
      </c>
      <c r="K538" s="18" t="s">
        <v>21</v>
      </c>
      <c r="L538" s="18" t="s">
        <v>1015</v>
      </c>
      <c r="M538" s="20"/>
      <c r="N538" s="18" t="s">
        <v>1003</v>
      </c>
      <c r="O538" s="20"/>
      <c r="P538" s="18" t="s">
        <v>1602</v>
      </c>
      <c r="Q538" s="19">
        <v>20.0</v>
      </c>
      <c r="R538" s="18" t="s">
        <v>1603</v>
      </c>
      <c r="S538" s="18" t="s">
        <v>1603</v>
      </c>
      <c r="T538" s="5" t="s">
        <v>1603</v>
      </c>
    </row>
    <row r="539">
      <c r="D539" s="20"/>
      <c r="E539" s="19">
        <v>537.0</v>
      </c>
      <c r="F539" s="5" t="s">
        <v>68</v>
      </c>
      <c r="G539" s="20"/>
      <c r="H539" s="18" t="s">
        <v>1607</v>
      </c>
      <c r="I539" s="18" t="s">
        <v>29</v>
      </c>
      <c r="J539" s="18" t="s">
        <v>71</v>
      </c>
      <c r="K539" s="18" t="s">
        <v>21</v>
      </c>
      <c r="L539" s="18" t="s">
        <v>1015</v>
      </c>
      <c r="M539" s="20"/>
      <c r="N539" s="18" t="s">
        <v>1003</v>
      </c>
      <c r="O539" s="20"/>
      <c r="P539" s="18" t="s">
        <v>1602</v>
      </c>
      <c r="Q539" s="19">
        <v>20.0</v>
      </c>
      <c r="R539" s="18" t="s">
        <v>1603</v>
      </c>
      <c r="S539" s="18" t="s">
        <v>1603</v>
      </c>
      <c r="T539" s="5" t="s">
        <v>1603</v>
      </c>
    </row>
    <row r="540">
      <c r="D540" s="20"/>
      <c r="E540" s="19">
        <v>538.0</v>
      </c>
      <c r="F540" s="5" t="s">
        <v>17</v>
      </c>
      <c r="G540" s="20"/>
      <c r="H540" s="18" t="s">
        <v>545</v>
      </c>
      <c r="I540" s="5" t="s">
        <v>19</v>
      </c>
      <c r="J540" s="18" t="s">
        <v>1608</v>
      </c>
      <c r="K540" s="18" t="s">
        <v>21</v>
      </c>
      <c r="L540" s="18" t="s">
        <v>1015</v>
      </c>
      <c r="M540" s="20"/>
      <c r="N540" s="18" t="s">
        <v>1003</v>
      </c>
      <c r="O540" s="20"/>
      <c r="P540" s="18" t="s">
        <v>1602</v>
      </c>
      <c r="Q540" s="19">
        <v>20.0</v>
      </c>
      <c r="R540" s="18" t="s">
        <v>1603</v>
      </c>
      <c r="S540" s="18" t="s">
        <v>1603</v>
      </c>
      <c r="T540" s="5" t="s">
        <v>1603</v>
      </c>
    </row>
    <row r="541">
      <c r="D541" s="20"/>
      <c r="E541" s="19">
        <v>539.0</v>
      </c>
      <c r="F541" s="5" t="s">
        <v>68</v>
      </c>
      <c r="G541" s="20"/>
      <c r="H541" s="18" t="s">
        <v>1609</v>
      </c>
      <c r="I541" s="18" t="s">
        <v>819</v>
      </c>
      <c r="J541" s="18" t="s">
        <v>71</v>
      </c>
      <c r="K541" s="18" t="s">
        <v>1610</v>
      </c>
      <c r="L541" s="18" t="s">
        <v>1015</v>
      </c>
      <c r="M541" s="20"/>
      <c r="N541" s="18" t="s">
        <v>1003</v>
      </c>
      <c r="O541" s="20"/>
      <c r="P541" s="18" t="s">
        <v>1602</v>
      </c>
      <c r="Q541" s="19">
        <v>20.0</v>
      </c>
      <c r="R541" s="18" t="s">
        <v>1603</v>
      </c>
      <c r="S541" s="18" t="s">
        <v>1603</v>
      </c>
      <c r="T541" s="5" t="s">
        <v>1603</v>
      </c>
    </row>
    <row r="542">
      <c r="D542" s="20"/>
      <c r="E542" s="19">
        <v>540.0</v>
      </c>
      <c r="F542" s="5" t="s">
        <v>281</v>
      </c>
      <c r="G542" s="20"/>
      <c r="H542" s="18" t="s">
        <v>631</v>
      </c>
      <c r="I542" s="18" t="s">
        <v>29</v>
      </c>
      <c r="J542" s="18" t="s">
        <v>71</v>
      </c>
      <c r="K542" s="18" t="s">
        <v>21</v>
      </c>
      <c r="L542" s="18" t="s">
        <v>1015</v>
      </c>
      <c r="M542" s="20"/>
      <c r="N542" s="18" t="s">
        <v>1003</v>
      </c>
      <c r="O542" s="20"/>
      <c r="P542" s="18" t="s">
        <v>1602</v>
      </c>
      <c r="Q542" s="19">
        <v>20.0</v>
      </c>
      <c r="R542" s="18" t="s">
        <v>1603</v>
      </c>
      <c r="S542" s="18" t="s">
        <v>1603</v>
      </c>
      <c r="T542" s="5" t="s">
        <v>1603</v>
      </c>
    </row>
    <row r="543">
      <c r="D543" s="20"/>
      <c r="E543" s="19">
        <v>541.0</v>
      </c>
      <c r="F543" s="5" t="s">
        <v>281</v>
      </c>
      <c r="G543" s="20"/>
      <c r="H543" s="18" t="s">
        <v>107</v>
      </c>
      <c r="I543" s="18" t="s">
        <v>39</v>
      </c>
      <c r="J543" s="18" t="s">
        <v>71</v>
      </c>
      <c r="K543" s="18" t="s">
        <v>21</v>
      </c>
      <c r="L543" s="18" t="s">
        <v>1015</v>
      </c>
      <c r="M543" s="20"/>
      <c r="N543" s="18" t="s">
        <v>1003</v>
      </c>
      <c r="O543" s="20"/>
      <c r="P543" s="18" t="s">
        <v>1602</v>
      </c>
      <c r="Q543" s="19">
        <v>21.0</v>
      </c>
      <c r="R543" s="18" t="s">
        <v>1603</v>
      </c>
      <c r="S543" s="18" t="s">
        <v>1603</v>
      </c>
      <c r="T543" s="5" t="s">
        <v>1603</v>
      </c>
    </row>
    <row r="544">
      <c r="D544" s="20"/>
      <c r="E544" s="19">
        <v>542.0</v>
      </c>
      <c r="F544" s="5" t="s">
        <v>95</v>
      </c>
      <c r="G544" s="18" t="s">
        <v>362</v>
      </c>
      <c r="H544" s="18" t="s">
        <v>363</v>
      </c>
      <c r="I544" s="18" t="s">
        <v>364</v>
      </c>
      <c r="J544" s="18" t="s">
        <v>1199</v>
      </c>
      <c r="K544" s="18" t="s">
        <v>21</v>
      </c>
      <c r="L544" s="18" t="s">
        <v>1611</v>
      </c>
      <c r="M544" s="20"/>
      <c r="N544" s="18" t="s">
        <v>1003</v>
      </c>
      <c r="O544" s="20"/>
      <c r="P544" s="18" t="s">
        <v>1602</v>
      </c>
      <c r="Q544" s="19">
        <v>21.0</v>
      </c>
      <c r="R544" s="18" t="s">
        <v>1603</v>
      </c>
      <c r="S544" s="18" t="s">
        <v>1603</v>
      </c>
      <c r="T544" s="5" t="s">
        <v>1603</v>
      </c>
    </row>
    <row r="545">
      <c r="D545" s="20"/>
      <c r="E545" s="19">
        <v>543.0</v>
      </c>
      <c r="F545" s="5" t="s">
        <v>95</v>
      </c>
      <c r="G545" s="18" t="s">
        <v>362</v>
      </c>
      <c r="H545" s="18" t="s">
        <v>363</v>
      </c>
      <c r="I545" s="18" t="s">
        <v>364</v>
      </c>
      <c r="J545" s="18" t="s">
        <v>1612</v>
      </c>
      <c r="K545" s="18" t="s">
        <v>21</v>
      </c>
      <c r="L545" s="18" t="s">
        <v>1015</v>
      </c>
      <c r="M545" s="20"/>
      <c r="N545" s="18" t="s">
        <v>1003</v>
      </c>
      <c r="O545" s="20"/>
      <c r="P545" s="18" t="s">
        <v>1602</v>
      </c>
      <c r="Q545" s="19">
        <v>21.0</v>
      </c>
      <c r="R545" s="18" t="s">
        <v>1603</v>
      </c>
      <c r="S545" s="18" t="s">
        <v>1603</v>
      </c>
      <c r="T545" s="5" t="s">
        <v>1603</v>
      </c>
    </row>
    <row r="546">
      <c r="D546" s="20"/>
      <c r="E546" s="19">
        <v>544.0</v>
      </c>
      <c r="F546" s="5" t="s">
        <v>95</v>
      </c>
      <c r="G546" s="18" t="s">
        <v>409</v>
      </c>
      <c r="H546" s="18" t="s">
        <v>142</v>
      </c>
      <c r="I546" s="18" t="s">
        <v>136</v>
      </c>
      <c r="J546" s="18" t="s">
        <v>1199</v>
      </c>
      <c r="K546" s="18" t="s">
        <v>21</v>
      </c>
      <c r="L546" s="18" t="s">
        <v>1613</v>
      </c>
      <c r="M546" s="18" t="s">
        <v>1614</v>
      </c>
      <c r="N546" s="18" t="s">
        <v>1615</v>
      </c>
      <c r="O546" s="20"/>
      <c r="P546" s="18" t="s">
        <v>1602</v>
      </c>
      <c r="Q546" s="19" t="s">
        <v>1616</v>
      </c>
      <c r="R546" s="18" t="s">
        <v>1603</v>
      </c>
      <c r="S546" s="18" t="s">
        <v>1603</v>
      </c>
      <c r="T546" s="5" t="s">
        <v>1603</v>
      </c>
    </row>
    <row r="547">
      <c r="D547" s="20"/>
      <c r="E547" s="19">
        <v>545.0</v>
      </c>
      <c r="F547" s="5" t="s">
        <v>95</v>
      </c>
      <c r="G547" s="18" t="s">
        <v>409</v>
      </c>
      <c r="H547" s="18" t="s">
        <v>142</v>
      </c>
      <c r="I547" s="18" t="s">
        <v>136</v>
      </c>
      <c r="J547" s="18" t="s">
        <v>1612</v>
      </c>
      <c r="K547" s="18" t="s">
        <v>21</v>
      </c>
      <c r="L547" s="18" t="s">
        <v>1617</v>
      </c>
      <c r="M547" s="18" t="s">
        <v>1618</v>
      </c>
      <c r="N547" s="18" t="s">
        <v>1619</v>
      </c>
      <c r="O547" s="20"/>
      <c r="P547" s="18" t="s">
        <v>1602</v>
      </c>
      <c r="Q547" s="19">
        <v>21.0</v>
      </c>
      <c r="R547" s="18" t="s">
        <v>1603</v>
      </c>
      <c r="S547" s="18" t="s">
        <v>1603</v>
      </c>
      <c r="T547" s="5" t="s">
        <v>1603</v>
      </c>
    </row>
    <row r="548">
      <c r="D548" s="20"/>
      <c r="E548" s="19">
        <v>546.0</v>
      </c>
      <c r="F548" s="5" t="s">
        <v>52</v>
      </c>
      <c r="G548" s="18" t="s">
        <v>53</v>
      </c>
      <c r="H548" s="5" t="s">
        <v>19</v>
      </c>
      <c r="I548" s="18" t="s">
        <v>54</v>
      </c>
      <c r="J548" s="18" t="s">
        <v>1620</v>
      </c>
      <c r="K548" s="18" t="s">
        <v>21</v>
      </c>
      <c r="L548" s="18" t="s">
        <v>1621</v>
      </c>
      <c r="M548" s="20"/>
      <c r="N548" s="18" t="s">
        <v>1003</v>
      </c>
      <c r="O548" s="20"/>
      <c r="P548" s="18" t="s">
        <v>1602</v>
      </c>
      <c r="Q548" s="19" t="s">
        <v>1622</v>
      </c>
      <c r="R548" s="18" t="s">
        <v>1603</v>
      </c>
      <c r="S548" s="18" t="s">
        <v>1603</v>
      </c>
      <c r="T548" s="5" t="s">
        <v>1603</v>
      </c>
    </row>
    <row r="549">
      <c r="D549" s="20"/>
      <c r="E549" s="19">
        <v>547.0</v>
      </c>
      <c r="F549" s="5" t="s">
        <v>52</v>
      </c>
      <c r="G549" s="18" t="s">
        <v>53</v>
      </c>
      <c r="H549" s="5" t="s">
        <v>19</v>
      </c>
      <c r="I549" s="18" t="s">
        <v>80</v>
      </c>
      <c r="J549" s="18" t="s">
        <v>1623</v>
      </c>
      <c r="K549" s="18" t="s">
        <v>21</v>
      </c>
      <c r="L549" s="18" t="s">
        <v>1624</v>
      </c>
      <c r="M549" s="20"/>
      <c r="N549" s="18" t="s">
        <v>1003</v>
      </c>
      <c r="O549" s="20"/>
      <c r="P549" s="18" t="s">
        <v>1602</v>
      </c>
      <c r="Q549" s="19">
        <v>25.0</v>
      </c>
      <c r="R549" s="18" t="s">
        <v>1603</v>
      </c>
      <c r="S549" s="18" t="s">
        <v>1603</v>
      </c>
      <c r="T549" s="5" t="s">
        <v>1603</v>
      </c>
    </row>
    <row r="550">
      <c r="D550" s="20"/>
      <c r="E550" s="19">
        <v>548.0</v>
      </c>
      <c r="F550" s="5" t="s">
        <v>68</v>
      </c>
      <c r="G550" s="20"/>
      <c r="H550" s="18" t="s">
        <v>69</v>
      </c>
      <c r="I550" s="18" t="s">
        <v>70</v>
      </c>
      <c r="J550" s="18" t="s">
        <v>71</v>
      </c>
      <c r="K550" s="18" t="s">
        <v>21</v>
      </c>
      <c r="L550" s="18" t="s">
        <v>1015</v>
      </c>
      <c r="M550" s="20"/>
      <c r="N550" s="18" t="s">
        <v>1003</v>
      </c>
      <c r="O550" s="20"/>
      <c r="P550" s="18" t="s">
        <v>1602</v>
      </c>
      <c r="Q550" s="19">
        <v>25.0</v>
      </c>
      <c r="R550" s="18" t="s">
        <v>1603</v>
      </c>
      <c r="S550" s="18" t="s">
        <v>1603</v>
      </c>
      <c r="T550" s="5" t="s">
        <v>1603</v>
      </c>
    </row>
    <row r="551">
      <c r="D551" s="20"/>
      <c r="E551" s="19">
        <v>549.0</v>
      </c>
      <c r="F551" s="5" t="s">
        <v>952</v>
      </c>
      <c r="G551" s="20"/>
      <c r="H551" s="18" t="s">
        <v>1625</v>
      </c>
      <c r="I551" s="18" t="s">
        <v>1626</v>
      </c>
      <c r="J551" s="18" t="s">
        <v>71</v>
      </c>
      <c r="K551" s="18" t="s">
        <v>21</v>
      </c>
      <c r="L551" s="18" t="s">
        <v>1015</v>
      </c>
      <c r="M551" s="20"/>
      <c r="N551" s="18" t="s">
        <v>1003</v>
      </c>
      <c r="O551" s="20"/>
      <c r="P551" s="18" t="s">
        <v>1602</v>
      </c>
      <c r="Q551" s="19">
        <v>30.0</v>
      </c>
      <c r="R551" s="18" t="s">
        <v>1603</v>
      </c>
      <c r="S551" s="18" t="s">
        <v>1603</v>
      </c>
      <c r="T551" s="5" t="s">
        <v>1603</v>
      </c>
    </row>
    <row r="552">
      <c r="D552" s="20"/>
      <c r="E552" s="19">
        <v>550.0</v>
      </c>
      <c r="F552" s="5" t="s">
        <v>281</v>
      </c>
      <c r="G552" s="20"/>
      <c r="H552" s="18" t="s">
        <v>1182</v>
      </c>
      <c r="I552" s="18" t="s">
        <v>1164</v>
      </c>
      <c r="J552" s="18" t="s">
        <v>71</v>
      </c>
      <c r="K552" s="18" t="s">
        <v>21</v>
      </c>
      <c r="L552" s="18" t="s">
        <v>1015</v>
      </c>
      <c r="M552" s="20"/>
      <c r="N552" s="18" t="s">
        <v>1003</v>
      </c>
      <c r="O552" s="18" t="s">
        <v>272</v>
      </c>
      <c r="P552" s="18" t="s">
        <v>1602</v>
      </c>
      <c r="Q552" s="19">
        <v>30.0</v>
      </c>
      <c r="R552" s="18" t="s">
        <v>1603</v>
      </c>
      <c r="S552" s="18" t="s">
        <v>1603</v>
      </c>
      <c r="T552" s="5" t="s">
        <v>1603</v>
      </c>
    </row>
    <row r="553">
      <c r="D553" s="20"/>
      <c r="E553" s="19">
        <v>551.0</v>
      </c>
      <c r="F553" s="5" t="s">
        <v>95</v>
      </c>
      <c r="G553" s="20"/>
      <c r="H553" s="18" t="s">
        <v>1627</v>
      </c>
      <c r="I553" s="18" t="s">
        <v>1591</v>
      </c>
      <c r="J553" s="18" t="s">
        <v>1628</v>
      </c>
      <c r="K553" s="18" t="s">
        <v>21</v>
      </c>
      <c r="L553" s="18" t="s">
        <v>1015</v>
      </c>
      <c r="M553" s="20"/>
      <c r="N553" s="18" t="s">
        <v>1003</v>
      </c>
      <c r="O553" s="20"/>
      <c r="P553" s="18" t="s">
        <v>1602</v>
      </c>
      <c r="Q553" s="19">
        <v>31.0</v>
      </c>
      <c r="R553" s="18" t="s">
        <v>1603</v>
      </c>
      <c r="S553" s="18" t="s">
        <v>1603</v>
      </c>
      <c r="T553" s="5" t="s">
        <v>1603</v>
      </c>
    </row>
    <row r="554">
      <c r="D554" s="20"/>
      <c r="E554" s="19">
        <v>552.0</v>
      </c>
      <c r="F554" s="5" t="s">
        <v>95</v>
      </c>
      <c r="G554" s="20"/>
      <c r="H554" s="18" t="s">
        <v>1584</v>
      </c>
      <c r="I554" s="18" t="s">
        <v>1424</v>
      </c>
      <c r="J554" s="18" t="s">
        <v>1629</v>
      </c>
      <c r="K554" s="18" t="s">
        <v>21</v>
      </c>
      <c r="L554" s="18" t="s">
        <v>1015</v>
      </c>
      <c r="M554" s="20"/>
      <c r="N554" s="18" t="s">
        <v>1003</v>
      </c>
      <c r="O554" s="20"/>
      <c r="P554" s="18" t="s">
        <v>1602</v>
      </c>
      <c r="Q554" s="19">
        <v>31.0</v>
      </c>
      <c r="R554" s="18" t="s">
        <v>1603</v>
      </c>
      <c r="S554" s="18" t="s">
        <v>1603</v>
      </c>
      <c r="T554" s="5" t="s">
        <v>1603</v>
      </c>
    </row>
    <row r="555">
      <c r="D555" s="18" t="s">
        <v>1630</v>
      </c>
      <c r="E555" s="19">
        <v>553.0</v>
      </c>
      <c r="F555" s="5" t="s">
        <v>17</v>
      </c>
      <c r="G555" s="20"/>
      <c r="H555" s="18" t="s">
        <v>545</v>
      </c>
      <c r="I555" s="5" t="s">
        <v>19</v>
      </c>
      <c r="J555" s="18" t="s">
        <v>81</v>
      </c>
      <c r="K555" s="18" t="s">
        <v>21</v>
      </c>
      <c r="L555" s="18" t="s">
        <v>1015</v>
      </c>
      <c r="M555" s="20"/>
      <c r="N555" s="18" t="s">
        <v>1003</v>
      </c>
      <c r="O555" s="20"/>
      <c r="P555" s="18" t="s">
        <v>1631</v>
      </c>
      <c r="Q555" s="19">
        <v>54.0</v>
      </c>
      <c r="R555" s="18" t="s">
        <v>1632</v>
      </c>
      <c r="S555" s="18" t="s">
        <v>1632</v>
      </c>
      <c r="T555" s="5" t="s">
        <v>1632</v>
      </c>
    </row>
    <row r="556">
      <c r="D556" s="20"/>
      <c r="E556" s="19">
        <v>554.0</v>
      </c>
      <c r="F556" s="5" t="s">
        <v>68</v>
      </c>
      <c r="G556" s="20"/>
      <c r="H556" s="18" t="s">
        <v>69</v>
      </c>
      <c r="I556" s="18" t="s">
        <v>70</v>
      </c>
      <c r="J556" s="18" t="s">
        <v>71</v>
      </c>
      <c r="K556" s="18" t="s">
        <v>1633</v>
      </c>
      <c r="L556" s="18" t="s">
        <v>1015</v>
      </c>
      <c r="M556" s="20"/>
      <c r="N556" s="18" t="s">
        <v>1003</v>
      </c>
      <c r="O556" s="20"/>
      <c r="P556" s="18" t="s">
        <v>1631</v>
      </c>
      <c r="Q556" s="19">
        <v>54.0</v>
      </c>
      <c r="R556" s="18" t="s">
        <v>1632</v>
      </c>
      <c r="S556" s="18" t="s">
        <v>1632</v>
      </c>
      <c r="T556" s="5" t="s">
        <v>1632</v>
      </c>
    </row>
    <row r="557">
      <c r="D557" s="20"/>
      <c r="E557" s="19">
        <v>555.0</v>
      </c>
      <c r="F557" s="5" t="s">
        <v>68</v>
      </c>
      <c r="G557" s="20"/>
      <c r="H557" s="18" t="s">
        <v>1634</v>
      </c>
      <c r="I557" s="18" t="s">
        <v>1635</v>
      </c>
      <c r="J557" s="18" t="s">
        <v>71</v>
      </c>
      <c r="K557" s="18" t="s">
        <v>1633</v>
      </c>
      <c r="L557" s="18" t="s">
        <v>1015</v>
      </c>
      <c r="M557" s="20"/>
      <c r="N557" s="18" t="s">
        <v>1003</v>
      </c>
      <c r="O557" s="20"/>
      <c r="P557" s="18" t="s">
        <v>1631</v>
      </c>
      <c r="Q557" s="19">
        <v>55.0</v>
      </c>
      <c r="R557" s="18" t="s">
        <v>1632</v>
      </c>
      <c r="S557" s="18" t="s">
        <v>1632</v>
      </c>
      <c r="T557" s="5" t="s">
        <v>1632</v>
      </c>
    </row>
    <row r="558">
      <c r="D558" s="20"/>
      <c r="E558" s="19">
        <v>556.0</v>
      </c>
      <c r="F558" s="5" t="s">
        <v>68</v>
      </c>
      <c r="G558" s="20"/>
      <c r="H558" s="18" t="s">
        <v>1636</v>
      </c>
      <c r="I558" s="18" t="s">
        <v>1143</v>
      </c>
      <c r="J558" s="18" t="s">
        <v>71</v>
      </c>
      <c r="K558" s="18" t="s">
        <v>21</v>
      </c>
      <c r="L558" s="18" t="s">
        <v>1015</v>
      </c>
      <c r="M558" s="20"/>
      <c r="N558" s="18" t="s">
        <v>1003</v>
      </c>
      <c r="O558" s="20"/>
      <c r="P558" s="18" t="s">
        <v>1631</v>
      </c>
      <c r="Q558" s="19">
        <v>55.0</v>
      </c>
      <c r="R558" s="18" t="s">
        <v>1632</v>
      </c>
      <c r="S558" s="18" t="s">
        <v>1632</v>
      </c>
      <c r="T558" s="5" t="s">
        <v>1632</v>
      </c>
    </row>
    <row r="559">
      <c r="D559" s="20"/>
      <c r="E559" s="19">
        <v>557.0</v>
      </c>
      <c r="F559" s="5" t="s">
        <v>68</v>
      </c>
      <c r="G559" s="20"/>
      <c r="H559" s="18" t="s">
        <v>1637</v>
      </c>
      <c r="I559" s="18" t="s">
        <v>1143</v>
      </c>
      <c r="J559" s="18" t="s">
        <v>71</v>
      </c>
      <c r="K559" s="18" t="s">
        <v>21</v>
      </c>
      <c r="L559" s="18" t="s">
        <v>1015</v>
      </c>
      <c r="M559" s="20"/>
      <c r="N559" s="18" t="s">
        <v>1003</v>
      </c>
      <c r="O559" s="20"/>
      <c r="P559" s="18" t="s">
        <v>1631</v>
      </c>
      <c r="Q559" s="19">
        <v>55.0</v>
      </c>
      <c r="R559" s="18" t="s">
        <v>1632</v>
      </c>
      <c r="S559" s="18" t="s">
        <v>1632</v>
      </c>
      <c r="T559" s="5" t="s">
        <v>1632</v>
      </c>
    </row>
    <row r="560">
      <c r="D560" s="20"/>
      <c r="E560" s="19">
        <v>558.0</v>
      </c>
      <c r="F560" s="5" t="s">
        <v>17</v>
      </c>
      <c r="G560" s="20"/>
      <c r="H560" s="18" t="s">
        <v>46</v>
      </c>
      <c r="I560" s="5" t="s">
        <v>19</v>
      </c>
      <c r="J560" s="18" t="s">
        <v>1638</v>
      </c>
      <c r="K560" s="18" t="s">
        <v>21</v>
      </c>
      <c r="L560" s="18" t="s">
        <v>1015</v>
      </c>
      <c r="M560" s="20"/>
      <c r="N560" s="18" t="s">
        <v>1003</v>
      </c>
      <c r="O560" s="20"/>
      <c r="P560" s="18" t="s">
        <v>1631</v>
      </c>
      <c r="Q560" s="19">
        <v>58.0</v>
      </c>
      <c r="R560" s="18" t="s">
        <v>1632</v>
      </c>
      <c r="S560" s="18" t="s">
        <v>1632</v>
      </c>
      <c r="T560" s="5" t="s">
        <v>1632</v>
      </c>
    </row>
    <row r="561">
      <c r="D561" s="20"/>
      <c r="E561" s="19">
        <v>559.0</v>
      </c>
      <c r="F561" s="5" t="s">
        <v>95</v>
      </c>
      <c r="G561" s="18" t="s">
        <v>362</v>
      </c>
      <c r="H561" s="18" t="s">
        <v>751</v>
      </c>
      <c r="I561" s="18" t="s">
        <v>752</v>
      </c>
      <c r="J561" s="18" t="s">
        <v>1238</v>
      </c>
      <c r="K561" s="18" t="s">
        <v>21</v>
      </c>
      <c r="L561" s="18" t="s">
        <v>1639</v>
      </c>
      <c r="M561" s="20"/>
      <c r="N561" s="18" t="s">
        <v>1003</v>
      </c>
      <c r="O561" s="18" t="s">
        <v>272</v>
      </c>
      <c r="P561" s="18" t="s">
        <v>1631</v>
      </c>
      <c r="Q561" s="19">
        <v>58.0</v>
      </c>
      <c r="R561" s="18" t="s">
        <v>1632</v>
      </c>
      <c r="S561" s="18" t="s">
        <v>1632</v>
      </c>
      <c r="T561" s="5" t="s">
        <v>1632</v>
      </c>
    </row>
    <row r="562">
      <c r="D562" s="20"/>
      <c r="E562" s="19">
        <v>560.0</v>
      </c>
      <c r="F562" s="5" t="s">
        <v>190</v>
      </c>
      <c r="G562" s="20"/>
      <c r="H562" s="18" t="s">
        <v>623</v>
      </c>
      <c r="I562" s="18" t="s">
        <v>624</v>
      </c>
      <c r="J562" s="18" t="s">
        <v>1206</v>
      </c>
      <c r="K562" s="18" t="s">
        <v>21</v>
      </c>
      <c r="L562" s="18" t="s">
        <v>1015</v>
      </c>
      <c r="M562" s="20"/>
      <c r="N562" s="18" t="s">
        <v>1003</v>
      </c>
      <c r="O562" s="20"/>
      <c r="P562" s="18" t="s">
        <v>1631</v>
      </c>
      <c r="Q562" s="19">
        <v>58.0</v>
      </c>
      <c r="R562" s="18" t="s">
        <v>1632</v>
      </c>
      <c r="S562" s="18" t="s">
        <v>1632</v>
      </c>
      <c r="T562" s="5" t="s">
        <v>1632</v>
      </c>
    </row>
    <row r="563">
      <c r="D563" s="20"/>
      <c r="E563" s="19">
        <v>561.0</v>
      </c>
      <c r="F563" s="5" t="s">
        <v>95</v>
      </c>
      <c r="G563" s="18" t="s">
        <v>409</v>
      </c>
      <c r="H563" s="18" t="s">
        <v>1062</v>
      </c>
      <c r="I563" s="18" t="s">
        <v>723</v>
      </c>
      <c r="J563" s="18" t="s">
        <v>1640</v>
      </c>
      <c r="K563" s="18" t="s">
        <v>21</v>
      </c>
      <c r="L563" s="18" t="s">
        <v>1641</v>
      </c>
      <c r="M563" s="20"/>
      <c r="N563" s="18" t="s">
        <v>1003</v>
      </c>
      <c r="O563" s="20"/>
      <c r="P563" s="18" t="s">
        <v>1631</v>
      </c>
      <c r="Q563" s="19">
        <v>58.0</v>
      </c>
      <c r="R563" s="18" t="s">
        <v>1632</v>
      </c>
      <c r="S563" s="18" t="s">
        <v>1632</v>
      </c>
      <c r="T563" s="5" t="s">
        <v>1632</v>
      </c>
    </row>
    <row r="564">
      <c r="D564" s="20"/>
      <c r="E564" s="19">
        <v>562.0</v>
      </c>
      <c r="F564" s="5" t="s">
        <v>281</v>
      </c>
      <c r="G564" s="18"/>
      <c r="H564" s="18" t="s">
        <v>675</v>
      </c>
      <c r="I564" s="18" t="s">
        <v>18</v>
      </c>
      <c r="J564" s="18" t="s">
        <v>1638</v>
      </c>
      <c r="K564" s="18" t="s">
        <v>21</v>
      </c>
      <c r="L564" s="18" t="s">
        <v>21</v>
      </c>
      <c r="M564" s="20"/>
      <c r="N564" s="18" t="s">
        <v>1003</v>
      </c>
      <c r="O564" s="20"/>
      <c r="P564" s="18" t="s">
        <v>1631</v>
      </c>
      <c r="Q564" s="19">
        <v>59.0</v>
      </c>
      <c r="R564" s="18" t="s">
        <v>1632</v>
      </c>
      <c r="S564" s="18" t="s">
        <v>1632</v>
      </c>
      <c r="T564" s="5" t="s">
        <v>1632</v>
      </c>
    </row>
    <row r="565">
      <c r="D565" s="20"/>
      <c r="E565" s="19">
        <v>563.0</v>
      </c>
      <c r="F565" s="5" t="s">
        <v>281</v>
      </c>
      <c r="G565" s="18" t="s">
        <v>28</v>
      </c>
      <c r="H565" s="18" t="s">
        <v>675</v>
      </c>
      <c r="I565" s="18" t="s">
        <v>667</v>
      </c>
      <c r="J565" s="18" t="s">
        <v>1638</v>
      </c>
      <c r="K565" s="18" t="s">
        <v>21</v>
      </c>
      <c r="L565" s="18" t="s">
        <v>1642</v>
      </c>
      <c r="M565" s="20"/>
      <c r="N565" s="18" t="s">
        <v>1003</v>
      </c>
      <c r="O565" s="20"/>
      <c r="P565" s="18" t="s">
        <v>1631</v>
      </c>
      <c r="Q565" s="19">
        <v>59.0</v>
      </c>
      <c r="R565" s="18" t="s">
        <v>1632</v>
      </c>
      <c r="S565" s="18" t="s">
        <v>1632</v>
      </c>
      <c r="T565" s="5" t="s">
        <v>1632</v>
      </c>
    </row>
    <row r="566">
      <c r="D566" s="20"/>
      <c r="E566" s="19">
        <v>564.0</v>
      </c>
      <c r="F566" s="5" t="s">
        <v>176</v>
      </c>
      <c r="G566" s="18" t="s">
        <v>28</v>
      </c>
      <c r="H566" s="18" t="s">
        <v>1597</v>
      </c>
      <c r="I566" s="18" t="s">
        <v>1591</v>
      </c>
      <c r="J566" s="18" t="s">
        <v>1638</v>
      </c>
      <c r="K566" s="18" t="s">
        <v>1643</v>
      </c>
      <c r="L566" s="18" t="s">
        <v>1642</v>
      </c>
      <c r="M566" s="20"/>
      <c r="N566" s="18" t="s">
        <v>1003</v>
      </c>
      <c r="O566" s="20"/>
      <c r="P566" s="18" t="s">
        <v>1631</v>
      </c>
      <c r="Q566" s="19">
        <v>59.0</v>
      </c>
      <c r="R566" s="18" t="s">
        <v>1632</v>
      </c>
      <c r="S566" s="18" t="s">
        <v>1632</v>
      </c>
      <c r="T566" s="5" t="s">
        <v>1632</v>
      </c>
    </row>
    <row r="567">
      <c r="D567" s="18" t="s">
        <v>1644</v>
      </c>
      <c r="E567" s="19">
        <v>565.0</v>
      </c>
      <c r="F567" s="5" t="s">
        <v>68</v>
      </c>
      <c r="G567" s="20"/>
      <c r="H567" s="18" t="s">
        <v>69</v>
      </c>
      <c r="I567" s="18" t="s">
        <v>70</v>
      </c>
      <c r="J567" s="18" t="s">
        <v>71</v>
      </c>
      <c r="K567" s="18" t="s">
        <v>21</v>
      </c>
      <c r="L567" s="18" t="s">
        <v>1015</v>
      </c>
      <c r="M567" s="20"/>
      <c r="N567" s="18" t="s">
        <v>1003</v>
      </c>
      <c r="O567" s="20"/>
      <c r="P567" s="18" t="s">
        <v>1645</v>
      </c>
      <c r="Q567" s="19">
        <v>413.0</v>
      </c>
      <c r="R567" s="18" t="s">
        <v>1646</v>
      </c>
      <c r="S567" s="18" t="s">
        <v>1646</v>
      </c>
      <c r="T567" s="5" t="s">
        <v>1647</v>
      </c>
    </row>
    <row r="568">
      <c r="D568" s="20"/>
      <c r="E568" s="19">
        <v>566.0</v>
      </c>
      <c r="F568" s="5" t="s">
        <v>17</v>
      </c>
      <c r="G568" s="20"/>
      <c r="H568" s="18" t="s">
        <v>545</v>
      </c>
      <c r="I568" s="5" t="s">
        <v>19</v>
      </c>
      <c r="J568" s="18" t="s">
        <v>81</v>
      </c>
      <c r="K568" s="18" t="s">
        <v>21</v>
      </c>
      <c r="L568" s="18" t="s">
        <v>1015</v>
      </c>
      <c r="M568" s="20"/>
      <c r="N568" s="18" t="s">
        <v>1003</v>
      </c>
      <c r="O568" s="20"/>
      <c r="P568" s="18" t="s">
        <v>1645</v>
      </c>
      <c r="Q568" s="19">
        <v>413.0</v>
      </c>
      <c r="R568" s="18" t="s">
        <v>1646</v>
      </c>
      <c r="S568" s="18" t="s">
        <v>1646</v>
      </c>
      <c r="T568" s="5" t="s">
        <v>1647</v>
      </c>
    </row>
    <row r="569">
      <c r="D569" s="20"/>
      <c r="E569" s="19">
        <v>567.0</v>
      </c>
      <c r="F569" s="5" t="s">
        <v>68</v>
      </c>
      <c r="G569" s="20"/>
      <c r="H569" s="18" t="s">
        <v>1634</v>
      </c>
      <c r="I569" s="18" t="s">
        <v>1635</v>
      </c>
      <c r="J569" s="18" t="s">
        <v>71</v>
      </c>
      <c r="K569" s="18" t="s">
        <v>21</v>
      </c>
      <c r="L569" s="18" t="s">
        <v>1015</v>
      </c>
      <c r="M569" s="20"/>
      <c r="N569" s="18" t="s">
        <v>1003</v>
      </c>
      <c r="O569" s="20"/>
      <c r="P569" s="18" t="s">
        <v>1645</v>
      </c>
      <c r="Q569" s="19">
        <v>413.0</v>
      </c>
      <c r="R569" s="18" t="s">
        <v>1646</v>
      </c>
      <c r="S569" s="18" t="s">
        <v>1646</v>
      </c>
      <c r="T569" s="5" t="s">
        <v>1647</v>
      </c>
    </row>
    <row r="570">
      <c r="D570" s="20"/>
      <c r="E570" s="19">
        <v>568.0</v>
      </c>
      <c r="F570" s="5" t="s">
        <v>95</v>
      </c>
      <c r="G570" s="18" t="s">
        <v>434</v>
      </c>
      <c r="H570" s="18" t="s">
        <v>1443</v>
      </c>
      <c r="I570" s="18" t="s">
        <v>947</v>
      </c>
      <c r="J570" s="18" t="s">
        <v>1517</v>
      </c>
      <c r="K570" s="18" t="s">
        <v>21</v>
      </c>
      <c r="L570" s="18" t="s">
        <v>1015</v>
      </c>
      <c r="M570" s="20"/>
      <c r="N570" s="18" t="s">
        <v>1003</v>
      </c>
      <c r="O570" s="20"/>
      <c r="P570" s="18" t="s">
        <v>1645</v>
      </c>
      <c r="Q570" s="19">
        <v>413.0</v>
      </c>
      <c r="R570" s="18" t="s">
        <v>1646</v>
      </c>
      <c r="S570" s="18" t="s">
        <v>1646</v>
      </c>
      <c r="T570" s="5" t="s">
        <v>1647</v>
      </c>
    </row>
    <row r="571">
      <c r="D571" s="20"/>
      <c r="E571" s="19">
        <v>569.0</v>
      </c>
      <c r="F571" s="5" t="s">
        <v>95</v>
      </c>
      <c r="G571" s="18" t="s">
        <v>434</v>
      </c>
      <c r="H571" s="18" t="s">
        <v>1443</v>
      </c>
      <c r="I571" s="18" t="s">
        <v>723</v>
      </c>
      <c r="J571" s="18" t="s">
        <v>1648</v>
      </c>
      <c r="K571" s="18" t="s">
        <v>21</v>
      </c>
      <c r="L571" s="18" t="s">
        <v>1649</v>
      </c>
      <c r="M571" s="20"/>
      <c r="N571" s="18" t="s">
        <v>1650</v>
      </c>
      <c r="O571" s="20"/>
      <c r="P571" s="18" t="s">
        <v>1645</v>
      </c>
      <c r="Q571" s="19">
        <v>413.0</v>
      </c>
      <c r="R571" s="18" t="s">
        <v>1646</v>
      </c>
      <c r="S571" s="18" t="s">
        <v>1646</v>
      </c>
      <c r="T571" s="5" t="s">
        <v>1647</v>
      </c>
    </row>
    <row r="572">
      <c r="D572" s="20"/>
      <c r="E572" s="19">
        <v>570.0</v>
      </c>
      <c r="F572" s="5" t="s">
        <v>17</v>
      </c>
      <c r="G572" s="20"/>
      <c r="H572" s="18" t="s">
        <v>46</v>
      </c>
      <c r="I572" s="5" t="s">
        <v>19</v>
      </c>
      <c r="J572" s="18" t="s">
        <v>1638</v>
      </c>
      <c r="K572" s="18" t="s">
        <v>21</v>
      </c>
      <c r="L572" s="18" t="s">
        <v>1015</v>
      </c>
      <c r="M572" s="20"/>
      <c r="N572" s="18" t="s">
        <v>1003</v>
      </c>
      <c r="O572" s="20"/>
      <c r="P572" s="18" t="s">
        <v>1645</v>
      </c>
      <c r="Q572" s="19">
        <v>414.0</v>
      </c>
      <c r="R572" s="18" t="s">
        <v>1646</v>
      </c>
      <c r="S572" s="18" t="s">
        <v>1646</v>
      </c>
      <c r="T572" s="5" t="s">
        <v>1647</v>
      </c>
    </row>
    <row r="573">
      <c r="D573" s="20"/>
      <c r="E573" s="19">
        <v>571.0</v>
      </c>
      <c r="F573" s="5" t="s">
        <v>17</v>
      </c>
      <c r="G573" s="20"/>
      <c r="H573" s="18" t="s">
        <v>1651</v>
      </c>
      <c r="I573" s="5" t="s">
        <v>19</v>
      </c>
      <c r="J573" s="18" t="s">
        <v>1652</v>
      </c>
      <c r="K573" s="18" t="s">
        <v>21</v>
      </c>
      <c r="L573" s="18" t="s">
        <v>1015</v>
      </c>
      <c r="M573" s="20"/>
      <c r="N573" s="18" t="s">
        <v>1003</v>
      </c>
      <c r="O573" s="20"/>
      <c r="P573" s="18" t="s">
        <v>1645</v>
      </c>
      <c r="Q573" s="19">
        <v>414.0</v>
      </c>
      <c r="R573" s="18" t="s">
        <v>1646</v>
      </c>
      <c r="S573" s="18" t="s">
        <v>1646</v>
      </c>
      <c r="T573" s="5" t="s">
        <v>1647</v>
      </c>
    </row>
    <row r="574">
      <c r="D574" s="20"/>
      <c r="E574" s="19">
        <v>572.0</v>
      </c>
      <c r="F574" s="5" t="s">
        <v>95</v>
      </c>
      <c r="G574" s="18" t="s">
        <v>362</v>
      </c>
      <c r="H574" s="18" t="s">
        <v>751</v>
      </c>
      <c r="I574" s="18" t="s">
        <v>752</v>
      </c>
      <c r="J574" s="18" t="s">
        <v>1653</v>
      </c>
      <c r="K574" s="18" t="s">
        <v>21</v>
      </c>
      <c r="L574" s="18" t="s">
        <v>1015</v>
      </c>
      <c r="M574" s="20"/>
      <c r="N574" s="18" t="s">
        <v>1003</v>
      </c>
      <c r="O574" s="20"/>
      <c r="P574" s="18" t="s">
        <v>1645</v>
      </c>
      <c r="Q574" s="19">
        <v>414.0</v>
      </c>
      <c r="R574" s="18" t="s">
        <v>1646</v>
      </c>
      <c r="S574" s="18" t="s">
        <v>1646</v>
      </c>
      <c r="T574" s="5" t="s">
        <v>1647</v>
      </c>
    </row>
    <row r="575">
      <c r="D575" s="20"/>
      <c r="E575" s="19">
        <v>573.0</v>
      </c>
      <c r="F575" s="5" t="s">
        <v>17</v>
      </c>
      <c r="G575" s="18" t="s">
        <v>28</v>
      </c>
      <c r="H575" s="18" t="s">
        <v>1654</v>
      </c>
      <c r="I575" s="5" t="s">
        <v>19</v>
      </c>
      <c r="J575" s="18" t="s">
        <v>1638</v>
      </c>
      <c r="K575" s="18" t="s">
        <v>21</v>
      </c>
      <c r="L575" s="18" t="s">
        <v>1655</v>
      </c>
      <c r="M575" s="20"/>
      <c r="N575" s="18" t="s">
        <v>1656</v>
      </c>
      <c r="O575" s="20"/>
      <c r="P575" s="18" t="s">
        <v>1645</v>
      </c>
      <c r="Q575" s="19">
        <v>414.0</v>
      </c>
      <c r="R575" s="18" t="s">
        <v>1646</v>
      </c>
      <c r="S575" s="18" t="s">
        <v>1646</v>
      </c>
      <c r="T575" s="5" t="s">
        <v>1647</v>
      </c>
    </row>
    <row r="576">
      <c r="D576" s="20"/>
      <c r="E576" s="19">
        <v>574.0</v>
      </c>
      <c r="F576" s="5" t="s">
        <v>1009</v>
      </c>
      <c r="G576" s="18" t="s">
        <v>28</v>
      </c>
      <c r="H576" s="18" t="s">
        <v>1597</v>
      </c>
      <c r="I576" s="18" t="s">
        <v>1591</v>
      </c>
      <c r="J576" s="18" t="s">
        <v>1657</v>
      </c>
      <c r="K576" s="18" t="s">
        <v>1658</v>
      </c>
      <c r="L576" s="18" t="s">
        <v>1655</v>
      </c>
      <c r="M576" s="20"/>
      <c r="N576" s="18" t="s">
        <v>1656</v>
      </c>
      <c r="O576" s="20"/>
      <c r="P576" s="18" t="s">
        <v>1645</v>
      </c>
      <c r="Q576" s="19">
        <v>414.0</v>
      </c>
      <c r="R576" s="18" t="s">
        <v>1646</v>
      </c>
      <c r="S576" s="18" t="s">
        <v>1646</v>
      </c>
      <c r="T576" s="5" t="s">
        <v>1647</v>
      </c>
    </row>
    <row r="577">
      <c r="D577" s="18" t="s">
        <v>1659</v>
      </c>
      <c r="E577" s="19">
        <v>575.0</v>
      </c>
      <c r="F577" s="5" t="s">
        <v>52</v>
      </c>
      <c r="G577" s="20"/>
      <c r="H577" s="5" t="s">
        <v>19</v>
      </c>
      <c r="I577" s="18" t="s">
        <v>39</v>
      </c>
      <c r="J577" s="18" t="s">
        <v>958</v>
      </c>
      <c r="K577" s="18" t="s">
        <v>21</v>
      </c>
      <c r="L577" s="18" t="s">
        <v>1015</v>
      </c>
      <c r="M577" s="20"/>
      <c r="N577" s="18" t="s">
        <v>1003</v>
      </c>
      <c r="O577" s="20"/>
      <c r="P577" s="18" t="s">
        <v>1660</v>
      </c>
      <c r="Q577" s="19">
        <v>38.0</v>
      </c>
      <c r="R577" s="18" t="s">
        <v>1661</v>
      </c>
      <c r="S577" s="18" t="s">
        <v>1661</v>
      </c>
      <c r="T577" s="5" t="s">
        <v>1661</v>
      </c>
    </row>
    <row r="578">
      <c r="D578" s="20"/>
      <c r="E578" s="19">
        <v>576.0</v>
      </c>
      <c r="F578" s="5" t="s">
        <v>52</v>
      </c>
      <c r="G578" s="20"/>
      <c r="H578" s="5" t="s">
        <v>19</v>
      </c>
      <c r="I578" s="18" t="s">
        <v>107</v>
      </c>
      <c r="J578" s="18" t="s">
        <v>958</v>
      </c>
      <c r="K578" s="18" t="s">
        <v>21</v>
      </c>
      <c r="L578" s="18" t="s">
        <v>1015</v>
      </c>
      <c r="M578" s="20"/>
      <c r="N578" s="18" t="s">
        <v>1003</v>
      </c>
      <c r="O578" s="20"/>
      <c r="P578" s="18" t="s">
        <v>1660</v>
      </c>
      <c r="Q578" s="19">
        <v>38.0</v>
      </c>
      <c r="R578" s="18" t="s">
        <v>1661</v>
      </c>
      <c r="S578" s="18" t="s">
        <v>1661</v>
      </c>
      <c r="T578" s="5" t="s">
        <v>1661</v>
      </c>
    </row>
    <row r="579">
      <c r="D579" s="20"/>
      <c r="E579" s="19">
        <v>577.0</v>
      </c>
      <c r="F579" s="5" t="s">
        <v>17</v>
      </c>
      <c r="G579" s="20"/>
      <c r="H579" s="18" t="s">
        <v>29</v>
      </c>
      <c r="I579" s="5" t="s">
        <v>19</v>
      </c>
      <c r="J579" s="18" t="s">
        <v>1662</v>
      </c>
      <c r="K579" s="18" t="s">
        <v>21</v>
      </c>
      <c r="L579" s="18" t="s">
        <v>1015</v>
      </c>
      <c r="M579" s="20"/>
      <c r="N579" s="18" t="s">
        <v>1003</v>
      </c>
      <c r="O579" s="20"/>
      <c r="P579" s="18" t="s">
        <v>1660</v>
      </c>
      <c r="Q579" s="19">
        <v>40.0</v>
      </c>
      <c r="R579" s="18" t="s">
        <v>1661</v>
      </c>
      <c r="S579" s="18" t="s">
        <v>1661</v>
      </c>
      <c r="T579" s="5" t="s">
        <v>1661</v>
      </c>
    </row>
    <row r="580">
      <c r="D580" s="20"/>
      <c r="E580" s="19">
        <v>578.0</v>
      </c>
      <c r="F580" s="5" t="s">
        <v>17</v>
      </c>
      <c r="G580" s="20"/>
      <c r="H580" s="18" t="s">
        <v>39</v>
      </c>
      <c r="I580" s="5" t="s">
        <v>19</v>
      </c>
      <c r="J580" s="18" t="s">
        <v>1638</v>
      </c>
      <c r="K580" s="18" t="s">
        <v>21</v>
      </c>
      <c r="L580" s="18" t="s">
        <v>1015</v>
      </c>
      <c r="M580" s="20"/>
      <c r="N580" s="18" t="s">
        <v>1003</v>
      </c>
      <c r="O580" s="20"/>
      <c r="P580" s="18" t="s">
        <v>1660</v>
      </c>
      <c r="Q580" s="19">
        <v>40.0</v>
      </c>
      <c r="R580" s="18" t="s">
        <v>1661</v>
      </c>
      <c r="S580" s="18" t="s">
        <v>1661</v>
      </c>
      <c r="T580" s="5" t="s">
        <v>1661</v>
      </c>
    </row>
    <row r="581">
      <c r="D581" s="20"/>
      <c r="E581" s="19">
        <v>579.0</v>
      </c>
      <c r="F581" s="5" t="s">
        <v>17</v>
      </c>
      <c r="G581" s="20"/>
      <c r="H581" s="18" t="s">
        <v>107</v>
      </c>
      <c r="I581" s="5" t="s">
        <v>19</v>
      </c>
      <c r="J581" s="18" t="s">
        <v>1638</v>
      </c>
      <c r="K581" s="18" t="s">
        <v>21</v>
      </c>
      <c r="L581" s="18" t="s">
        <v>1015</v>
      </c>
      <c r="M581" s="20"/>
      <c r="N581" s="18" t="s">
        <v>1003</v>
      </c>
      <c r="O581" s="20"/>
      <c r="P581" s="18" t="s">
        <v>1660</v>
      </c>
      <c r="Q581" s="19">
        <v>40.0</v>
      </c>
      <c r="R581" s="18" t="s">
        <v>1661</v>
      </c>
      <c r="S581" s="18" t="s">
        <v>1661</v>
      </c>
      <c r="T581" s="5" t="s">
        <v>1661</v>
      </c>
    </row>
    <row r="582">
      <c r="D582" s="20"/>
      <c r="E582" s="19">
        <v>580.0</v>
      </c>
      <c r="F582" s="5" t="s">
        <v>52</v>
      </c>
      <c r="G582" s="18" t="s">
        <v>53</v>
      </c>
      <c r="H582" s="5" t="s">
        <v>19</v>
      </c>
      <c r="I582" s="18" t="s">
        <v>648</v>
      </c>
      <c r="J582" s="18" t="s">
        <v>1663</v>
      </c>
      <c r="K582" s="18" t="s">
        <v>21</v>
      </c>
      <c r="L582" s="18" t="s">
        <v>1664</v>
      </c>
      <c r="M582" s="18" t="s">
        <v>1665</v>
      </c>
      <c r="N582" s="18" t="s">
        <v>1003</v>
      </c>
      <c r="O582" s="20"/>
      <c r="P582" s="18" t="s">
        <v>1660</v>
      </c>
      <c r="Q582" s="19">
        <v>41.0</v>
      </c>
      <c r="R582" s="18" t="s">
        <v>1661</v>
      </c>
      <c r="S582" s="18" t="s">
        <v>1661</v>
      </c>
      <c r="T582" s="5" t="s">
        <v>1661</v>
      </c>
    </row>
    <row r="583">
      <c r="D583" s="20"/>
      <c r="E583" s="19">
        <v>581.0</v>
      </c>
      <c r="F583" s="5" t="s">
        <v>68</v>
      </c>
      <c r="G583" s="20"/>
      <c r="H583" s="18" t="s">
        <v>69</v>
      </c>
      <c r="I583" s="18" t="s">
        <v>70</v>
      </c>
      <c r="J583" s="18" t="s">
        <v>71</v>
      </c>
      <c r="K583" s="18" t="s">
        <v>21</v>
      </c>
      <c r="L583" s="18" t="s">
        <v>1015</v>
      </c>
      <c r="M583" s="20"/>
      <c r="N583" s="18" t="s">
        <v>1003</v>
      </c>
      <c r="O583" s="20"/>
      <c r="P583" s="18" t="s">
        <v>1660</v>
      </c>
      <c r="Q583" s="19">
        <v>41.0</v>
      </c>
      <c r="R583" s="18" t="s">
        <v>1661</v>
      </c>
      <c r="S583" s="18" t="s">
        <v>1661</v>
      </c>
      <c r="T583" s="5" t="s">
        <v>1661</v>
      </c>
    </row>
    <row r="584">
      <c r="D584" s="20"/>
      <c r="E584" s="19">
        <v>582.0</v>
      </c>
      <c r="F584" s="5" t="s">
        <v>68</v>
      </c>
      <c r="G584" s="20"/>
      <c r="H584" s="18" t="s">
        <v>1666</v>
      </c>
      <c r="I584" s="18" t="s">
        <v>78</v>
      </c>
      <c r="J584" s="18" t="s">
        <v>71</v>
      </c>
      <c r="K584" s="18" t="s">
        <v>21</v>
      </c>
      <c r="L584" s="18" t="s">
        <v>1015</v>
      </c>
      <c r="M584" s="20"/>
      <c r="N584" s="18" t="s">
        <v>1003</v>
      </c>
      <c r="O584" s="20"/>
      <c r="P584" s="18" t="s">
        <v>1660</v>
      </c>
      <c r="Q584" s="19">
        <v>41.0</v>
      </c>
      <c r="R584" s="18" t="s">
        <v>1661</v>
      </c>
      <c r="S584" s="18" t="s">
        <v>1661</v>
      </c>
      <c r="T584" s="5" t="s">
        <v>1661</v>
      </c>
    </row>
    <row r="585">
      <c r="D585" s="20"/>
      <c r="E585" s="19">
        <v>583.0</v>
      </c>
      <c r="F585" s="5" t="s">
        <v>95</v>
      </c>
      <c r="G585" s="18" t="s">
        <v>446</v>
      </c>
      <c r="H585" s="18" t="s">
        <v>136</v>
      </c>
      <c r="I585" s="5" t="s">
        <v>364</v>
      </c>
      <c r="J585" s="18" t="s">
        <v>1667</v>
      </c>
      <c r="K585" s="18" t="s">
        <v>21</v>
      </c>
      <c r="L585" s="18" t="s">
        <v>1668</v>
      </c>
      <c r="M585" s="18" t="s">
        <v>1669</v>
      </c>
      <c r="N585" s="18" t="s">
        <v>1003</v>
      </c>
      <c r="O585" s="20"/>
      <c r="P585" s="18" t="s">
        <v>1660</v>
      </c>
      <c r="Q585" s="19">
        <v>44.0</v>
      </c>
      <c r="R585" s="18" t="s">
        <v>1661</v>
      </c>
      <c r="S585" s="18" t="s">
        <v>1661</v>
      </c>
      <c r="T585" s="5" t="s">
        <v>1661</v>
      </c>
    </row>
    <row r="586">
      <c r="D586" s="20"/>
      <c r="E586" s="19">
        <v>584.0</v>
      </c>
      <c r="F586" s="5" t="s">
        <v>95</v>
      </c>
      <c r="G586" s="18" t="s">
        <v>134</v>
      </c>
      <c r="H586" s="18" t="s">
        <v>135</v>
      </c>
      <c r="I586" s="5" t="s">
        <v>136</v>
      </c>
      <c r="J586" s="18" t="s">
        <v>1670</v>
      </c>
      <c r="K586" s="18" t="s">
        <v>21</v>
      </c>
      <c r="L586" s="18" t="s">
        <v>1671</v>
      </c>
      <c r="M586" s="18" t="s">
        <v>1672</v>
      </c>
      <c r="N586" s="18" t="s">
        <v>1003</v>
      </c>
      <c r="O586" s="20"/>
      <c r="P586" s="18" t="s">
        <v>1660</v>
      </c>
      <c r="Q586" s="19">
        <v>44.0</v>
      </c>
      <c r="R586" s="18" t="s">
        <v>1661</v>
      </c>
      <c r="S586" s="18" t="s">
        <v>1661</v>
      </c>
      <c r="T586" s="5" t="s">
        <v>1661</v>
      </c>
    </row>
    <row r="587">
      <c r="D587" s="20"/>
      <c r="E587" s="19">
        <v>585.0</v>
      </c>
      <c r="F587" s="5" t="s">
        <v>17</v>
      </c>
      <c r="G587" s="18"/>
      <c r="H587" s="18" t="s">
        <v>142</v>
      </c>
      <c r="I587" s="5" t="s">
        <v>19</v>
      </c>
      <c r="J587" s="18" t="s">
        <v>1670</v>
      </c>
      <c r="K587" s="18" t="s">
        <v>21</v>
      </c>
      <c r="L587" s="18" t="s">
        <v>1015</v>
      </c>
      <c r="M587" s="20"/>
      <c r="N587" s="18" t="s">
        <v>1003</v>
      </c>
      <c r="O587" s="20"/>
      <c r="P587" s="18" t="s">
        <v>1660</v>
      </c>
      <c r="Q587" s="19">
        <v>44.0</v>
      </c>
      <c r="R587" s="18" t="s">
        <v>1661</v>
      </c>
      <c r="S587" s="18" t="s">
        <v>1661</v>
      </c>
      <c r="T587" s="5" t="s">
        <v>1661</v>
      </c>
    </row>
    <row r="588">
      <c r="D588" s="20"/>
      <c r="E588" s="19">
        <v>586.0</v>
      </c>
      <c r="F588" s="5" t="s">
        <v>17</v>
      </c>
      <c r="G588" s="20"/>
      <c r="H588" s="18" t="s">
        <v>142</v>
      </c>
      <c r="I588" s="5" t="s">
        <v>19</v>
      </c>
      <c r="J588" s="18" t="s">
        <v>1311</v>
      </c>
      <c r="K588" s="18" t="s">
        <v>21</v>
      </c>
      <c r="L588" s="18" t="s">
        <v>1015</v>
      </c>
      <c r="M588" s="20"/>
      <c r="N588" s="18" t="s">
        <v>1003</v>
      </c>
      <c r="O588" s="20"/>
      <c r="P588" s="18" t="s">
        <v>1660</v>
      </c>
      <c r="Q588" s="19">
        <v>44.0</v>
      </c>
      <c r="R588" s="18" t="s">
        <v>1661</v>
      </c>
      <c r="S588" s="18" t="s">
        <v>1661</v>
      </c>
      <c r="T588" s="5" t="s">
        <v>1661</v>
      </c>
    </row>
    <row r="589">
      <c r="D589" s="20"/>
      <c r="E589" s="19">
        <v>587.0</v>
      </c>
      <c r="F589" s="5" t="s">
        <v>95</v>
      </c>
      <c r="G589" s="20"/>
      <c r="H589" s="18" t="s">
        <v>1673</v>
      </c>
      <c r="I589" s="18" t="s">
        <v>1424</v>
      </c>
      <c r="J589" s="18" t="s">
        <v>1674</v>
      </c>
      <c r="K589" s="18" t="s">
        <v>21</v>
      </c>
      <c r="L589" s="18" t="s">
        <v>1015</v>
      </c>
      <c r="M589" s="20"/>
      <c r="N589" s="18" t="s">
        <v>1003</v>
      </c>
      <c r="O589" s="20"/>
      <c r="P589" s="18" t="s">
        <v>1660</v>
      </c>
      <c r="Q589" s="19">
        <v>44.0</v>
      </c>
      <c r="R589" s="18" t="s">
        <v>1661</v>
      </c>
      <c r="S589" s="18" t="s">
        <v>1661</v>
      </c>
      <c r="T589" s="5" t="s">
        <v>1661</v>
      </c>
    </row>
    <row r="590">
      <c r="D590" s="20"/>
      <c r="E590" s="19">
        <v>588.0</v>
      </c>
      <c r="F590" s="5" t="s">
        <v>281</v>
      </c>
      <c r="G590" s="20"/>
      <c r="H590" s="18" t="s">
        <v>29</v>
      </c>
      <c r="I590" s="18" t="s">
        <v>107</v>
      </c>
      <c r="J590" s="18" t="s">
        <v>71</v>
      </c>
      <c r="K590" s="18" t="s">
        <v>21</v>
      </c>
      <c r="L590" s="18" t="s">
        <v>1015</v>
      </c>
      <c r="M590" s="20"/>
      <c r="N590" s="18" t="s">
        <v>1003</v>
      </c>
      <c r="O590" s="20"/>
      <c r="P590" s="18" t="s">
        <v>1660</v>
      </c>
      <c r="Q590" s="19">
        <v>44.0</v>
      </c>
      <c r="R590" s="18" t="s">
        <v>1661</v>
      </c>
      <c r="S590" s="18" t="s">
        <v>1661</v>
      </c>
      <c r="T590" s="5" t="s">
        <v>1661</v>
      </c>
    </row>
    <row r="591">
      <c r="D591" s="18" t="s">
        <v>1675</v>
      </c>
      <c r="E591" s="19">
        <v>589.0</v>
      </c>
      <c r="F591" s="5" t="s">
        <v>95</v>
      </c>
      <c r="G591" s="20"/>
      <c r="H591" s="18" t="s">
        <v>1676</v>
      </c>
      <c r="I591" s="18" t="s">
        <v>1591</v>
      </c>
      <c r="J591" s="18" t="s">
        <v>1677</v>
      </c>
      <c r="K591" s="18" t="s">
        <v>21</v>
      </c>
      <c r="L591" s="18" t="s">
        <v>1015</v>
      </c>
      <c r="M591" s="20"/>
      <c r="N591" s="18" t="s">
        <v>1003</v>
      </c>
      <c r="O591" s="20"/>
      <c r="P591" s="18" t="s">
        <v>1678</v>
      </c>
      <c r="Q591" s="19">
        <v>204.0</v>
      </c>
      <c r="R591" s="18" t="s">
        <v>1679</v>
      </c>
      <c r="S591" s="18" t="s">
        <v>1679</v>
      </c>
      <c r="T591" s="5" t="s">
        <v>1680</v>
      </c>
    </row>
    <row r="592">
      <c r="D592" s="20"/>
      <c r="E592" s="19">
        <v>590.0</v>
      </c>
      <c r="F592" s="5" t="s">
        <v>95</v>
      </c>
      <c r="G592" s="20"/>
      <c r="H592" s="18" t="s">
        <v>1681</v>
      </c>
      <c r="I592" s="18" t="s">
        <v>1424</v>
      </c>
      <c r="J592" s="18" t="s">
        <v>1682</v>
      </c>
      <c r="K592" s="18" t="s">
        <v>21</v>
      </c>
      <c r="L592" s="18" t="s">
        <v>1015</v>
      </c>
      <c r="M592" s="20"/>
      <c r="N592" s="18" t="s">
        <v>1003</v>
      </c>
      <c r="O592" s="20"/>
      <c r="P592" s="18" t="s">
        <v>1678</v>
      </c>
      <c r="Q592" s="19">
        <v>204.0</v>
      </c>
      <c r="R592" s="18" t="s">
        <v>1679</v>
      </c>
      <c r="S592" s="18" t="s">
        <v>1679</v>
      </c>
      <c r="T592" s="5" t="s">
        <v>1680</v>
      </c>
    </row>
    <row r="593">
      <c r="D593" s="20"/>
      <c r="E593" s="19">
        <v>591.0</v>
      </c>
      <c r="F593" s="5" t="s">
        <v>95</v>
      </c>
      <c r="G593" s="20"/>
      <c r="H593" s="18" t="s">
        <v>1681</v>
      </c>
      <c r="I593" s="18" t="s">
        <v>1424</v>
      </c>
      <c r="J593" s="18" t="s">
        <v>1683</v>
      </c>
      <c r="K593" s="18" t="s">
        <v>21</v>
      </c>
      <c r="L593" s="18" t="s">
        <v>1015</v>
      </c>
      <c r="M593" s="20"/>
      <c r="N593" s="18" t="s">
        <v>1003</v>
      </c>
      <c r="O593" s="20"/>
      <c r="P593" s="18" t="s">
        <v>1678</v>
      </c>
      <c r="Q593" s="19">
        <v>205.0</v>
      </c>
      <c r="R593" s="18" t="s">
        <v>1679</v>
      </c>
      <c r="S593" s="18" t="s">
        <v>1679</v>
      </c>
      <c r="T593" s="5" t="s">
        <v>1680</v>
      </c>
    </row>
    <row r="594">
      <c r="D594" s="20"/>
      <c r="E594" s="19">
        <v>592.0</v>
      </c>
      <c r="F594" s="5" t="s">
        <v>95</v>
      </c>
      <c r="G594" s="20"/>
      <c r="H594" s="18" t="s">
        <v>135</v>
      </c>
      <c r="I594" s="18" t="s">
        <v>531</v>
      </c>
      <c r="J594" s="18" t="s">
        <v>1683</v>
      </c>
      <c r="K594" s="18" t="s">
        <v>21</v>
      </c>
      <c r="L594" s="18" t="s">
        <v>1015</v>
      </c>
      <c r="M594" s="20"/>
      <c r="N594" s="18" t="s">
        <v>1003</v>
      </c>
      <c r="O594" s="20"/>
      <c r="P594" s="18" t="s">
        <v>1678</v>
      </c>
      <c r="Q594" s="19">
        <v>205.0</v>
      </c>
      <c r="R594" s="18" t="s">
        <v>1679</v>
      </c>
      <c r="S594" s="18" t="s">
        <v>1679</v>
      </c>
      <c r="T594" s="5" t="s">
        <v>1680</v>
      </c>
    </row>
    <row r="595">
      <c r="D595" s="20"/>
      <c r="E595" s="19">
        <v>593.0</v>
      </c>
      <c r="F595" s="5" t="s">
        <v>95</v>
      </c>
      <c r="G595" s="18" t="s">
        <v>446</v>
      </c>
      <c r="H595" s="18" t="s">
        <v>136</v>
      </c>
      <c r="I595" s="18" t="s">
        <v>364</v>
      </c>
      <c r="J595" s="18" t="s">
        <v>1667</v>
      </c>
      <c r="K595" s="18" t="s">
        <v>21</v>
      </c>
      <c r="L595" s="18" t="s">
        <v>1684</v>
      </c>
      <c r="M595" s="20"/>
      <c r="N595" s="18" t="s">
        <v>1003</v>
      </c>
      <c r="O595" s="20"/>
      <c r="P595" s="18" t="s">
        <v>1678</v>
      </c>
      <c r="Q595" s="19">
        <v>205.0</v>
      </c>
      <c r="R595" s="18" t="s">
        <v>1679</v>
      </c>
      <c r="S595" s="18" t="s">
        <v>1679</v>
      </c>
      <c r="T595" s="5" t="s">
        <v>1680</v>
      </c>
    </row>
    <row r="596">
      <c r="D596" s="20"/>
      <c r="E596" s="19">
        <v>594.0</v>
      </c>
      <c r="F596" s="5" t="s">
        <v>95</v>
      </c>
      <c r="G596" s="18" t="s">
        <v>434</v>
      </c>
      <c r="H596" s="18" t="s">
        <v>435</v>
      </c>
      <c r="I596" s="18" t="s">
        <v>135</v>
      </c>
      <c r="J596" s="18" t="s">
        <v>1357</v>
      </c>
      <c r="K596" s="18" t="s">
        <v>21</v>
      </c>
      <c r="L596" s="18" t="s">
        <v>1015</v>
      </c>
      <c r="M596" s="20"/>
      <c r="N596" s="18" t="s">
        <v>1003</v>
      </c>
      <c r="O596" s="20"/>
      <c r="P596" s="18" t="s">
        <v>1678</v>
      </c>
      <c r="Q596" s="19">
        <v>205.0</v>
      </c>
      <c r="R596" s="18" t="s">
        <v>1679</v>
      </c>
      <c r="S596" s="18" t="s">
        <v>1679</v>
      </c>
      <c r="T596" s="5" t="s">
        <v>1680</v>
      </c>
    </row>
    <row r="597">
      <c r="D597" s="20"/>
      <c r="E597" s="19">
        <v>595.0</v>
      </c>
      <c r="F597" s="5" t="s">
        <v>95</v>
      </c>
      <c r="G597" s="18" t="s">
        <v>434</v>
      </c>
      <c r="H597" s="18" t="s">
        <v>435</v>
      </c>
      <c r="I597" s="18" t="s">
        <v>136</v>
      </c>
      <c r="J597" s="18" t="s">
        <v>1685</v>
      </c>
      <c r="K597" s="18" t="s">
        <v>21</v>
      </c>
      <c r="L597" s="18" t="s">
        <v>1015</v>
      </c>
      <c r="M597" s="20"/>
      <c r="N597" s="18" t="s">
        <v>1003</v>
      </c>
      <c r="O597" s="20"/>
      <c r="P597" s="18" t="s">
        <v>1678</v>
      </c>
      <c r="Q597" s="19">
        <v>205.0</v>
      </c>
      <c r="R597" s="18" t="s">
        <v>1679</v>
      </c>
      <c r="S597" s="18" t="s">
        <v>1679</v>
      </c>
      <c r="T597" s="5" t="s">
        <v>1680</v>
      </c>
    </row>
    <row r="598">
      <c r="D598" s="20"/>
      <c r="E598" s="19">
        <v>596.0</v>
      </c>
      <c r="F598" s="5" t="s">
        <v>95</v>
      </c>
      <c r="G598" s="18" t="s">
        <v>362</v>
      </c>
      <c r="H598" s="18" t="s">
        <v>363</v>
      </c>
      <c r="I598" s="18" t="s">
        <v>364</v>
      </c>
      <c r="J598" s="18" t="s">
        <v>1685</v>
      </c>
      <c r="K598" s="18" t="s">
        <v>21</v>
      </c>
      <c r="L598" s="18" t="s">
        <v>1015</v>
      </c>
      <c r="M598" s="20"/>
      <c r="N598" s="18" t="s">
        <v>1003</v>
      </c>
      <c r="O598" s="20"/>
      <c r="P598" s="18" t="s">
        <v>1678</v>
      </c>
      <c r="Q598" s="19">
        <v>205.0</v>
      </c>
      <c r="R598" s="18" t="s">
        <v>1679</v>
      </c>
      <c r="S598" s="18" t="s">
        <v>1679</v>
      </c>
      <c r="T598" s="5" t="s">
        <v>1680</v>
      </c>
    </row>
    <row r="599">
      <c r="D599" s="20"/>
      <c r="E599" s="19">
        <v>597.0</v>
      </c>
      <c r="F599" s="5" t="s">
        <v>190</v>
      </c>
      <c r="G599" s="18" t="s">
        <v>1445</v>
      </c>
      <c r="H599" s="18" t="s">
        <v>435</v>
      </c>
      <c r="I599" s="18" t="s">
        <v>142</v>
      </c>
      <c r="J599" s="18" t="s">
        <v>1404</v>
      </c>
      <c r="K599" s="18" t="s">
        <v>21</v>
      </c>
      <c r="L599" s="18" t="s">
        <v>1015</v>
      </c>
      <c r="M599" s="20"/>
      <c r="N599" s="18" t="s">
        <v>1003</v>
      </c>
      <c r="O599" s="20"/>
      <c r="P599" s="18" t="s">
        <v>1678</v>
      </c>
      <c r="Q599" s="19">
        <v>205.0</v>
      </c>
      <c r="R599" s="18" t="s">
        <v>1679</v>
      </c>
      <c r="S599" s="18" t="s">
        <v>1679</v>
      </c>
      <c r="T599" s="5" t="s">
        <v>1680</v>
      </c>
    </row>
    <row r="600">
      <c r="D600" s="20"/>
      <c r="E600" s="19">
        <v>598.0</v>
      </c>
      <c r="F600" s="5" t="s">
        <v>281</v>
      </c>
      <c r="G600" s="20"/>
      <c r="H600" s="18" t="s">
        <v>18</v>
      </c>
      <c r="I600" s="18" t="s">
        <v>29</v>
      </c>
      <c r="J600" s="18" t="s">
        <v>71</v>
      </c>
      <c r="K600" s="18" t="s">
        <v>21</v>
      </c>
      <c r="L600" s="18" t="s">
        <v>1015</v>
      </c>
      <c r="M600" s="20"/>
      <c r="N600" s="18" t="s">
        <v>1003</v>
      </c>
      <c r="O600" s="20"/>
      <c r="P600" s="18" t="s">
        <v>1678</v>
      </c>
      <c r="Q600" s="19">
        <v>206.0</v>
      </c>
      <c r="R600" s="18" t="s">
        <v>1679</v>
      </c>
      <c r="S600" s="18" t="s">
        <v>1679</v>
      </c>
      <c r="T600" s="5" t="s">
        <v>1680</v>
      </c>
    </row>
    <row r="601">
      <c r="D601" s="20"/>
      <c r="E601" s="19">
        <v>599.0</v>
      </c>
      <c r="F601" s="5" t="s">
        <v>281</v>
      </c>
      <c r="G601" s="20"/>
      <c r="H601" s="18" t="s">
        <v>1686</v>
      </c>
      <c r="I601" s="18" t="s">
        <v>1687</v>
      </c>
      <c r="J601" s="18" t="s">
        <v>71</v>
      </c>
      <c r="K601" s="18" t="s">
        <v>21</v>
      </c>
      <c r="L601" s="18" t="s">
        <v>1015</v>
      </c>
      <c r="M601" s="20"/>
      <c r="N601" s="18" t="s">
        <v>1003</v>
      </c>
      <c r="O601" s="20"/>
      <c r="P601" s="18" t="s">
        <v>1678</v>
      </c>
      <c r="Q601" s="19">
        <v>206.0</v>
      </c>
      <c r="R601" s="18" t="s">
        <v>1679</v>
      </c>
      <c r="S601" s="18" t="s">
        <v>1679</v>
      </c>
      <c r="T601" s="5" t="s">
        <v>1680</v>
      </c>
    </row>
    <row r="602">
      <c r="D602" s="20"/>
      <c r="E602" s="19">
        <v>600.0</v>
      </c>
      <c r="F602" s="5" t="s">
        <v>95</v>
      </c>
      <c r="G602" s="20"/>
      <c r="H602" s="18" t="s">
        <v>1681</v>
      </c>
      <c r="I602" s="18" t="s">
        <v>1424</v>
      </c>
      <c r="J602" s="18" t="s">
        <v>1688</v>
      </c>
      <c r="K602" s="18" t="s">
        <v>21</v>
      </c>
      <c r="L602" s="18" t="s">
        <v>1015</v>
      </c>
      <c r="M602" s="20"/>
      <c r="N602" s="18" t="s">
        <v>1003</v>
      </c>
      <c r="O602" s="20"/>
      <c r="P602" s="18" t="s">
        <v>1678</v>
      </c>
      <c r="Q602" s="19">
        <v>206.0</v>
      </c>
      <c r="R602" s="18" t="s">
        <v>1679</v>
      </c>
      <c r="S602" s="18" t="s">
        <v>1679</v>
      </c>
      <c r="T602" s="5" t="s">
        <v>1680</v>
      </c>
    </row>
    <row r="603">
      <c r="D603" s="20"/>
      <c r="E603" s="19">
        <v>601.0</v>
      </c>
      <c r="F603" s="5" t="s">
        <v>952</v>
      </c>
      <c r="G603" s="20"/>
      <c r="H603" s="18" t="s">
        <v>1689</v>
      </c>
      <c r="I603" s="18" t="s">
        <v>1690</v>
      </c>
      <c r="J603" s="18" t="s">
        <v>936</v>
      </c>
      <c r="K603" s="18" t="s">
        <v>21</v>
      </c>
      <c r="L603" s="18" t="s">
        <v>1015</v>
      </c>
      <c r="M603" s="20"/>
      <c r="N603" s="18" t="s">
        <v>1003</v>
      </c>
      <c r="O603" s="20"/>
      <c r="P603" s="18" t="s">
        <v>1678</v>
      </c>
      <c r="Q603" s="19">
        <v>207.0</v>
      </c>
      <c r="R603" s="18" t="s">
        <v>1679</v>
      </c>
      <c r="S603" s="18" t="s">
        <v>1679</v>
      </c>
      <c r="T603" s="5" t="s">
        <v>1680</v>
      </c>
    </row>
    <row r="604">
      <c r="D604" s="20"/>
      <c r="E604" s="19">
        <v>602.0</v>
      </c>
      <c r="F604" s="5" t="s">
        <v>229</v>
      </c>
      <c r="G604" s="20"/>
      <c r="H604" s="18" t="s">
        <v>230</v>
      </c>
      <c r="I604" s="18" t="s">
        <v>231</v>
      </c>
      <c r="J604" s="18" t="s">
        <v>1353</v>
      </c>
      <c r="K604" s="18" t="s">
        <v>21</v>
      </c>
      <c r="L604" s="18" t="s">
        <v>1015</v>
      </c>
      <c r="M604" s="20"/>
      <c r="N604" s="18" t="s">
        <v>1003</v>
      </c>
      <c r="O604" s="20"/>
      <c r="P604" s="18" t="s">
        <v>1691</v>
      </c>
      <c r="Q604" s="19">
        <v>13.0</v>
      </c>
      <c r="R604" s="18" t="s">
        <v>1679</v>
      </c>
      <c r="S604" s="18" t="s">
        <v>1679</v>
      </c>
      <c r="T604" s="5" t="s">
        <v>1680</v>
      </c>
    </row>
    <row r="605">
      <c r="D605" s="20"/>
      <c r="E605" s="19">
        <v>603.0</v>
      </c>
      <c r="F605" s="5" t="s">
        <v>229</v>
      </c>
      <c r="G605" s="20"/>
      <c r="H605" s="18" t="s">
        <v>230</v>
      </c>
      <c r="I605" s="18" t="s">
        <v>231</v>
      </c>
      <c r="J605" s="18" t="s">
        <v>1692</v>
      </c>
      <c r="K605" s="18" t="s">
        <v>21</v>
      </c>
      <c r="L605" s="18" t="s">
        <v>1015</v>
      </c>
      <c r="M605" s="20"/>
      <c r="N605" s="18" t="s">
        <v>1003</v>
      </c>
      <c r="O605" s="20"/>
      <c r="P605" s="18" t="s">
        <v>1691</v>
      </c>
      <c r="Q605" s="19">
        <v>13.0</v>
      </c>
      <c r="R605" s="18" t="s">
        <v>1679</v>
      </c>
      <c r="S605" s="18" t="s">
        <v>1679</v>
      </c>
      <c r="T605" s="5" t="s">
        <v>1680</v>
      </c>
    </row>
    <row r="606">
      <c r="D606" s="20"/>
      <c r="E606" s="19">
        <v>604.0</v>
      </c>
      <c r="F606" s="5" t="s">
        <v>229</v>
      </c>
      <c r="G606" s="20"/>
      <c r="H606" s="18" t="s">
        <v>751</v>
      </c>
      <c r="I606" s="18" t="s">
        <v>852</v>
      </c>
      <c r="J606" s="18" t="s">
        <v>1692</v>
      </c>
      <c r="K606" s="18" t="s">
        <v>21</v>
      </c>
      <c r="L606" s="18" t="s">
        <v>1015</v>
      </c>
      <c r="M606" s="20"/>
      <c r="N606" s="18" t="s">
        <v>1003</v>
      </c>
      <c r="O606" s="20"/>
      <c r="P606" s="18" t="s">
        <v>1691</v>
      </c>
      <c r="Q606" s="19">
        <v>14.0</v>
      </c>
      <c r="R606" s="18" t="s">
        <v>1679</v>
      </c>
      <c r="S606" s="18" t="s">
        <v>1679</v>
      </c>
      <c r="T606" s="5" t="s">
        <v>1680</v>
      </c>
    </row>
    <row r="607">
      <c r="D607" s="20"/>
      <c r="E607" s="19">
        <v>605.0</v>
      </c>
      <c r="F607" s="5" t="s">
        <v>95</v>
      </c>
      <c r="G607" s="18" t="s">
        <v>362</v>
      </c>
      <c r="H607" s="18" t="s">
        <v>751</v>
      </c>
      <c r="I607" s="18" t="s">
        <v>752</v>
      </c>
      <c r="J607" s="18" t="s">
        <v>1517</v>
      </c>
      <c r="K607" s="18" t="s">
        <v>21</v>
      </c>
      <c r="L607" s="18" t="s">
        <v>1015</v>
      </c>
      <c r="M607" s="20"/>
      <c r="N607" s="18" t="s">
        <v>1003</v>
      </c>
      <c r="O607" s="20"/>
      <c r="P607" s="18" t="s">
        <v>1691</v>
      </c>
      <c r="Q607" s="19">
        <v>14.0</v>
      </c>
      <c r="R607" s="18" t="s">
        <v>1679</v>
      </c>
      <c r="S607" s="18" t="s">
        <v>1679</v>
      </c>
      <c r="T607" s="5" t="s">
        <v>1680</v>
      </c>
    </row>
    <row r="608">
      <c r="D608" s="20"/>
      <c r="E608" s="19">
        <v>606.0</v>
      </c>
      <c r="F608" s="5" t="s">
        <v>95</v>
      </c>
      <c r="G608" s="18" t="s">
        <v>409</v>
      </c>
      <c r="H608" s="18" t="s">
        <v>1062</v>
      </c>
      <c r="I608" s="18" t="s">
        <v>723</v>
      </c>
      <c r="J608" s="18" t="s">
        <v>724</v>
      </c>
      <c r="K608" s="18" t="s">
        <v>21</v>
      </c>
      <c r="L608" s="18" t="s">
        <v>1015</v>
      </c>
      <c r="M608" s="20"/>
      <c r="N608" s="18" t="s">
        <v>1003</v>
      </c>
      <c r="O608" s="20"/>
      <c r="P608" s="18" t="s">
        <v>1691</v>
      </c>
      <c r="Q608" s="19">
        <v>14.0</v>
      </c>
      <c r="R608" s="18" t="s">
        <v>1679</v>
      </c>
      <c r="S608" s="18" t="s">
        <v>1679</v>
      </c>
      <c r="T608" s="5" t="s">
        <v>1680</v>
      </c>
    </row>
    <row r="609">
      <c r="D609" s="20"/>
      <c r="E609" s="19">
        <v>607.0</v>
      </c>
      <c r="F609" s="5" t="s">
        <v>95</v>
      </c>
      <c r="G609" s="18" t="s">
        <v>434</v>
      </c>
      <c r="H609" s="18" t="s">
        <v>1443</v>
      </c>
      <c r="I609" s="18" t="s">
        <v>723</v>
      </c>
      <c r="J609" s="18" t="s">
        <v>1648</v>
      </c>
      <c r="K609" s="18" t="s">
        <v>21</v>
      </c>
      <c r="L609" s="18" t="s">
        <v>1015</v>
      </c>
      <c r="M609" s="20"/>
      <c r="N609" s="18" t="s">
        <v>1003</v>
      </c>
      <c r="O609" s="20"/>
      <c r="P609" s="18" t="s">
        <v>1691</v>
      </c>
      <c r="Q609" s="19">
        <v>14.0</v>
      </c>
      <c r="R609" s="18" t="s">
        <v>1679</v>
      </c>
      <c r="S609" s="18" t="s">
        <v>1679</v>
      </c>
      <c r="T609" s="5" t="s">
        <v>1680</v>
      </c>
    </row>
    <row r="610">
      <c r="D610" s="20"/>
      <c r="E610" s="19">
        <v>608.0</v>
      </c>
      <c r="F610" s="5" t="s">
        <v>95</v>
      </c>
      <c r="G610" s="18" t="s">
        <v>434</v>
      </c>
      <c r="H610" s="18" t="s">
        <v>1443</v>
      </c>
      <c r="I610" s="18" t="s">
        <v>947</v>
      </c>
      <c r="J610" s="18" t="s">
        <v>1517</v>
      </c>
      <c r="K610" s="18" t="s">
        <v>21</v>
      </c>
      <c r="L610" s="18" t="s">
        <v>1015</v>
      </c>
      <c r="M610" s="20"/>
      <c r="N610" s="18" t="s">
        <v>1003</v>
      </c>
      <c r="O610" s="20"/>
      <c r="P610" s="18" t="s">
        <v>1691</v>
      </c>
      <c r="Q610" s="19">
        <v>14.0</v>
      </c>
      <c r="R610" s="18" t="s">
        <v>1679</v>
      </c>
      <c r="S610" s="18" t="s">
        <v>1679</v>
      </c>
      <c r="T610" s="5" t="s">
        <v>1680</v>
      </c>
    </row>
    <row r="611">
      <c r="D611" s="20"/>
      <c r="E611" s="19">
        <v>609.0</v>
      </c>
      <c r="F611" s="5" t="s">
        <v>95</v>
      </c>
      <c r="G611" s="18" t="s">
        <v>409</v>
      </c>
      <c r="H611" s="18" t="s">
        <v>1062</v>
      </c>
      <c r="I611" s="18" t="s">
        <v>947</v>
      </c>
      <c r="J611" s="18" t="s">
        <v>1517</v>
      </c>
      <c r="K611" s="18" t="s">
        <v>21</v>
      </c>
      <c r="L611" s="18" t="s">
        <v>1015</v>
      </c>
      <c r="M611" s="20"/>
      <c r="N611" s="18" t="s">
        <v>1003</v>
      </c>
      <c r="O611" s="20"/>
      <c r="P611" s="18" t="s">
        <v>1691</v>
      </c>
      <c r="Q611" s="19">
        <v>14.0</v>
      </c>
      <c r="R611" s="18" t="s">
        <v>1679</v>
      </c>
      <c r="S611" s="18" t="s">
        <v>1679</v>
      </c>
      <c r="T611" s="5" t="s">
        <v>1680</v>
      </c>
    </row>
    <row r="612">
      <c r="D612" s="20"/>
      <c r="E612" s="19">
        <v>610.0</v>
      </c>
      <c r="F612" s="5" t="s">
        <v>95</v>
      </c>
      <c r="G612" s="18" t="s">
        <v>446</v>
      </c>
      <c r="H612" s="18" t="s">
        <v>947</v>
      </c>
      <c r="I612" s="18" t="s">
        <v>752</v>
      </c>
      <c r="J612" s="18" t="s">
        <v>1518</v>
      </c>
      <c r="K612" s="18" t="s">
        <v>21</v>
      </c>
      <c r="L612" s="18" t="s">
        <v>1015</v>
      </c>
      <c r="M612" s="20"/>
      <c r="N612" s="18" t="s">
        <v>1003</v>
      </c>
      <c r="O612" s="20"/>
      <c r="P612" s="18" t="s">
        <v>1691</v>
      </c>
      <c r="Q612" s="19">
        <v>14.0</v>
      </c>
      <c r="R612" s="18" t="s">
        <v>1679</v>
      </c>
      <c r="S612" s="18" t="s">
        <v>1679</v>
      </c>
      <c r="T612" s="5" t="s">
        <v>1680</v>
      </c>
    </row>
    <row r="613">
      <c r="D613" s="20"/>
      <c r="E613" s="19">
        <v>611.0</v>
      </c>
      <c r="F613" s="5" t="s">
        <v>95</v>
      </c>
      <c r="G613" s="18" t="s">
        <v>1318</v>
      </c>
      <c r="H613" s="18" t="s">
        <v>1062</v>
      </c>
      <c r="I613" s="18" t="s">
        <v>723</v>
      </c>
      <c r="J613" s="18" t="s">
        <v>1693</v>
      </c>
      <c r="K613" s="18" t="s">
        <v>21</v>
      </c>
      <c r="L613" s="18" t="s">
        <v>1015</v>
      </c>
      <c r="M613" s="20"/>
      <c r="N613" s="18" t="s">
        <v>1003</v>
      </c>
      <c r="O613" s="20"/>
      <c r="P613" s="18" t="s">
        <v>1691</v>
      </c>
      <c r="Q613" s="19">
        <v>14.0</v>
      </c>
      <c r="R613" s="18" t="s">
        <v>1679</v>
      </c>
      <c r="S613" s="18" t="s">
        <v>1679</v>
      </c>
      <c r="T613" s="5" t="s">
        <v>1680</v>
      </c>
    </row>
    <row r="614">
      <c r="D614" s="18" t="s">
        <v>1694</v>
      </c>
      <c r="E614" s="19">
        <v>612.0</v>
      </c>
      <c r="F614" s="5" t="s">
        <v>17</v>
      </c>
      <c r="G614" s="20"/>
      <c r="H614" s="18" t="s">
        <v>1695</v>
      </c>
      <c r="I614" s="5" t="s">
        <v>19</v>
      </c>
      <c r="J614" s="18" t="s">
        <v>1696</v>
      </c>
      <c r="K614" s="18" t="s">
        <v>21</v>
      </c>
      <c r="L614" s="18" t="s">
        <v>1015</v>
      </c>
      <c r="M614" s="20"/>
      <c r="N614" s="18" t="s">
        <v>1003</v>
      </c>
      <c r="O614" s="20"/>
      <c r="P614" s="18" t="s">
        <v>1697</v>
      </c>
      <c r="Q614" s="19" t="s">
        <v>51</v>
      </c>
      <c r="R614" s="18" t="s">
        <v>1698</v>
      </c>
      <c r="S614" s="18" t="s">
        <v>1698</v>
      </c>
      <c r="T614" s="5" t="s">
        <v>1699</v>
      </c>
    </row>
    <row r="615">
      <c r="D615" s="20"/>
      <c r="E615" s="19">
        <v>613.0</v>
      </c>
      <c r="F615" s="5" t="s">
        <v>95</v>
      </c>
      <c r="G615" s="20"/>
      <c r="H615" s="18" t="s">
        <v>1597</v>
      </c>
      <c r="I615" s="18" t="s">
        <v>1591</v>
      </c>
      <c r="J615" s="18" t="s">
        <v>1700</v>
      </c>
      <c r="K615" s="18" t="s">
        <v>1701</v>
      </c>
      <c r="L615" s="18" t="s">
        <v>1015</v>
      </c>
      <c r="M615" s="20"/>
      <c r="N615" s="18" t="s">
        <v>1003</v>
      </c>
      <c r="O615" s="20"/>
      <c r="P615" s="18" t="s">
        <v>1697</v>
      </c>
      <c r="Q615" s="19">
        <v>32.0</v>
      </c>
      <c r="R615" s="18" t="s">
        <v>1698</v>
      </c>
      <c r="S615" s="18" t="s">
        <v>1698</v>
      </c>
      <c r="T615" s="5" t="s">
        <v>1699</v>
      </c>
    </row>
    <row r="616">
      <c r="D616" s="20"/>
      <c r="E616" s="19">
        <v>614.0</v>
      </c>
      <c r="F616" s="5" t="s">
        <v>95</v>
      </c>
      <c r="G616" s="20"/>
      <c r="H616" s="18" t="s">
        <v>1473</v>
      </c>
      <c r="I616" s="18" t="s">
        <v>1270</v>
      </c>
      <c r="J616" s="18" t="s">
        <v>1315</v>
      </c>
      <c r="K616" s="18" t="s">
        <v>21</v>
      </c>
      <c r="L616" s="18" t="s">
        <v>1015</v>
      </c>
      <c r="M616" s="20"/>
      <c r="N616" s="18" t="s">
        <v>1003</v>
      </c>
      <c r="O616" s="20"/>
      <c r="P616" s="18" t="s">
        <v>1697</v>
      </c>
      <c r="Q616" s="19">
        <v>32.0</v>
      </c>
      <c r="R616" s="18" t="s">
        <v>1698</v>
      </c>
      <c r="S616" s="18" t="s">
        <v>1698</v>
      </c>
      <c r="T616" s="5" t="s">
        <v>1699</v>
      </c>
    </row>
    <row r="617">
      <c r="D617" s="20"/>
      <c r="E617" s="19">
        <v>615.0</v>
      </c>
      <c r="F617" s="5" t="s">
        <v>95</v>
      </c>
      <c r="G617" s="20"/>
      <c r="H617" s="18" t="s">
        <v>658</v>
      </c>
      <c r="I617" s="18" t="s">
        <v>1433</v>
      </c>
      <c r="J617" s="18" t="s">
        <v>1480</v>
      </c>
      <c r="K617" s="18" t="s">
        <v>21</v>
      </c>
      <c r="L617" s="18" t="s">
        <v>1015</v>
      </c>
      <c r="M617" s="20"/>
      <c r="N617" s="18" t="s">
        <v>1003</v>
      </c>
      <c r="O617" s="20"/>
      <c r="P617" s="18" t="s">
        <v>1697</v>
      </c>
      <c r="Q617" s="19">
        <v>32.0</v>
      </c>
      <c r="R617" s="18" t="s">
        <v>1698</v>
      </c>
      <c r="S617" s="18" t="s">
        <v>1698</v>
      </c>
      <c r="T617" s="5" t="s">
        <v>1699</v>
      </c>
    </row>
    <row r="618">
      <c r="D618" s="20"/>
      <c r="E618" s="19">
        <v>616.0</v>
      </c>
      <c r="F618" s="5" t="s">
        <v>95</v>
      </c>
      <c r="G618" s="20"/>
      <c r="H618" s="18" t="s">
        <v>658</v>
      </c>
      <c r="I618" s="18" t="s">
        <v>1702</v>
      </c>
      <c r="J618" s="18" t="s">
        <v>1480</v>
      </c>
      <c r="K618" s="18" t="s">
        <v>21</v>
      </c>
      <c r="L618" s="18" t="s">
        <v>1015</v>
      </c>
      <c r="M618" s="20"/>
      <c r="N618" s="18" t="s">
        <v>1003</v>
      </c>
      <c r="O618" s="20"/>
      <c r="P618" s="18" t="s">
        <v>1697</v>
      </c>
      <c r="Q618" s="19">
        <v>32.0</v>
      </c>
      <c r="R618" s="18" t="s">
        <v>1698</v>
      </c>
      <c r="S618" s="18" t="s">
        <v>1698</v>
      </c>
      <c r="T618" s="5" t="s">
        <v>1699</v>
      </c>
    </row>
    <row r="619">
      <c r="D619" s="20"/>
      <c r="E619" s="19">
        <v>617.0</v>
      </c>
      <c r="F619" s="5" t="s">
        <v>95</v>
      </c>
      <c r="G619" s="20"/>
      <c r="H619" s="18" t="s">
        <v>658</v>
      </c>
      <c r="I619" s="18" t="s">
        <v>667</v>
      </c>
      <c r="J619" s="18" t="s">
        <v>1480</v>
      </c>
      <c r="K619" s="18" t="s">
        <v>21</v>
      </c>
      <c r="L619" s="18" t="s">
        <v>1015</v>
      </c>
      <c r="M619" s="20"/>
      <c r="N619" s="18" t="s">
        <v>1003</v>
      </c>
      <c r="O619" s="20"/>
      <c r="P619" s="18" t="s">
        <v>1697</v>
      </c>
      <c r="Q619" s="19">
        <v>32.0</v>
      </c>
      <c r="R619" s="18" t="s">
        <v>1698</v>
      </c>
      <c r="S619" s="18" t="s">
        <v>1698</v>
      </c>
      <c r="T619" s="5" t="s">
        <v>1699</v>
      </c>
    </row>
    <row r="620">
      <c r="D620" s="20"/>
      <c r="E620" s="19">
        <v>618.0</v>
      </c>
      <c r="F620" s="5" t="s">
        <v>95</v>
      </c>
      <c r="G620" s="20"/>
      <c r="H620" s="18" t="s">
        <v>658</v>
      </c>
      <c r="I620" s="18" t="s">
        <v>1433</v>
      </c>
      <c r="J620" s="18" t="s">
        <v>1703</v>
      </c>
      <c r="K620" s="18" t="s">
        <v>21</v>
      </c>
      <c r="L620" s="18" t="s">
        <v>1015</v>
      </c>
      <c r="M620" s="20"/>
      <c r="N620" s="18" t="s">
        <v>1003</v>
      </c>
      <c r="O620" s="20"/>
      <c r="P620" s="18" t="s">
        <v>1697</v>
      </c>
      <c r="Q620" s="19">
        <v>32.0</v>
      </c>
      <c r="R620" s="18" t="s">
        <v>1698</v>
      </c>
      <c r="S620" s="18" t="s">
        <v>1698</v>
      </c>
      <c r="T620" s="5" t="s">
        <v>1699</v>
      </c>
    </row>
    <row r="621">
      <c r="D621" s="20"/>
      <c r="E621" s="19">
        <v>619.0</v>
      </c>
      <c r="F621" s="5" t="s">
        <v>209</v>
      </c>
      <c r="G621" s="20"/>
      <c r="H621" s="18" t="s">
        <v>1704</v>
      </c>
      <c r="I621" s="18" t="s">
        <v>567</v>
      </c>
      <c r="J621" s="18" t="s">
        <v>1705</v>
      </c>
      <c r="K621" s="18" t="s">
        <v>21</v>
      </c>
      <c r="L621" s="18" t="s">
        <v>1015</v>
      </c>
      <c r="M621" s="20"/>
      <c r="N621" s="18" t="s">
        <v>1003</v>
      </c>
      <c r="O621" s="20"/>
      <c r="P621" s="18" t="s">
        <v>1697</v>
      </c>
      <c r="Q621" s="19">
        <v>33.0</v>
      </c>
      <c r="R621" s="18" t="s">
        <v>1698</v>
      </c>
      <c r="S621" s="18" t="s">
        <v>1698</v>
      </c>
      <c r="T621" s="5" t="s">
        <v>1699</v>
      </c>
    </row>
    <row r="622">
      <c r="D622" s="18" t="s">
        <v>1706</v>
      </c>
      <c r="E622" s="19">
        <v>620.0</v>
      </c>
      <c r="F622" s="5" t="s">
        <v>95</v>
      </c>
      <c r="G622" s="20"/>
      <c r="H622" s="18" t="s">
        <v>18</v>
      </c>
      <c r="I622" s="18" t="s">
        <v>107</v>
      </c>
      <c r="J622" s="18" t="s">
        <v>1707</v>
      </c>
      <c r="K622" s="18" t="s">
        <v>21</v>
      </c>
      <c r="L622" s="18" t="s">
        <v>1015</v>
      </c>
      <c r="M622" s="20"/>
      <c r="N622" s="18" t="s">
        <v>1003</v>
      </c>
      <c r="O622" s="20"/>
      <c r="P622" s="18" t="s">
        <v>1708</v>
      </c>
      <c r="Q622" s="19">
        <v>18.0</v>
      </c>
      <c r="R622" s="5" t="s">
        <v>1709</v>
      </c>
      <c r="S622" s="18" t="s">
        <v>1710</v>
      </c>
      <c r="T622" s="5" t="s">
        <v>1711</v>
      </c>
    </row>
    <row r="623">
      <c r="D623" s="20"/>
      <c r="E623" s="19">
        <v>621.0</v>
      </c>
      <c r="F623" s="5" t="s">
        <v>95</v>
      </c>
      <c r="G623" s="20"/>
      <c r="H623" s="18" t="s">
        <v>29</v>
      </c>
      <c r="I623" s="18" t="s">
        <v>1712</v>
      </c>
      <c r="J623" s="21" t="s">
        <v>1713</v>
      </c>
      <c r="K623" s="18" t="s">
        <v>21</v>
      </c>
      <c r="L623" s="18" t="s">
        <v>1015</v>
      </c>
      <c r="M623" s="20"/>
      <c r="N623" s="18" t="s">
        <v>1003</v>
      </c>
      <c r="O623" s="20"/>
      <c r="P623" s="18" t="s">
        <v>1708</v>
      </c>
      <c r="Q623" s="22">
        <v>18.0</v>
      </c>
      <c r="R623" s="5" t="s">
        <v>1709</v>
      </c>
      <c r="S623" s="18" t="s">
        <v>1710</v>
      </c>
      <c r="T623" s="5" t="s">
        <v>1711</v>
      </c>
    </row>
    <row r="624">
      <c r="D624" s="20"/>
      <c r="E624" s="19">
        <v>622.0</v>
      </c>
      <c r="F624" s="5" t="s">
        <v>95</v>
      </c>
      <c r="G624" s="20"/>
      <c r="H624" s="21" t="s">
        <v>39</v>
      </c>
      <c r="I624" s="21" t="s">
        <v>29</v>
      </c>
      <c r="J624" s="21" t="s">
        <v>1714</v>
      </c>
      <c r="K624" s="21" t="s">
        <v>21</v>
      </c>
      <c r="L624" s="18" t="s">
        <v>1015</v>
      </c>
      <c r="M624" s="20"/>
      <c r="N624" s="18" t="s">
        <v>1003</v>
      </c>
      <c r="O624" s="20"/>
      <c r="P624" s="18" t="s">
        <v>1708</v>
      </c>
      <c r="Q624" s="22">
        <v>18.0</v>
      </c>
      <c r="R624" s="5" t="s">
        <v>1709</v>
      </c>
      <c r="S624" s="18" t="s">
        <v>1710</v>
      </c>
      <c r="T624" s="5" t="s">
        <v>1711</v>
      </c>
    </row>
    <row r="625">
      <c r="D625" s="20"/>
      <c r="E625" s="19">
        <v>623.0</v>
      </c>
      <c r="F625" s="5" t="s">
        <v>190</v>
      </c>
      <c r="G625" s="20"/>
      <c r="H625" s="21" t="s">
        <v>1586</v>
      </c>
      <c r="I625" s="21" t="s">
        <v>1587</v>
      </c>
      <c r="J625" s="21" t="s">
        <v>1657</v>
      </c>
      <c r="K625" s="21" t="s">
        <v>1715</v>
      </c>
      <c r="L625" s="18" t="s">
        <v>1015</v>
      </c>
      <c r="M625" s="20"/>
      <c r="N625" s="18" t="s">
        <v>1003</v>
      </c>
      <c r="O625" s="20"/>
      <c r="P625" s="18" t="s">
        <v>1708</v>
      </c>
      <c r="Q625" s="22">
        <v>26.0</v>
      </c>
      <c r="R625" s="5" t="s">
        <v>1709</v>
      </c>
      <c r="S625" s="18" t="s">
        <v>1710</v>
      </c>
      <c r="T625" s="5" t="s">
        <v>1711</v>
      </c>
    </row>
    <row r="626">
      <c r="D626" s="20"/>
      <c r="E626" s="19">
        <v>624.0</v>
      </c>
      <c r="F626" s="5" t="s">
        <v>190</v>
      </c>
      <c r="G626" s="20"/>
      <c r="H626" s="21" t="s">
        <v>1586</v>
      </c>
      <c r="I626" s="21" t="s">
        <v>1587</v>
      </c>
      <c r="J626" s="21" t="s">
        <v>1716</v>
      </c>
      <c r="K626" s="18" t="s">
        <v>21</v>
      </c>
      <c r="L626" s="18" t="s">
        <v>1015</v>
      </c>
      <c r="M626" s="20"/>
      <c r="N626" s="18" t="s">
        <v>1003</v>
      </c>
      <c r="O626" s="20"/>
      <c r="P626" s="18" t="s">
        <v>1708</v>
      </c>
      <c r="Q626" s="22">
        <v>26.0</v>
      </c>
      <c r="R626" s="5" t="s">
        <v>1709</v>
      </c>
      <c r="S626" s="18" t="s">
        <v>1710</v>
      </c>
      <c r="T626" s="5" t="s">
        <v>1711</v>
      </c>
    </row>
    <row r="627">
      <c r="D627" s="20"/>
      <c r="E627" s="19">
        <v>625.0</v>
      </c>
      <c r="F627" s="5" t="s">
        <v>95</v>
      </c>
      <c r="G627" s="20"/>
      <c r="H627" s="21" t="s">
        <v>1590</v>
      </c>
      <c r="I627" s="21" t="s">
        <v>1591</v>
      </c>
      <c r="J627" s="21" t="s">
        <v>1717</v>
      </c>
      <c r="K627" s="18" t="s">
        <v>21</v>
      </c>
      <c r="L627" s="18" t="s">
        <v>1015</v>
      </c>
      <c r="M627" s="20"/>
      <c r="N627" s="18" t="s">
        <v>1003</v>
      </c>
      <c r="O627" s="20"/>
      <c r="P627" s="18" t="s">
        <v>1708</v>
      </c>
      <c r="Q627" s="22">
        <v>27.0</v>
      </c>
      <c r="R627" s="5" t="s">
        <v>1709</v>
      </c>
      <c r="S627" s="18" t="s">
        <v>1710</v>
      </c>
      <c r="T627" s="5" t="s">
        <v>1711</v>
      </c>
    </row>
    <row r="628">
      <c r="D628" s="20"/>
      <c r="E628" s="19">
        <v>626.0</v>
      </c>
      <c r="F628" s="5" t="s">
        <v>95</v>
      </c>
      <c r="G628" s="20"/>
      <c r="H628" s="21" t="s">
        <v>18</v>
      </c>
      <c r="I628" s="21" t="s">
        <v>107</v>
      </c>
      <c r="J628" s="21" t="s">
        <v>1718</v>
      </c>
      <c r="K628" s="18" t="s">
        <v>21</v>
      </c>
      <c r="L628" s="18" t="s">
        <v>1015</v>
      </c>
      <c r="M628" s="20"/>
      <c r="N628" s="18" t="s">
        <v>1003</v>
      </c>
      <c r="O628" s="20"/>
      <c r="P628" s="18" t="s">
        <v>1708</v>
      </c>
      <c r="Q628" s="19">
        <v>29.0</v>
      </c>
      <c r="R628" s="5" t="s">
        <v>1709</v>
      </c>
      <c r="S628" s="18" t="s">
        <v>1710</v>
      </c>
      <c r="T628" s="5" t="s">
        <v>1711</v>
      </c>
    </row>
    <row r="629">
      <c r="D629" s="20"/>
      <c r="E629" s="19">
        <v>627.0</v>
      </c>
      <c r="F629" s="5" t="s">
        <v>95</v>
      </c>
      <c r="G629" s="20"/>
      <c r="H629" s="21" t="s">
        <v>29</v>
      </c>
      <c r="I629" s="18" t="s">
        <v>1016</v>
      </c>
      <c r="J629" s="21" t="s">
        <v>1718</v>
      </c>
      <c r="K629" s="18" t="s">
        <v>21</v>
      </c>
      <c r="L629" s="18" t="s">
        <v>1015</v>
      </c>
      <c r="M629" s="20"/>
      <c r="N629" s="18" t="s">
        <v>1003</v>
      </c>
      <c r="O629" s="20"/>
      <c r="P629" s="18" t="s">
        <v>1708</v>
      </c>
      <c r="Q629" s="19">
        <v>29.0</v>
      </c>
      <c r="R629" s="5" t="s">
        <v>1709</v>
      </c>
      <c r="S629" s="18" t="s">
        <v>1710</v>
      </c>
      <c r="T629" s="5" t="s">
        <v>1711</v>
      </c>
    </row>
    <row r="630">
      <c r="D630" s="20"/>
      <c r="E630" s="19">
        <v>628.0</v>
      </c>
      <c r="F630" s="5" t="s">
        <v>190</v>
      </c>
      <c r="G630" s="20"/>
      <c r="H630" s="21" t="s">
        <v>1719</v>
      </c>
      <c r="I630" s="21" t="s">
        <v>1720</v>
      </c>
      <c r="J630" s="21" t="s">
        <v>1721</v>
      </c>
      <c r="K630" s="21" t="s">
        <v>1722</v>
      </c>
      <c r="L630" s="18" t="s">
        <v>1015</v>
      </c>
      <c r="M630" s="20"/>
      <c r="N630" s="18" t="s">
        <v>1003</v>
      </c>
      <c r="O630" s="20"/>
      <c r="P630" s="18" t="s">
        <v>1708</v>
      </c>
      <c r="Q630" s="19">
        <v>29.0</v>
      </c>
      <c r="R630" s="5" t="s">
        <v>1709</v>
      </c>
      <c r="S630" s="18" t="s">
        <v>1710</v>
      </c>
      <c r="T630" s="5" t="s">
        <v>1711</v>
      </c>
    </row>
    <row r="631">
      <c r="D631" s="20"/>
      <c r="E631" s="19">
        <v>629.0</v>
      </c>
      <c r="F631" s="5" t="s">
        <v>190</v>
      </c>
      <c r="G631" s="20"/>
      <c r="H631" s="21" t="s">
        <v>1719</v>
      </c>
      <c r="I631" s="21" t="s">
        <v>1720</v>
      </c>
      <c r="J631" s="21" t="s">
        <v>1723</v>
      </c>
      <c r="K631" s="21" t="s">
        <v>1724</v>
      </c>
      <c r="L631" s="18" t="s">
        <v>1015</v>
      </c>
      <c r="M631" s="20"/>
      <c r="N631" s="18" t="s">
        <v>1003</v>
      </c>
      <c r="O631" s="20"/>
      <c r="P631" s="18" t="s">
        <v>1708</v>
      </c>
      <c r="Q631" s="19">
        <v>29.0</v>
      </c>
      <c r="R631" s="5" t="s">
        <v>1709</v>
      </c>
      <c r="S631" s="18" t="s">
        <v>1710</v>
      </c>
      <c r="T631" s="5" t="s">
        <v>1711</v>
      </c>
    </row>
    <row r="632">
      <c r="D632" s="20"/>
      <c r="E632" s="19">
        <v>630.0</v>
      </c>
      <c r="F632" s="5" t="s">
        <v>95</v>
      </c>
      <c r="G632" s="18" t="s">
        <v>434</v>
      </c>
      <c r="H632" s="21" t="s">
        <v>435</v>
      </c>
      <c r="I632" s="21" t="s">
        <v>136</v>
      </c>
      <c r="J632" s="21" t="s">
        <v>1612</v>
      </c>
      <c r="K632" s="18" t="s">
        <v>21</v>
      </c>
      <c r="L632" s="18" t="s">
        <v>1015</v>
      </c>
      <c r="M632" s="20"/>
      <c r="N632" s="18" t="s">
        <v>1003</v>
      </c>
      <c r="O632" s="20"/>
      <c r="P632" s="18" t="s">
        <v>1708</v>
      </c>
      <c r="Q632" s="19">
        <v>37.0</v>
      </c>
      <c r="R632" s="5" t="s">
        <v>1709</v>
      </c>
      <c r="S632" s="18" t="s">
        <v>1710</v>
      </c>
      <c r="T632" s="5" t="s">
        <v>1711</v>
      </c>
    </row>
    <row r="633">
      <c r="D633" s="20"/>
      <c r="E633" s="19">
        <v>631.0</v>
      </c>
      <c r="F633" s="5" t="s">
        <v>190</v>
      </c>
      <c r="G633" s="18" t="s">
        <v>1725</v>
      </c>
      <c r="H633" s="21" t="s">
        <v>135</v>
      </c>
      <c r="I633" s="21" t="s">
        <v>142</v>
      </c>
      <c r="J633" s="21" t="s">
        <v>1726</v>
      </c>
      <c r="K633" s="18" t="s">
        <v>21</v>
      </c>
      <c r="L633" s="18" t="s">
        <v>1015</v>
      </c>
      <c r="M633" s="20"/>
      <c r="N633" s="18" t="s">
        <v>1003</v>
      </c>
      <c r="O633" s="20"/>
      <c r="P633" s="18" t="s">
        <v>1708</v>
      </c>
      <c r="Q633" s="19">
        <v>37.0</v>
      </c>
      <c r="R633" s="5" t="s">
        <v>1709</v>
      </c>
      <c r="S633" s="18" t="s">
        <v>1710</v>
      </c>
      <c r="T633" s="5" t="s">
        <v>1711</v>
      </c>
    </row>
    <row r="634">
      <c r="D634" s="20"/>
      <c r="E634" s="19">
        <v>632.0</v>
      </c>
      <c r="F634" s="5" t="s">
        <v>95</v>
      </c>
      <c r="G634" s="18" t="s">
        <v>409</v>
      </c>
      <c r="H634" s="21" t="s">
        <v>142</v>
      </c>
      <c r="I634" s="21" t="s">
        <v>136</v>
      </c>
      <c r="J634" s="21" t="s">
        <v>1612</v>
      </c>
      <c r="K634" s="18" t="s">
        <v>21</v>
      </c>
      <c r="L634" s="18" t="s">
        <v>1015</v>
      </c>
      <c r="M634" s="20"/>
      <c r="N634" s="18" t="s">
        <v>1003</v>
      </c>
      <c r="O634" s="20"/>
      <c r="P634" s="18" t="s">
        <v>1708</v>
      </c>
      <c r="Q634" s="19">
        <v>37.0</v>
      </c>
      <c r="R634" s="5" t="s">
        <v>1709</v>
      </c>
      <c r="S634" s="18" t="s">
        <v>1710</v>
      </c>
      <c r="T634" s="5" t="s">
        <v>1711</v>
      </c>
    </row>
    <row r="635">
      <c r="D635" s="18" t="s">
        <v>1727</v>
      </c>
      <c r="E635" s="19">
        <v>633.0</v>
      </c>
      <c r="F635" s="5" t="s">
        <v>17</v>
      </c>
      <c r="G635" s="20"/>
      <c r="H635" s="21" t="s">
        <v>1728</v>
      </c>
      <c r="I635" s="5" t="s">
        <v>19</v>
      </c>
      <c r="J635" s="18" t="s">
        <v>1528</v>
      </c>
      <c r="K635" s="18" t="s">
        <v>21</v>
      </c>
      <c r="L635" s="18" t="s">
        <v>1015</v>
      </c>
      <c r="M635" s="20"/>
      <c r="N635" s="18" t="s">
        <v>1003</v>
      </c>
      <c r="O635" s="20"/>
      <c r="P635" s="18" t="s">
        <v>1729</v>
      </c>
      <c r="Q635" s="19">
        <v>7.0</v>
      </c>
      <c r="R635" s="18" t="s">
        <v>1730</v>
      </c>
      <c r="S635" s="18" t="s">
        <v>1730</v>
      </c>
      <c r="T635" s="5" t="s">
        <v>1730</v>
      </c>
    </row>
    <row r="636">
      <c r="D636" s="20"/>
      <c r="E636" s="19">
        <v>634.0</v>
      </c>
      <c r="F636" s="5" t="s">
        <v>68</v>
      </c>
      <c r="G636" s="20"/>
      <c r="H636" s="21" t="s">
        <v>69</v>
      </c>
      <c r="I636" s="18" t="s">
        <v>70</v>
      </c>
      <c r="J636" s="18" t="s">
        <v>71</v>
      </c>
      <c r="K636" s="18" t="s">
        <v>1731</v>
      </c>
      <c r="L636" s="18" t="s">
        <v>1015</v>
      </c>
      <c r="M636" s="20"/>
      <c r="N636" s="18" t="s">
        <v>1003</v>
      </c>
      <c r="O636" s="20"/>
      <c r="P636" s="18" t="s">
        <v>1729</v>
      </c>
      <c r="Q636" s="19">
        <v>7.0</v>
      </c>
      <c r="R636" s="18" t="s">
        <v>1730</v>
      </c>
      <c r="S636" s="18" t="s">
        <v>1730</v>
      </c>
      <c r="T636" s="5" t="s">
        <v>1730</v>
      </c>
    </row>
    <row r="637">
      <c r="D637" s="20"/>
      <c r="E637" s="19">
        <v>635.0</v>
      </c>
      <c r="F637" s="5" t="s">
        <v>95</v>
      </c>
      <c r="G637" s="20"/>
      <c r="H637" s="21" t="s">
        <v>1590</v>
      </c>
      <c r="I637" s="18" t="s">
        <v>1591</v>
      </c>
      <c r="J637" s="18" t="s">
        <v>1732</v>
      </c>
      <c r="K637" s="18" t="s">
        <v>21</v>
      </c>
      <c r="L637" s="18" t="s">
        <v>1015</v>
      </c>
      <c r="M637" s="20"/>
      <c r="N637" s="18" t="s">
        <v>1003</v>
      </c>
      <c r="O637" s="20"/>
      <c r="P637" s="18" t="s">
        <v>1729</v>
      </c>
      <c r="Q637" s="19">
        <v>10.0</v>
      </c>
      <c r="R637" s="18" t="s">
        <v>1730</v>
      </c>
      <c r="S637" s="18" t="s">
        <v>1730</v>
      </c>
      <c r="T637" s="5" t="s">
        <v>1730</v>
      </c>
    </row>
    <row r="638">
      <c r="D638" s="20"/>
      <c r="E638" s="19">
        <v>636.0</v>
      </c>
      <c r="F638" s="5" t="s">
        <v>95</v>
      </c>
      <c r="G638" s="20"/>
      <c r="H638" s="21" t="s">
        <v>1473</v>
      </c>
      <c r="I638" s="18" t="s">
        <v>1270</v>
      </c>
      <c r="J638" s="18" t="s">
        <v>1315</v>
      </c>
      <c r="K638" s="18" t="s">
        <v>21</v>
      </c>
      <c r="L638" s="18" t="s">
        <v>1015</v>
      </c>
      <c r="M638" s="20"/>
      <c r="N638" s="18" t="s">
        <v>1003</v>
      </c>
      <c r="O638" s="20"/>
      <c r="P638" s="18" t="s">
        <v>1729</v>
      </c>
      <c r="Q638" s="19">
        <v>11.0</v>
      </c>
      <c r="R638" s="18" t="s">
        <v>1730</v>
      </c>
      <c r="S638" s="18" t="s">
        <v>1730</v>
      </c>
      <c r="T638" s="5" t="s">
        <v>1730</v>
      </c>
    </row>
    <row r="639">
      <c r="D639" s="20"/>
      <c r="E639" s="19">
        <v>637.0</v>
      </c>
      <c r="F639" s="5" t="s">
        <v>95</v>
      </c>
      <c r="G639" s="20"/>
      <c r="H639" s="21" t="s">
        <v>1590</v>
      </c>
      <c r="I639" s="18" t="s">
        <v>1591</v>
      </c>
      <c r="J639" s="18" t="s">
        <v>1733</v>
      </c>
      <c r="K639" s="18" t="s">
        <v>21</v>
      </c>
      <c r="L639" s="18" t="s">
        <v>1015</v>
      </c>
      <c r="M639" s="20"/>
      <c r="N639" s="18" t="s">
        <v>1003</v>
      </c>
      <c r="O639" s="20"/>
      <c r="P639" s="18" t="s">
        <v>1729</v>
      </c>
      <c r="Q639" s="19">
        <v>12.0</v>
      </c>
      <c r="R639" s="18" t="s">
        <v>1730</v>
      </c>
      <c r="S639" s="18" t="s">
        <v>1730</v>
      </c>
      <c r="T639" s="5" t="s">
        <v>1730</v>
      </c>
    </row>
    <row r="640">
      <c r="D640" s="20"/>
      <c r="E640" s="19">
        <v>638.0</v>
      </c>
      <c r="F640" s="5" t="s">
        <v>190</v>
      </c>
      <c r="G640" s="20"/>
      <c r="H640" s="21" t="s">
        <v>1586</v>
      </c>
      <c r="I640" s="18" t="s">
        <v>1587</v>
      </c>
      <c r="J640" s="18" t="s">
        <v>1734</v>
      </c>
      <c r="K640" s="18" t="s">
        <v>1735</v>
      </c>
      <c r="L640" s="18" t="s">
        <v>1015</v>
      </c>
      <c r="M640" s="20"/>
      <c r="N640" s="18" t="s">
        <v>1003</v>
      </c>
      <c r="O640" s="20"/>
      <c r="P640" s="18" t="s">
        <v>1729</v>
      </c>
      <c r="Q640" s="19">
        <v>12.0</v>
      </c>
      <c r="R640" s="18" t="s">
        <v>1730</v>
      </c>
      <c r="S640" s="18" t="s">
        <v>1730</v>
      </c>
      <c r="T640" s="5" t="s">
        <v>1730</v>
      </c>
    </row>
    <row r="641">
      <c r="D641" s="20"/>
      <c r="E641" s="19">
        <v>639.0</v>
      </c>
      <c r="F641" s="5" t="s">
        <v>95</v>
      </c>
      <c r="G641" s="18" t="s">
        <v>362</v>
      </c>
      <c r="H641" s="21" t="s">
        <v>751</v>
      </c>
      <c r="I641" s="18" t="s">
        <v>752</v>
      </c>
      <c r="J641" s="18" t="s">
        <v>71</v>
      </c>
      <c r="K641" s="18" t="s">
        <v>21</v>
      </c>
      <c r="L641" s="18" t="s">
        <v>1015</v>
      </c>
      <c r="M641" s="20"/>
      <c r="N641" s="18" t="s">
        <v>1003</v>
      </c>
      <c r="O641" s="20"/>
      <c r="P641" s="18" t="s">
        <v>1729</v>
      </c>
      <c r="Q641" s="19">
        <v>15.0</v>
      </c>
      <c r="R641" s="18" t="s">
        <v>1730</v>
      </c>
      <c r="S641" s="18" t="s">
        <v>1730</v>
      </c>
      <c r="T641" s="5" t="s">
        <v>1730</v>
      </c>
    </row>
    <row r="642">
      <c r="D642" s="20"/>
      <c r="E642" s="19">
        <v>640.0</v>
      </c>
      <c r="F642" s="5" t="s">
        <v>95</v>
      </c>
      <c r="G642" s="18" t="s">
        <v>409</v>
      </c>
      <c r="H642" s="21" t="s">
        <v>1062</v>
      </c>
      <c r="I642" s="18" t="s">
        <v>947</v>
      </c>
      <c r="J642" s="18" t="s">
        <v>71</v>
      </c>
      <c r="K642" s="18" t="s">
        <v>21</v>
      </c>
      <c r="L642" s="18" t="s">
        <v>1015</v>
      </c>
      <c r="M642" s="20"/>
      <c r="N642" s="18" t="s">
        <v>1003</v>
      </c>
      <c r="O642" s="20"/>
      <c r="P642" s="18" t="s">
        <v>1729</v>
      </c>
      <c r="Q642" s="19">
        <v>15.0</v>
      </c>
      <c r="R642" s="18" t="s">
        <v>1730</v>
      </c>
      <c r="S642" s="18" t="s">
        <v>1730</v>
      </c>
      <c r="T642" s="5" t="s">
        <v>1730</v>
      </c>
    </row>
    <row r="643">
      <c r="C643" s="18" t="s">
        <v>1736</v>
      </c>
      <c r="E643" s="19">
        <v>641.0</v>
      </c>
      <c r="F643" s="5" t="s">
        <v>95</v>
      </c>
      <c r="G643" s="20"/>
      <c r="H643" s="18" t="s">
        <v>1236</v>
      </c>
      <c r="I643" s="18" t="s">
        <v>1237</v>
      </c>
      <c r="J643" s="18" t="s">
        <v>1737</v>
      </c>
      <c r="K643" s="18" t="s">
        <v>21</v>
      </c>
      <c r="L643" s="18" t="s">
        <v>1015</v>
      </c>
      <c r="M643" s="20"/>
      <c r="N643" s="18" t="s">
        <v>1003</v>
      </c>
      <c r="O643" s="20"/>
      <c r="P643" s="18" t="s">
        <v>1738</v>
      </c>
      <c r="Q643" s="19">
        <v>12.0</v>
      </c>
      <c r="R643" s="18" t="s">
        <v>1739</v>
      </c>
      <c r="S643" s="18" t="s">
        <v>1739</v>
      </c>
      <c r="T643" s="5" t="s">
        <v>1739</v>
      </c>
    </row>
    <row r="644">
      <c r="E644" s="5">
        <v>642.0</v>
      </c>
      <c r="F644" s="5" t="s">
        <v>95</v>
      </c>
      <c r="H644" s="18" t="s">
        <v>1236</v>
      </c>
      <c r="I644" s="18" t="s">
        <v>1237</v>
      </c>
      <c r="J644" s="18" t="s">
        <v>1740</v>
      </c>
      <c r="K644" s="5" t="s">
        <v>21</v>
      </c>
      <c r="L644" s="5" t="s">
        <v>1015</v>
      </c>
      <c r="N644" s="5" t="s">
        <v>1003</v>
      </c>
      <c r="P644" s="18" t="s">
        <v>1738</v>
      </c>
      <c r="Q644" s="6">
        <v>12.0</v>
      </c>
      <c r="R644" s="18" t="s">
        <v>1739</v>
      </c>
      <c r="S644" s="18" t="s">
        <v>1739</v>
      </c>
      <c r="T644" s="5" t="s">
        <v>1739</v>
      </c>
    </row>
    <row r="645">
      <c r="E645" s="5">
        <v>643.0</v>
      </c>
      <c r="F645" s="5" t="s">
        <v>95</v>
      </c>
      <c r="H645" s="5" t="s">
        <v>39</v>
      </c>
      <c r="I645" s="5" t="s">
        <v>1741</v>
      </c>
      <c r="J645" s="18" t="s">
        <v>1742</v>
      </c>
      <c r="K645" s="5" t="s">
        <v>21</v>
      </c>
      <c r="L645" s="5" t="s">
        <v>1015</v>
      </c>
      <c r="N645" s="5" t="s">
        <v>1003</v>
      </c>
      <c r="P645" s="18" t="s">
        <v>1738</v>
      </c>
      <c r="Q645" s="6">
        <v>14.0</v>
      </c>
      <c r="R645" s="18" t="s">
        <v>1739</v>
      </c>
      <c r="S645" s="18" t="s">
        <v>1739</v>
      </c>
      <c r="T645" s="5" t="s">
        <v>1739</v>
      </c>
    </row>
    <row r="646">
      <c r="E646" s="5">
        <v>644.0</v>
      </c>
      <c r="F646" s="5" t="s">
        <v>95</v>
      </c>
      <c r="H646" s="5" t="s">
        <v>39</v>
      </c>
      <c r="I646" s="5" t="s">
        <v>1741</v>
      </c>
      <c r="J646" s="18" t="s">
        <v>1743</v>
      </c>
      <c r="K646" s="5" t="s">
        <v>21</v>
      </c>
      <c r="L646" s="5" t="s">
        <v>1015</v>
      </c>
      <c r="N646" s="5" t="s">
        <v>1003</v>
      </c>
      <c r="P646" s="18" t="s">
        <v>1738</v>
      </c>
      <c r="Q646" s="6">
        <v>14.0</v>
      </c>
      <c r="R646" s="18" t="s">
        <v>1739</v>
      </c>
      <c r="S646" s="18" t="s">
        <v>1739</v>
      </c>
      <c r="T646" s="5" t="s">
        <v>1739</v>
      </c>
    </row>
    <row r="647">
      <c r="E647" s="5">
        <v>645.0</v>
      </c>
      <c r="F647" s="5" t="s">
        <v>17</v>
      </c>
      <c r="H647" s="5" t="s">
        <v>1744</v>
      </c>
      <c r="I647" s="5" t="s">
        <v>19</v>
      </c>
      <c r="J647" s="18" t="s">
        <v>71</v>
      </c>
      <c r="K647" s="5" t="s">
        <v>21</v>
      </c>
      <c r="L647" s="5" t="s">
        <v>1015</v>
      </c>
      <c r="N647" s="5" t="s">
        <v>1003</v>
      </c>
      <c r="O647" s="5" t="s">
        <v>1745</v>
      </c>
      <c r="P647" s="18" t="s">
        <v>1738</v>
      </c>
      <c r="Q647" s="6">
        <v>14.0</v>
      </c>
      <c r="R647" s="18" t="s">
        <v>1739</v>
      </c>
      <c r="S647" s="18" t="s">
        <v>1739</v>
      </c>
      <c r="T647" s="5" t="s">
        <v>1739</v>
      </c>
    </row>
    <row r="648">
      <c r="E648" s="5">
        <v>646.0</v>
      </c>
      <c r="F648" s="5" t="s">
        <v>95</v>
      </c>
      <c r="H648" s="5" t="s">
        <v>1746</v>
      </c>
      <c r="I648" s="5" t="s">
        <v>1747</v>
      </c>
      <c r="J648" s="18" t="s">
        <v>1748</v>
      </c>
      <c r="K648" s="5" t="s">
        <v>21</v>
      </c>
      <c r="L648" s="5" t="s">
        <v>1015</v>
      </c>
      <c r="N648" s="5" t="s">
        <v>1003</v>
      </c>
      <c r="P648" s="18" t="s">
        <v>1738</v>
      </c>
      <c r="Q648" s="6">
        <v>26.0</v>
      </c>
      <c r="R648" s="18" t="s">
        <v>1739</v>
      </c>
      <c r="S648" s="18" t="s">
        <v>1739</v>
      </c>
      <c r="T648" s="5" t="s">
        <v>1739</v>
      </c>
    </row>
    <row r="649">
      <c r="E649" s="5">
        <v>647.0</v>
      </c>
      <c r="F649" s="5" t="s">
        <v>95</v>
      </c>
      <c r="H649" s="5" t="s">
        <v>161</v>
      </c>
      <c r="I649" s="5" t="s">
        <v>1749</v>
      </c>
      <c r="J649" s="18" t="s">
        <v>1748</v>
      </c>
      <c r="K649" s="5" t="s">
        <v>21</v>
      </c>
      <c r="L649" s="5" t="s">
        <v>1015</v>
      </c>
      <c r="N649" s="5" t="s">
        <v>1003</v>
      </c>
      <c r="P649" s="18" t="s">
        <v>1738</v>
      </c>
      <c r="Q649" s="6">
        <v>26.0</v>
      </c>
      <c r="R649" s="18" t="s">
        <v>1739</v>
      </c>
      <c r="S649" s="18" t="s">
        <v>1739</v>
      </c>
      <c r="T649" s="5" t="s">
        <v>1739</v>
      </c>
    </row>
    <row r="650">
      <c r="E650" s="5">
        <v>648.0</v>
      </c>
      <c r="F650" s="5" t="s">
        <v>229</v>
      </c>
      <c r="H650" s="5" t="s">
        <v>1750</v>
      </c>
      <c r="I650" s="5" t="s">
        <v>997</v>
      </c>
      <c r="J650" s="18" t="s">
        <v>81</v>
      </c>
      <c r="K650" s="5" t="s">
        <v>21</v>
      </c>
      <c r="L650" s="5" t="s">
        <v>1015</v>
      </c>
      <c r="N650" s="5" t="s">
        <v>1003</v>
      </c>
      <c r="P650" s="18" t="s">
        <v>1738</v>
      </c>
      <c r="Q650" s="6">
        <v>27.0</v>
      </c>
      <c r="R650" s="18" t="s">
        <v>1739</v>
      </c>
      <c r="S650" s="18" t="s">
        <v>1739</v>
      </c>
      <c r="T650" s="5" t="s">
        <v>1739</v>
      </c>
    </row>
    <row r="651">
      <c r="E651" s="5">
        <v>649.0</v>
      </c>
      <c r="F651" s="5" t="s">
        <v>229</v>
      </c>
      <c r="H651" s="5" t="s">
        <v>1750</v>
      </c>
      <c r="I651" s="5" t="s">
        <v>997</v>
      </c>
      <c r="J651" s="18" t="s">
        <v>1492</v>
      </c>
      <c r="K651" s="5" t="s">
        <v>21</v>
      </c>
      <c r="L651" s="5" t="s">
        <v>1015</v>
      </c>
      <c r="N651" s="5" t="s">
        <v>1003</v>
      </c>
      <c r="P651" s="18" t="s">
        <v>1738</v>
      </c>
      <c r="Q651" s="6">
        <v>27.0</v>
      </c>
      <c r="R651" s="18" t="s">
        <v>1739</v>
      </c>
      <c r="S651" s="18" t="s">
        <v>1739</v>
      </c>
      <c r="T651" s="5" t="s">
        <v>1739</v>
      </c>
    </row>
    <row r="652">
      <c r="E652" s="5">
        <v>650.0</v>
      </c>
      <c r="F652" s="5" t="s">
        <v>95</v>
      </c>
      <c r="H652" s="5" t="s">
        <v>136</v>
      </c>
      <c r="I652" s="5" t="s">
        <v>1751</v>
      </c>
      <c r="J652" s="18" t="s">
        <v>1752</v>
      </c>
      <c r="K652" s="5" t="s">
        <v>21</v>
      </c>
      <c r="L652" s="5" t="s">
        <v>1015</v>
      </c>
      <c r="N652" s="5" t="s">
        <v>1003</v>
      </c>
      <c r="P652" s="18" t="s">
        <v>1738</v>
      </c>
      <c r="Q652" s="6">
        <v>27.0</v>
      </c>
      <c r="R652" s="18" t="s">
        <v>1739</v>
      </c>
      <c r="S652" s="18" t="s">
        <v>1739</v>
      </c>
      <c r="T652" s="5" t="s">
        <v>1739</v>
      </c>
    </row>
    <row r="653">
      <c r="E653" s="5">
        <v>651.0</v>
      </c>
      <c r="F653" s="5" t="s">
        <v>95</v>
      </c>
      <c r="H653" s="5" t="s">
        <v>136</v>
      </c>
      <c r="I653" s="5" t="s">
        <v>1751</v>
      </c>
      <c r="J653" s="18" t="s">
        <v>1753</v>
      </c>
      <c r="K653" s="5" t="s">
        <v>21</v>
      </c>
      <c r="L653" s="5" t="s">
        <v>1015</v>
      </c>
      <c r="N653" s="5" t="s">
        <v>1003</v>
      </c>
      <c r="P653" s="18" t="s">
        <v>1738</v>
      </c>
      <c r="Q653" s="6">
        <v>27.0</v>
      </c>
      <c r="R653" s="18" t="s">
        <v>1739</v>
      </c>
      <c r="S653" s="18" t="s">
        <v>1739</v>
      </c>
      <c r="T653" s="5" t="s">
        <v>1739</v>
      </c>
    </row>
    <row r="654">
      <c r="E654" s="5">
        <v>652.0</v>
      </c>
      <c r="F654" s="5" t="s">
        <v>95</v>
      </c>
      <c r="H654" s="5" t="s">
        <v>1681</v>
      </c>
      <c r="I654" s="5" t="s">
        <v>1424</v>
      </c>
      <c r="J654" s="18" t="s">
        <v>457</v>
      </c>
      <c r="K654" s="5" t="s">
        <v>21</v>
      </c>
      <c r="L654" s="5" t="s">
        <v>1015</v>
      </c>
      <c r="N654" s="5" t="s">
        <v>1003</v>
      </c>
      <c r="P654" s="18" t="s">
        <v>1738</v>
      </c>
      <c r="Q654" s="6">
        <v>27.0</v>
      </c>
      <c r="R654" s="18" t="s">
        <v>1739</v>
      </c>
      <c r="S654" s="18" t="s">
        <v>1739</v>
      </c>
      <c r="T654" s="5" t="s">
        <v>1739</v>
      </c>
    </row>
    <row r="655">
      <c r="E655" s="5">
        <v>653.0</v>
      </c>
      <c r="F655" s="5" t="s">
        <v>95</v>
      </c>
      <c r="H655" s="5" t="s">
        <v>135</v>
      </c>
      <c r="I655" s="5" t="s">
        <v>531</v>
      </c>
      <c r="J655" s="18" t="s">
        <v>457</v>
      </c>
      <c r="K655" s="5" t="s">
        <v>21</v>
      </c>
      <c r="L655" s="5" t="s">
        <v>1015</v>
      </c>
      <c r="N655" s="5" t="s">
        <v>1003</v>
      </c>
      <c r="P655" s="18" t="s">
        <v>1738</v>
      </c>
      <c r="Q655" s="6">
        <v>27.0</v>
      </c>
      <c r="R655" s="18" t="s">
        <v>1739</v>
      </c>
      <c r="S655" s="18" t="s">
        <v>1739</v>
      </c>
      <c r="T655" s="5" t="s">
        <v>1739</v>
      </c>
    </row>
    <row r="656">
      <c r="E656" s="5">
        <v>654.0</v>
      </c>
      <c r="F656" s="5" t="s">
        <v>68</v>
      </c>
      <c r="H656" s="5" t="s">
        <v>1634</v>
      </c>
      <c r="I656" s="5" t="s">
        <v>282</v>
      </c>
      <c r="J656" s="18" t="s">
        <v>71</v>
      </c>
      <c r="K656" s="5" t="s">
        <v>21</v>
      </c>
      <c r="L656" s="5" t="s">
        <v>1015</v>
      </c>
      <c r="N656" s="5" t="s">
        <v>1003</v>
      </c>
      <c r="P656" s="18" t="s">
        <v>1738</v>
      </c>
      <c r="Q656" s="6">
        <v>33.0</v>
      </c>
      <c r="R656" s="18" t="s">
        <v>1739</v>
      </c>
      <c r="S656" s="18" t="s">
        <v>1739</v>
      </c>
      <c r="T656" s="5" t="s">
        <v>1739</v>
      </c>
    </row>
    <row r="657">
      <c r="E657" s="5">
        <v>655.0</v>
      </c>
      <c r="F657" s="5" t="s">
        <v>68</v>
      </c>
      <c r="H657" s="5" t="s">
        <v>1634</v>
      </c>
      <c r="I657" s="5" t="s">
        <v>1754</v>
      </c>
      <c r="J657" s="18" t="s">
        <v>71</v>
      </c>
      <c r="K657" s="5" t="s">
        <v>21</v>
      </c>
      <c r="L657" s="5" t="s">
        <v>1015</v>
      </c>
      <c r="N657" s="5" t="s">
        <v>1003</v>
      </c>
      <c r="P657" s="18" t="s">
        <v>1738</v>
      </c>
      <c r="Q657" s="6">
        <v>33.0</v>
      </c>
      <c r="R657" s="18" t="s">
        <v>1739</v>
      </c>
      <c r="S657" s="18" t="s">
        <v>1739</v>
      </c>
      <c r="T657" s="5" t="s">
        <v>1739</v>
      </c>
    </row>
    <row r="658">
      <c r="E658" s="5">
        <v>656.0</v>
      </c>
      <c r="F658" s="5" t="s">
        <v>52</v>
      </c>
      <c r="G658" s="5" t="s">
        <v>53</v>
      </c>
      <c r="H658" s="5" t="s">
        <v>19</v>
      </c>
      <c r="I658" s="5" t="s">
        <v>54</v>
      </c>
      <c r="J658" s="18" t="s">
        <v>81</v>
      </c>
      <c r="K658" s="5" t="s">
        <v>21</v>
      </c>
      <c r="L658" s="5" t="s">
        <v>1015</v>
      </c>
      <c r="N658" s="5" t="s">
        <v>1003</v>
      </c>
      <c r="P658" s="18" t="s">
        <v>1738</v>
      </c>
      <c r="Q658" s="6">
        <v>33.0</v>
      </c>
      <c r="R658" s="18" t="s">
        <v>1739</v>
      </c>
      <c r="S658" s="18" t="s">
        <v>1739</v>
      </c>
      <c r="T658" s="5" t="s">
        <v>1739</v>
      </c>
    </row>
    <row r="659">
      <c r="E659" s="5">
        <v>657.0</v>
      </c>
      <c r="F659" s="5" t="s">
        <v>52</v>
      </c>
      <c r="H659" s="5" t="s">
        <v>19</v>
      </c>
      <c r="I659" s="5" t="s">
        <v>1755</v>
      </c>
      <c r="J659" s="18" t="s">
        <v>81</v>
      </c>
      <c r="K659" s="5" t="s">
        <v>21</v>
      </c>
      <c r="L659" s="5" t="s">
        <v>1015</v>
      </c>
      <c r="N659" s="5" t="s">
        <v>1003</v>
      </c>
      <c r="P659" s="18" t="s">
        <v>1738</v>
      </c>
      <c r="Q659" s="6">
        <v>33.0</v>
      </c>
      <c r="R659" s="18" t="s">
        <v>1739</v>
      </c>
      <c r="S659" s="18" t="s">
        <v>1739</v>
      </c>
      <c r="T659" s="5" t="s">
        <v>1739</v>
      </c>
    </row>
    <row r="660">
      <c r="E660" s="5">
        <v>658.0</v>
      </c>
      <c r="F660" s="5" t="s">
        <v>17</v>
      </c>
      <c r="H660" s="5" t="s">
        <v>46</v>
      </c>
      <c r="I660" s="5" t="s">
        <v>19</v>
      </c>
      <c r="J660" s="18" t="s">
        <v>705</v>
      </c>
      <c r="K660" s="5" t="s">
        <v>21</v>
      </c>
      <c r="L660" s="5" t="s">
        <v>1015</v>
      </c>
      <c r="N660" s="5" t="s">
        <v>1003</v>
      </c>
      <c r="P660" s="18" t="s">
        <v>1738</v>
      </c>
      <c r="Q660" s="6">
        <v>35.0</v>
      </c>
      <c r="R660" s="18" t="s">
        <v>1739</v>
      </c>
      <c r="S660" s="18" t="s">
        <v>1739</v>
      </c>
      <c r="T660" s="5" t="s">
        <v>1739</v>
      </c>
    </row>
    <row r="661">
      <c r="E661" s="5">
        <v>659.0</v>
      </c>
      <c r="F661" s="5" t="s">
        <v>1756</v>
      </c>
      <c r="H661" s="5" t="s">
        <v>19</v>
      </c>
      <c r="I661" s="5" t="s">
        <v>1757</v>
      </c>
      <c r="J661" s="18" t="s">
        <v>1758</v>
      </c>
      <c r="K661" s="5" t="s">
        <v>21</v>
      </c>
      <c r="L661" s="5" t="s">
        <v>1015</v>
      </c>
      <c r="N661" s="5" t="s">
        <v>1003</v>
      </c>
      <c r="O661" s="5" t="s">
        <v>1759</v>
      </c>
      <c r="P661" s="18" t="s">
        <v>1738</v>
      </c>
      <c r="Q661" s="6">
        <v>37.0</v>
      </c>
      <c r="R661" s="18" t="s">
        <v>1739</v>
      </c>
      <c r="S661" s="18" t="s">
        <v>1739</v>
      </c>
      <c r="T661" s="5" t="s">
        <v>1739</v>
      </c>
    </row>
    <row r="662">
      <c r="E662" s="5">
        <v>660.0</v>
      </c>
      <c r="F662" s="5" t="s">
        <v>17</v>
      </c>
      <c r="H662" s="5" t="s">
        <v>1760</v>
      </c>
      <c r="I662" s="5" t="s">
        <v>19</v>
      </c>
      <c r="J662" s="18" t="s">
        <v>958</v>
      </c>
      <c r="K662" s="5" t="s">
        <v>21</v>
      </c>
      <c r="L662" s="5" t="s">
        <v>1015</v>
      </c>
      <c r="N662" s="5" t="s">
        <v>1003</v>
      </c>
      <c r="O662" s="5" t="s">
        <v>1761</v>
      </c>
      <c r="P662" s="18" t="s">
        <v>1738</v>
      </c>
      <c r="Q662" s="6">
        <v>37.0</v>
      </c>
      <c r="R662" s="18" t="s">
        <v>1739</v>
      </c>
      <c r="S662" s="18" t="s">
        <v>1739</v>
      </c>
      <c r="T662" s="5" t="s">
        <v>1739</v>
      </c>
    </row>
    <row r="663">
      <c r="E663" s="5">
        <v>661.0</v>
      </c>
      <c r="F663" s="5" t="s">
        <v>95</v>
      </c>
      <c r="H663" s="5" t="s">
        <v>1762</v>
      </c>
      <c r="I663" s="5" t="s">
        <v>1591</v>
      </c>
      <c r="J663" s="18" t="s">
        <v>1763</v>
      </c>
      <c r="K663" s="5" t="s">
        <v>21</v>
      </c>
      <c r="L663" s="5" t="s">
        <v>1015</v>
      </c>
      <c r="N663" s="5" t="s">
        <v>1003</v>
      </c>
      <c r="P663" s="18" t="s">
        <v>1738</v>
      </c>
      <c r="Q663" s="6">
        <v>39.0</v>
      </c>
      <c r="R663" s="18" t="s">
        <v>1739</v>
      </c>
      <c r="S663" s="18" t="s">
        <v>1739</v>
      </c>
      <c r="T663" s="5" t="s">
        <v>1739</v>
      </c>
    </row>
    <row r="664">
      <c r="E664" s="5">
        <v>662.0</v>
      </c>
      <c r="F664" s="5" t="s">
        <v>95</v>
      </c>
      <c r="H664" s="5" t="s">
        <v>39</v>
      </c>
      <c r="I664" s="5" t="s">
        <v>29</v>
      </c>
      <c r="J664" s="18" t="s">
        <v>1764</v>
      </c>
      <c r="K664" s="5" t="s">
        <v>21</v>
      </c>
      <c r="L664" s="5" t="s">
        <v>1015</v>
      </c>
      <c r="N664" s="5" t="s">
        <v>1003</v>
      </c>
      <c r="P664" s="18" t="s">
        <v>1738</v>
      </c>
      <c r="Q664" s="6">
        <v>39.0</v>
      </c>
      <c r="R664" s="18" t="s">
        <v>1739</v>
      </c>
      <c r="S664" s="18" t="s">
        <v>1739</v>
      </c>
      <c r="T664" s="5" t="s">
        <v>1739</v>
      </c>
    </row>
    <row r="665">
      <c r="E665" s="5">
        <v>663.0</v>
      </c>
      <c r="F665" s="5" t="s">
        <v>95</v>
      </c>
      <c r="H665" s="5" t="s">
        <v>39</v>
      </c>
      <c r="I665" s="5" t="s">
        <v>648</v>
      </c>
      <c r="J665" s="18" t="s">
        <v>1425</v>
      </c>
      <c r="K665" s="5" t="s">
        <v>21</v>
      </c>
      <c r="L665" s="5" t="s">
        <v>1015</v>
      </c>
      <c r="N665" s="5" t="s">
        <v>1003</v>
      </c>
      <c r="P665" s="18" t="s">
        <v>1738</v>
      </c>
      <c r="Q665" s="6">
        <v>39.0</v>
      </c>
      <c r="R665" s="18" t="s">
        <v>1739</v>
      </c>
      <c r="S665" s="18" t="s">
        <v>1739</v>
      </c>
      <c r="T665" s="5" t="s">
        <v>1739</v>
      </c>
    </row>
    <row r="666">
      <c r="E666" s="5">
        <v>664.0</v>
      </c>
      <c r="F666" s="5" t="s">
        <v>209</v>
      </c>
      <c r="H666" s="5" t="s">
        <v>1765</v>
      </c>
      <c r="I666" s="5" t="s">
        <v>1766</v>
      </c>
      <c r="J666" s="18" t="s">
        <v>237</v>
      </c>
      <c r="K666" s="5" t="s">
        <v>21</v>
      </c>
      <c r="L666" s="5" t="s">
        <v>1015</v>
      </c>
      <c r="N666" s="5" t="s">
        <v>1003</v>
      </c>
      <c r="P666" s="18" t="s">
        <v>1738</v>
      </c>
      <c r="Q666" s="6">
        <v>42.0</v>
      </c>
      <c r="R666" s="18" t="s">
        <v>1739</v>
      </c>
      <c r="S666" s="18" t="s">
        <v>1739</v>
      </c>
      <c r="T666" s="5" t="s">
        <v>1739</v>
      </c>
    </row>
    <row r="667">
      <c r="E667" s="5">
        <v>665.0</v>
      </c>
      <c r="F667" s="5" t="s">
        <v>95</v>
      </c>
      <c r="H667" s="5" t="s">
        <v>1765</v>
      </c>
      <c r="I667" s="5" t="s">
        <v>1766</v>
      </c>
      <c r="J667" s="18" t="s">
        <v>1767</v>
      </c>
      <c r="K667" s="5" t="s">
        <v>21</v>
      </c>
      <c r="L667" s="5" t="s">
        <v>1015</v>
      </c>
      <c r="N667" s="5" t="s">
        <v>1003</v>
      </c>
      <c r="P667" s="18" t="s">
        <v>1738</v>
      </c>
      <c r="Q667" s="6">
        <v>42.0</v>
      </c>
      <c r="R667" s="18" t="s">
        <v>1739</v>
      </c>
      <c r="S667" s="18" t="s">
        <v>1739</v>
      </c>
      <c r="T667" s="5" t="s">
        <v>1739</v>
      </c>
    </row>
    <row r="668">
      <c r="E668" s="5">
        <v>666.0</v>
      </c>
      <c r="F668" s="5" t="s">
        <v>95</v>
      </c>
      <c r="H668" s="5" t="s">
        <v>1768</v>
      </c>
      <c r="I668" s="5" t="s">
        <v>1769</v>
      </c>
      <c r="J668" s="18" t="s">
        <v>1770</v>
      </c>
      <c r="K668" s="5" t="s">
        <v>21</v>
      </c>
      <c r="L668" s="5" t="s">
        <v>1015</v>
      </c>
      <c r="N668" s="5" t="s">
        <v>1003</v>
      </c>
      <c r="P668" s="18" t="s">
        <v>1738</v>
      </c>
      <c r="Q668" s="6">
        <v>43.0</v>
      </c>
      <c r="R668" s="18" t="s">
        <v>1739</v>
      </c>
      <c r="S668" s="18" t="s">
        <v>1739</v>
      </c>
      <c r="T668" s="5" t="s">
        <v>1739</v>
      </c>
    </row>
    <row r="669">
      <c r="E669" s="5">
        <v>667.0</v>
      </c>
      <c r="F669" s="5" t="s">
        <v>190</v>
      </c>
      <c r="H669" s="5" t="s">
        <v>1771</v>
      </c>
      <c r="I669" s="5" t="s">
        <v>1772</v>
      </c>
      <c r="J669" s="18" t="s">
        <v>1773</v>
      </c>
      <c r="K669" s="5" t="s">
        <v>21</v>
      </c>
      <c r="L669" s="5" t="s">
        <v>1015</v>
      </c>
      <c r="N669" s="5" t="s">
        <v>1003</v>
      </c>
      <c r="P669" s="18" t="s">
        <v>1738</v>
      </c>
      <c r="Q669" s="6" t="s">
        <v>1449</v>
      </c>
      <c r="R669" s="18" t="s">
        <v>1739</v>
      </c>
      <c r="S669" s="18" t="s">
        <v>1739</v>
      </c>
      <c r="T669" s="5" t="s">
        <v>1739</v>
      </c>
    </row>
    <row r="670">
      <c r="E670" s="5">
        <v>668.0</v>
      </c>
      <c r="F670" s="5" t="s">
        <v>281</v>
      </c>
      <c r="H670" s="5" t="s">
        <v>1774</v>
      </c>
      <c r="I670" s="5" t="s">
        <v>54</v>
      </c>
      <c r="J670" s="18" t="s">
        <v>20</v>
      </c>
      <c r="K670" s="5" t="s">
        <v>21</v>
      </c>
      <c r="L670" s="5" t="s">
        <v>1015</v>
      </c>
      <c r="N670" s="5" t="s">
        <v>1003</v>
      </c>
      <c r="P670" s="18" t="s">
        <v>1738</v>
      </c>
      <c r="Q670" s="6">
        <v>44.0</v>
      </c>
      <c r="R670" s="18" t="s">
        <v>1739</v>
      </c>
      <c r="S670" s="18" t="s">
        <v>1739</v>
      </c>
      <c r="T670" s="5" t="s">
        <v>1739</v>
      </c>
    </row>
    <row r="671">
      <c r="E671" s="5">
        <v>669.0</v>
      </c>
      <c r="F671" s="5" t="s">
        <v>95</v>
      </c>
      <c r="H671" s="5" t="s">
        <v>1521</v>
      </c>
      <c r="I671" s="5" t="s">
        <v>1775</v>
      </c>
      <c r="J671" s="5" t="s">
        <v>1776</v>
      </c>
      <c r="K671" s="5" t="s">
        <v>21</v>
      </c>
      <c r="L671" s="5" t="s">
        <v>1015</v>
      </c>
      <c r="N671" s="5" t="s">
        <v>1003</v>
      </c>
      <c r="P671" s="18" t="s">
        <v>1738</v>
      </c>
      <c r="Q671" s="6">
        <v>44.0</v>
      </c>
      <c r="R671" s="18" t="s">
        <v>1739</v>
      </c>
      <c r="S671" s="18" t="s">
        <v>1739</v>
      </c>
      <c r="T671" s="5" t="s">
        <v>1739</v>
      </c>
    </row>
    <row r="672">
      <c r="E672" s="5">
        <v>670.0</v>
      </c>
      <c r="F672" s="5" t="s">
        <v>17</v>
      </c>
      <c r="H672" s="5" t="s">
        <v>54</v>
      </c>
      <c r="I672" s="5" t="s">
        <v>19</v>
      </c>
      <c r="J672" s="5" t="s">
        <v>1777</v>
      </c>
      <c r="K672" s="5" t="s">
        <v>21</v>
      </c>
      <c r="L672" s="5" t="s">
        <v>1015</v>
      </c>
      <c r="N672" s="5" t="s">
        <v>1003</v>
      </c>
      <c r="P672" s="18" t="s">
        <v>1738</v>
      </c>
      <c r="Q672" s="6">
        <v>44.0</v>
      </c>
      <c r="R672" s="18" t="s">
        <v>1739</v>
      </c>
      <c r="S672" s="18" t="s">
        <v>1739</v>
      </c>
      <c r="T672" s="5" t="s">
        <v>1739</v>
      </c>
    </row>
    <row r="673">
      <c r="C673" s="14" t="s">
        <v>1376</v>
      </c>
      <c r="E673" s="5">
        <v>671.0</v>
      </c>
      <c r="F673" s="5" t="s">
        <v>281</v>
      </c>
      <c r="H673" s="5" t="s">
        <v>1778</v>
      </c>
      <c r="I673" s="5" t="s">
        <v>18</v>
      </c>
      <c r="J673" s="5" t="s">
        <v>71</v>
      </c>
      <c r="K673" s="5" t="s">
        <v>21</v>
      </c>
      <c r="L673" s="5" t="s">
        <v>1015</v>
      </c>
      <c r="N673" s="5" t="s">
        <v>1003</v>
      </c>
      <c r="P673" s="5" t="s">
        <v>1377</v>
      </c>
      <c r="Q673" s="6">
        <v>62.0</v>
      </c>
      <c r="R673" s="5" t="s">
        <v>1378</v>
      </c>
      <c r="S673" s="5" t="s">
        <v>1378</v>
      </c>
      <c r="T673" s="5" t="s">
        <v>1379</v>
      </c>
    </row>
    <row r="674">
      <c r="E674" s="5">
        <v>672.0</v>
      </c>
      <c r="F674" s="5" t="s">
        <v>17</v>
      </c>
      <c r="H674" s="5" t="s">
        <v>18</v>
      </c>
      <c r="I674" s="5" t="s">
        <v>19</v>
      </c>
      <c r="J674" s="5" t="s">
        <v>237</v>
      </c>
      <c r="K674" s="5" t="s">
        <v>21</v>
      </c>
      <c r="L674" s="5" t="s">
        <v>1015</v>
      </c>
      <c r="N674" s="5" t="s">
        <v>1003</v>
      </c>
      <c r="P674" s="5" t="s">
        <v>1377</v>
      </c>
      <c r="Q674" s="6">
        <v>63.0</v>
      </c>
      <c r="R674" s="5" t="s">
        <v>1378</v>
      </c>
      <c r="S674" s="5" t="s">
        <v>1378</v>
      </c>
      <c r="T674" s="5" t="s">
        <v>1379</v>
      </c>
    </row>
    <row r="675">
      <c r="E675" s="5">
        <v>673.0</v>
      </c>
      <c r="F675" s="5" t="s">
        <v>17</v>
      </c>
      <c r="H675" s="5" t="s">
        <v>18</v>
      </c>
      <c r="I675" s="5" t="s">
        <v>19</v>
      </c>
      <c r="J675" s="5" t="s">
        <v>1383</v>
      </c>
      <c r="K675" s="5" t="s">
        <v>21</v>
      </c>
      <c r="L675" s="5" t="s">
        <v>1015</v>
      </c>
      <c r="N675" s="5" t="s">
        <v>1003</v>
      </c>
      <c r="P675" s="5" t="s">
        <v>1377</v>
      </c>
      <c r="Q675" s="6">
        <v>64.0</v>
      </c>
      <c r="R675" s="5" t="s">
        <v>1378</v>
      </c>
      <c r="S675" s="5" t="s">
        <v>1378</v>
      </c>
      <c r="T675" s="5" t="s">
        <v>1379</v>
      </c>
    </row>
    <row r="676">
      <c r="E676" s="5">
        <v>674.0</v>
      </c>
      <c r="F676" s="5" t="s">
        <v>68</v>
      </c>
      <c r="H676" s="5" t="s">
        <v>503</v>
      </c>
      <c r="I676" s="5" t="s">
        <v>78</v>
      </c>
      <c r="J676" s="5" t="s">
        <v>71</v>
      </c>
      <c r="K676" s="5" t="s">
        <v>21</v>
      </c>
      <c r="L676" s="5" t="s">
        <v>1015</v>
      </c>
      <c r="N676" s="5" t="s">
        <v>1003</v>
      </c>
      <c r="P676" s="5" t="s">
        <v>1377</v>
      </c>
      <c r="Q676" s="6">
        <v>66.0</v>
      </c>
      <c r="R676" s="5" t="s">
        <v>1378</v>
      </c>
      <c r="S676" s="5" t="s">
        <v>1378</v>
      </c>
      <c r="T676" s="5" t="s">
        <v>1379</v>
      </c>
    </row>
    <row r="677">
      <c r="E677" s="5">
        <v>675.0</v>
      </c>
      <c r="F677" s="5" t="s">
        <v>68</v>
      </c>
      <c r="H677" s="5" t="s">
        <v>503</v>
      </c>
      <c r="I677" s="5" t="s">
        <v>1373</v>
      </c>
      <c r="J677" s="5" t="s">
        <v>71</v>
      </c>
      <c r="K677" s="5" t="s">
        <v>21</v>
      </c>
      <c r="L677" s="5" t="s">
        <v>1015</v>
      </c>
      <c r="N677" s="5" t="s">
        <v>1003</v>
      </c>
      <c r="P677" s="5" t="s">
        <v>1377</v>
      </c>
      <c r="Q677" s="6">
        <v>66.0</v>
      </c>
      <c r="R677" s="5" t="s">
        <v>1378</v>
      </c>
      <c r="S677" s="5" t="s">
        <v>1378</v>
      </c>
      <c r="T677" s="5" t="s">
        <v>1379</v>
      </c>
    </row>
    <row r="678">
      <c r="E678" s="5">
        <v>676.0</v>
      </c>
      <c r="F678" s="5" t="s">
        <v>68</v>
      </c>
      <c r="H678" s="5" t="s">
        <v>1779</v>
      </c>
      <c r="I678" s="5" t="s">
        <v>978</v>
      </c>
      <c r="J678" s="5" t="s">
        <v>71</v>
      </c>
      <c r="K678" s="5" t="s">
        <v>21</v>
      </c>
      <c r="L678" s="5" t="s">
        <v>1015</v>
      </c>
      <c r="N678" s="5" t="s">
        <v>1003</v>
      </c>
      <c r="P678" s="5" t="s">
        <v>1377</v>
      </c>
      <c r="Q678" s="6">
        <v>67.0</v>
      </c>
      <c r="R678" s="5" t="s">
        <v>1378</v>
      </c>
      <c r="S678" s="5" t="s">
        <v>1378</v>
      </c>
      <c r="T678" s="5" t="s">
        <v>1379</v>
      </c>
    </row>
    <row r="679">
      <c r="E679" s="5">
        <v>677.0</v>
      </c>
      <c r="F679" s="5" t="s">
        <v>52</v>
      </c>
      <c r="H679" s="5" t="s">
        <v>19</v>
      </c>
      <c r="I679" s="5" t="s">
        <v>18</v>
      </c>
      <c r="J679" s="5" t="s">
        <v>1780</v>
      </c>
      <c r="K679" s="5" t="s">
        <v>21</v>
      </c>
      <c r="L679" s="5" t="s">
        <v>1015</v>
      </c>
      <c r="N679" s="5" t="s">
        <v>1003</v>
      </c>
      <c r="P679" s="5" t="s">
        <v>1377</v>
      </c>
      <c r="Q679" s="6">
        <v>67.0</v>
      </c>
      <c r="R679" s="5" t="s">
        <v>1378</v>
      </c>
      <c r="S679" s="5" t="s">
        <v>1378</v>
      </c>
      <c r="T679" s="5" t="s">
        <v>1379</v>
      </c>
    </row>
    <row r="680">
      <c r="E680" s="5">
        <v>678.0</v>
      </c>
      <c r="F680" s="5" t="s">
        <v>52</v>
      </c>
      <c r="H680" s="5" t="s">
        <v>19</v>
      </c>
      <c r="I680" s="5" t="s">
        <v>18</v>
      </c>
      <c r="J680" s="5" t="s">
        <v>1781</v>
      </c>
      <c r="K680" s="5" t="s">
        <v>21</v>
      </c>
      <c r="L680" s="5" t="s">
        <v>1015</v>
      </c>
      <c r="N680" s="5" t="s">
        <v>1003</v>
      </c>
      <c r="P680" s="5" t="s">
        <v>1377</v>
      </c>
      <c r="Q680" s="6">
        <v>67.0</v>
      </c>
      <c r="R680" s="5" t="s">
        <v>1378</v>
      </c>
      <c r="S680" s="5" t="s">
        <v>1378</v>
      </c>
      <c r="T680" s="5" t="s">
        <v>1379</v>
      </c>
    </row>
    <row r="681">
      <c r="E681" s="5">
        <v>679.0</v>
      </c>
      <c r="F681" s="5" t="s">
        <v>281</v>
      </c>
      <c r="H681" s="5" t="s">
        <v>1351</v>
      </c>
      <c r="I681" s="5" t="s">
        <v>1352</v>
      </c>
      <c r="J681" s="5" t="s">
        <v>1782</v>
      </c>
      <c r="K681" s="5" t="s">
        <v>21</v>
      </c>
      <c r="L681" s="5" t="s">
        <v>1015</v>
      </c>
      <c r="N681" s="5" t="s">
        <v>1003</v>
      </c>
      <c r="O681" s="5" t="s">
        <v>1606</v>
      </c>
      <c r="P681" s="5" t="s">
        <v>1377</v>
      </c>
      <c r="Q681" s="6">
        <v>68.0</v>
      </c>
      <c r="R681" s="5" t="s">
        <v>1378</v>
      </c>
      <c r="S681" s="5" t="s">
        <v>1378</v>
      </c>
      <c r="T681" s="5" t="s">
        <v>1379</v>
      </c>
    </row>
    <row r="682">
      <c r="E682" s="5">
        <v>680.0</v>
      </c>
      <c r="F682" s="5" t="s">
        <v>95</v>
      </c>
      <c r="H682" s="5" t="s">
        <v>1768</v>
      </c>
      <c r="I682" s="5" t="s">
        <v>1769</v>
      </c>
      <c r="J682" s="5" t="s">
        <v>1783</v>
      </c>
      <c r="K682" s="5" t="s">
        <v>21</v>
      </c>
      <c r="L682" s="5" t="s">
        <v>1015</v>
      </c>
      <c r="N682" s="5" t="s">
        <v>1003</v>
      </c>
      <c r="P682" s="5" t="s">
        <v>1377</v>
      </c>
      <c r="Q682" s="6">
        <v>74.0</v>
      </c>
      <c r="R682" s="5" t="s">
        <v>1378</v>
      </c>
      <c r="S682" s="5" t="s">
        <v>1378</v>
      </c>
      <c r="T682" s="5" t="s">
        <v>1379</v>
      </c>
    </row>
    <row r="683">
      <c r="Q683" s="1"/>
    </row>
    <row r="684">
      <c r="Q684" s="1"/>
    </row>
    <row r="685">
      <c r="Q685" s="1"/>
    </row>
    <row r="686">
      <c r="Q686" s="1"/>
    </row>
    <row r="687">
      <c r="Q687" s="1"/>
    </row>
    <row r="688">
      <c r="Q688" s="1"/>
    </row>
    <row r="689">
      <c r="Q689" s="1"/>
    </row>
    <row r="690">
      <c r="Q690" s="1"/>
    </row>
    <row r="691">
      <c r="Q691" s="1"/>
    </row>
    <row r="692">
      <c r="Q692" s="1"/>
    </row>
    <row r="693">
      <c r="Q693" s="1"/>
    </row>
    <row r="694">
      <c r="Q694" s="1"/>
    </row>
    <row r="695">
      <c r="Q695" s="1"/>
    </row>
    <row r="696">
      <c r="Q696" s="1"/>
    </row>
    <row r="697">
      <c r="Q697" s="1"/>
    </row>
    <row r="698">
      <c r="Q698" s="1"/>
    </row>
    <row r="699">
      <c r="Q699" s="1"/>
    </row>
    <row r="700">
      <c r="Q700" s="1"/>
    </row>
    <row r="701">
      <c r="Q701" s="1"/>
    </row>
    <row r="702">
      <c r="Q702" s="1"/>
    </row>
    <row r="703">
      <c r="Q703" s="1"/>
    </row>
    <row r="704">
      <c r="Q704" s="1"/>
    </row>
    <row r="705">
      <c r="Q705" s="1"/>
    </row>
    <row r="706">
      <c r="Q706" s="1"/>
    </row>
    <row r="707">
      <c r="Q707" s="1"/>
    </row>
    <row r="708">
      <c r="Q708" s="1"/>
    </row>
    <row r="709">
      <c r="Q709" s="1"/>
    </row>
    <row r="710">
      <c r="Q710" s="1"/>
    </row>
    <row r="711">
      <c r="Q711" s="1"/>
    </row>
    <row r="712">
      <c r="Q712" s="1"/>
    </row>
    <row r="713">
      <c r="Q713" s="1"/>
    </row>
    <row r="714">
      <c r="Q714" s="1"/>
    </row>
    <row r="715">
      <c r="Q715" s="1"/>
    </row>
    <row r="716">
      <c r="Q716" s="1"/>
    </row>
    <row r="717">
      <c r="Q717" s="1"/>
    </row>
    <row r="718">
      <c r="Q718" s="1"/>
    </row>
    <row r="719">
      <c r="Q719" s="1"/>
    </row>
    <row r="720">
      <c r="Q720" s="1"/>
    </row>
    <row r="721">
      <c r="Q721" s="1"/>
    </row>
    <row r="722">
      <c r="Q722" s="1"/>
    </row>
    <row r="723">
      <c r="Q723" s="1"/>
    </row>
    <row r="724">
      <c r="Q724" s="1"/>
    </row>
    <row r="725">
      <c r="Q725" s="1"/>
    </row>
    <row r="726">
      <c r="Q726" s="1"/>
    </row>
    <row r="727">
      <c r="Q727" s="1"/>
    </row>
    <row r="728">
      <c r="Q728" s="1"/>
    </row>
    <row r="729">
      <c r="Q729" s="1"/>
    </row>
    <row r="730">
      <c r="Q730" s="1"/>
    </row>
    <row r="731">
      <c r="Q731" s="1"/>
    </row>
    <row r="732">
      <c r="Q732" s="1"/>
    </row>
    <row r="733">
      <c r="Q733" s="1"/>
    </row>
    <row r="734">
      <c r="Q734" s="1"/>
    </row>
    <row r="735">
      <c r="Q735" s="1"/>
    </row>
    <row r="736">
      <c r="Q736" s="1"/>
    </row>
    <row r="737">
      <c r="Q737" s="1"/>
    </row>
    <row r="738">
      <c r="Q738" s="1"/>
    </row>
    <row r="739">
      <c r="Q739" s="1"/>
    </row>
    <row r="740">
      <c r="Q740" s="1"/>
    </row>
    <row r="741">
      <c r="Q741" s="1"/>
    </row>
    <row r="742">
      <c r="Q742" s="1"/>
    </row>
    <row r="743">
      <c r="Q743" s="1"/>
    </row>
    <row r="744">
      <c r="Q744" s="1"/>
    </row>
    <row r="745">
      <c r="Q745" s="1"/>
    </row>
    <row r="746">
      <c r="Q746" s="1"/>
    </row>
    <row r="747">
      <c r="Q747" s="1"/>
    </row>
    <row r="748">
      <c r="Q748" s="1"/>
    </row>
    <row r="749">
      <c r="Q749" s="1"/>
    </row>
    <row r="750">
      <c r="Q750" s="1"/>
    </row>
    <row r="751">
      <c r="Q751" s="1"/>
    </row>
    <row r="752">
      <c r="Q752" s="1"/>
    </row>
    <row r="753">
      <c r="Q753" s="1"/>
    </row>
    <row r="754">
      <c r="Q754" s="1"/>
    </row>
    <row r="755">
      <c r="Q755" s="1"/>
    </row>
    <row r="756">
      <c r="Q756" s="1"/>
    </row>
    <row r="757">
      <c r="Q757" s="1"/>
    </row>
    <row r="758">
      <c r="Q758" s="1"/>
    </row>
    <row r="759">
      <c r="Q759" s="1"/>
    </row>
    <row r="760">
      <c r="Q760" s="1"/>
    </row>
    <row r="761">
      <c r="Q761" s="1"/>
    </row>
    <row r="762">
      <c r="Q762" s="1"/>
    </row>
    <row r="763">
      <c r="Q763" s="1"/>
    </row>
    <row r="764">
      <c r="Q764" s="1"/>
    </row>
    <row r="765">
      <c r="Q765" s="1"/>
    </row>
    <row r="766">
      <c r="Q766" s="1"/>
    </row>
    <row r="767">
      <c r="Q767" s="1"/>
    </row>
    <row r="768">
      <c r="Q768" s="1"/>
    </row>
    <row r="769">
      <c r="Q769" s="1"/>
    </row>
    <row r="770">
      <c r="Q770" s="1"/>
    </row>
    <row r="771">
      <c r="Q771" s="1"/>
    </row>
    <row r="772">
      <c r="Q772" s="1"/>
    </row>
    <row r="773">
      <c r="Q773" s="1"/>
    </row>
    <row r="774">
      <c r="Q774" s="1"/>
    </row>
    <row r="775">
      <c r="Q775" s="1"/>
    </row>
    <row r="776">
      <c r="Q776" s="1"/>
    </row>
    <row r="777">
      <c r="Q777" s="1"/>
    </row>
    <row r="778">
      <c r="Q778" s="1"/>
    </row>
    <row r="779">
      <c r="Q779" s="1"/>
    </row>
    <row r="780">
      <c r="Q780" s="1"/>
    </row>
    <row r="781">
      <c r="Q781" s="1"/>
    </row>
    <row r="782">
      <c r="Q782" s="1"/>
    </row>
    <row r="783">
      <c r="Q783" s="1"/>
    </row>
    <row r="784">
      <c r="Q784" s="1"/>
    </row>
    <row r="785">
      <c r="Q785" s="1"/>
    </row>
    <row r="786">
      <c r="Q786" s="1"/>
    </row>
    <row r="787">
      <c r="Q787" s="1"/>
    </row>
    <row r="788">
      <c r="Q788" s="1"/>
    </row>
    <row r="789">
      <c r="Q789" s="1"/>
    </row>
    <row r="790">
      <c r="Q790" s="1"/>
    </row>
    <row r="791">
      <c r="Q791" s="1"/>
    </row>
    <row r="792">
      <c r="Q792" s="1"/>
    </row>
    <row r="793">
      <c r="Q793" s="1"/>
    </row>
    <row r="794">
      <c r="Q794" s="1"/>
    </row>
    <row r="795">
      <c r="Q795" s="1"/>
    </row>
    <row r="796">
      <c r="Q796" s="1"/>
    </row>
    <row r="797">
      <c r="Q797" s="1"/>
    </row>
    <row r="798">
      <c r="Q798" s="1"/>
    </row>
    <row r="799">
      <c r="Q799" s="1"/>
    </row>
    <row r="800">
      <c r="Q800" s="1"/>
    </row>
    <row r="801">
      <c r="Q801" s="1"/>
    </row>
    <row r="802">
      <c r="Q802" s="1"/>
    </row>
    <row r="803">
      <c r="Q803" s="1"/>
    </row>
    <row r="804">
      <c r="Q804" s="1"/>
    </row>
    <row r="805">
      <c r="Q805" s="1"/>
    </row>
    <row r="806">
      <c r="Q806" s="1"/>
    </row>
    <row r="807">
      <c r="Q807" s="1"/>
    </row>
    <row r="808">
      <c r="Q808" s="1"/>
    </row>
    <row r="809">
      <c r="Q809" s="1"/>
    </row>
    <row r="810">
      <c r="Q810" s="1"/>
    </row>
    <row r="811">
      <c r="Q811" s="1"/>
    </row>
    <row r="812">
      <c r="Q812" s="1"/>
    </row>
    <row r="813">
      <c r="Q813" s="1"/>
    </row>
    <row r="814">
      <c r="Q814" s="1"/>
    </row>
    <row r="815">
      <c r="Q815" s="1"/>
    </row>
    <row r="816">
      <c r="Q816" s="1"/>
    </row>
    <row r="817">
      <c r="Q817" s="1"/>
    </row>
    <row r="818">
      <c r="Q818" s="1"/>
    </row>
    <row r="819">
      <c r="Q819" s="1"/>
    </row>
    <row r="820">
      <c r="Q820" s="1"/>
    </row>
    <row r="821">
      <c r="Q821" s="1"/>
    </row>
    <row r="822">
      <c r="Q822" s="1"/>
    </row>
    <row r="823">
      <c r="Q823" s="1"/>
    </row>
    <row r="824">
      <c r="Q824" s="1"/>
    </row>
    <row r="825">
      <c r="Q825" s="1"/>
    </row>
    <row r="826">
      <c r="Q826" s="1"/>
    </row>
    <row r="827">
      <c r="Q827" s="1"/>
    </row>
    <row r="828">
      <c r="Q828" s="1"/>
    </row>
    <row r="829">
      <c r="Q829" s="1"/>
    </row>
    <row r="830">
      <c r="Q830" s="1"/>
    </row>
    <row r="831">
      <c r="Q831" s="1"/>
    </row>
    <row r="832">
      <c r="Q832" s="1"/>
    </row>
    <row r="833">
      <c r="Q833" s="1"/>
    </row>
    <row r="834">
      <c r="Q834" s="1"/>
    </row>
    <row r="835">
      <c r="Q835" s="1"/>
    </row>
    <row r="836">
      <c r="Q836" s="1"/>
    </row>
    <row r="837">
      <c r="Q837" s="1"/>
    </row>
    <row r="838">
      <c r="Q838" s="1"/>
    </row>
    <row r="839">
      <c r="Q839" s="1"/>
    </row>
    <row r="840">
      <c r="Q840" s="1"/>
    </row>
    <row r="841">
      <c r="Q841" s="1"/>
    </row>
    <row r="842">
      <c r="Q842" s="1"/>
    </row>
    <row r="843">
      <c r="Q843" s="1"/>
    </row>
    <row r="844">
      <c r="Q844" s="1"/>
    </row>
    <row r="845">
      <c r="Q845" s="1"/>
    </row>
    <row r="846">
      <c r="Q846" s="1"/>
    </row>
    <row r="847">
      <c r="Q847" s="1"/>
    </row>
    <row r="848">
      <c r="Q848" s="1"/>
    </row>
    <row r="849">
      <c r="Q849" s="1"/>
    </row>
    <row r="850">
      <c r="Q850" s="1"/>
    </row>
    <row r="851">
      <c r="Q851" s="1"/>
    </row>
    <row r="852">
      <c r="Q852" s="1"/>
    </row>
    <row r="853">
      <c r="Q853" s="1"/>
    </row>
    <row r="854">
      <c r="Q854" s="1"/>
    </row>
    <row r="855">
      <c r="Q855" s="1"/>
    </row>
    <row r="856">
      <c r="Q856" s="1"/>
    </row>
    <row r="857">
      <c r="Q857" s="1"/>
    </row>
    <row r="858">
      <c r="Q858" s="1"/>
    </row>
    <row r="859">
      <c r="Q859" s="1"/>
    </row>
    <row r="860">
      <c r="Q860" s="1"/>
    </row>
    <row r="861">
      <c r="Q861" s="1"/>
    </row>
    <row r="862">
      <c r="Q862" s="1"/>
    </row>
    <row r="863">
      <c r="Q863" s="1"/>
    </row>
    <row r="864">
      <c r="Q864" s="1"/>
    </row>
    <row r="865">
      <c r="Q865" s="1"/>
    </row>
    <row r="866">
      <c r="Q866" s="1"/>
    </row>
    <row r="867">
      <c r="Q867" s="1"/>
    </row>
    <row r="868">
      <c r="Q868" s="1"/>
    </row>
    <row r="869">
      <c r="Q869" s="1"/>
    </row>
    <row r="870">
      <c r="Q870" s="1"/>
    </row>
    <row r="871">
      <c r="Q871" s="1"/>
    </row>
    <row r="872">
      <c r="Q872" s="1"/>
    </row>
    <row r="873">
      <c r="Q873" s="1"/>
    </row>
    <row r="874">
      <c r="Q874" s="1"/>
    </row>
    <row r="875">
      <c r="Q875" s="1"/>
    </row>
    <row r="876">
      <c r="Q876" s="1"/>
    </row>
    <row r="877">
      <c r="Q877" s="1"/>
    </row>
    <row r="878">
      <c r="Q878" s="1"/>
    </row>
    <row r="879">
      <c r="Q879" s="1"/>
    </row>
    <row r="880">
      <c r="Q880" s="1"/>
    </row>
    <row r="881">
      <c r="Q881" s="1"/>
    </row>
    <row r="882">
      <c r="Q882" s="1"/>
    </row>
    <row r="883">
      <c r="Q883" s="1"/>
    </row>
    <row r="884">
      <c r="Q884" s="1"/>
    </row>
    <row r="885">
      <c r="Q885" s="1"/>
    </row>
    <row r="886">
      <c r="Q886" s="1"/>
    </row>
    <row r="887">
      <c r="Q887" s="1"/>
    </row>
    <row r="888">
      <c r="Q888" s="1"/>
    </row>
    <row r="889">
      <c r="Q889" s="1"/>
    </row>
    <row r="890">
      <c r="Q890" s="1"/>
    </row>
    <row r="891">
      <c r="Q891" s="1"/>
    </row>
    <row r="892">
      <c r="Q892" s="1"/>
    </row>
    <row r="893">
      <c r="Q893" s="1"/>
    </row>
    <row r="894">
      <c r="Q894" s="1"/>
    </row>
    <row r="895">
      <c r="Q895" s="1"/>
    </row>
    <row r="896">
      <c r="Q896" s="1"/>
    </row>
    <row r="897">
      <c r="Q897" s="1"/>
    </row>
    <row r="898">
      <c r="Q898" s="1"/>
    </row>
    <row r="899">
      <c r="Q899" s="1"/>
    </row>
    <row r="900">
      <c r="Q900" s="1"/>
    </row>
    <row r="901">
      <c r="Q901" s="1"/>
    </row>
    <row r="902">
      <c r="Q902" s="1"/>
    </row>
    <row r="903">
      <c r="Q903" s="1"/>
    </row>
    <row r="904">
      <c r="Q904" s="1"/>
    </row>
    <row r="905">
      <c r="Q905" s="1"/>
    </row>
    <row r="906">
      <c r="Q906" s="1"/>
    </row>
    <row r="907">
      <c r="Q907" s="1"/>
    </row>
    <row r="908">
      <c r="Q908" s="1"/>
    </row>
    <row r="909">
      <c r="Q909" s="1"/>
    </row>
    <row r="910">
      <c r="Q910" s="1"/>
    </row>
    <row r="911">
      <c r="Q911" s="1"/>
    </row>
    <row r="912">
      <c r="Q912" s="1"/>
    </row>
    <row r="913">
      <c r="Q913" s="1"/>
    </row>
    <row r="914">
      <c r="Q914" s="1"/>
    </row>
    <row r="915">
      <c r="Q915" s="1"/>
    </row>
    <row r="916">
      <c r="Q916" s="1"/>
    </row>
    <row r="917">
      <c r="Q917" s="1"/>
    </row>
    <row r="918">
      <c r="Q918" s="1"/>
    </row>
    <row r="919">
      <c r="Q919" s="1"/>
    </row>
    <row r="920">
      <c r="Q920" s="1"/>
    </row>
    <row r="921">
      <c r="Q921" s="1"/>
    </row>
    <row r="922">
      <c r="Q922" s="1"/>
    </row>
    <row r="923">
      <c r="Q923" s="1"/>
    </row>
    <row r="924">
      <c r="Q924" s="1"/>
    </row>
    <row r="925">
      <c r="Q925" s="1"/>
    </row>
    <row r="926">
      <c r="Q926" s="1"/>
    </row>
    <row r="927">
      <c r="Q927" s="1"/>
    </row>
    <row r="928">
      <c r="Q928" s="1"/>
    </row>
    <row r="929">
      <c r="Q929" s="1"/>
    </row>
    <row r="930">
      <c r="Q930" s="1"/>
    </row>
    <row r="931">
      <c r="Q931" s="1"/>
    </row>
    <row r="932">
      <c r="Q932" s="1"/>
    </row>
    <row r="933">
      <c r="Q933" s="1"/>
    </row>
    <row r="934">
      <c r="Q934" s="1"/>
    </row>
    <row r="935">
      <c r="Q935" s="1"/>
    </row>
    <row r="936">
      <c r="Q936" s="1"/>
    </row>
    <row r="937">
      <c r="Q937" s="1"/>
    </row>
    <row r="938">
      <c r="Q938" s="1"/>
    </row>
    <row r="939">
      <c r="Q939" s="1"/>
    </row>
    <row r="940">
      <c r="Q940" s="1"/>
    </row>
    <row r="941">
      <c r="Q941" s="1"/>
    </row>
    <row r="942">
      <c r="Q942" s="1"/>
    </row>
    <row r="943">
      <c r="Q943" s="1"/>
    </row>
    <row r="944">
      <c r="Q944" s="1"/>
    </row>
    <row r="945">
      <c r="Q945" s="1"/>
    </row>
    <row r="946">
      <c r="Q946" s="1"/>
    </row>
    <row r="947">
      <c r="Q947" s="1"/>
    </row>
    <row r="948">
      <c r="Q948" s="1"/>
    </row>
    <row r="949">
      <c r="Q949" s="1"/>
    </row>
    <row r="950">
      <c r="Q950" s="1"/>
    </row>
    <row r="951">
      <c r="Q951" s="1"/>
    </row>
    <row r="952">
      <c r="Q952" s="1"/>
    </row>
    <row r="953">
      <c r="Q953" s="1"/>
    </row>
    <row r="954">
      <c r="Q954" s="1"/>
    </row>
    <row r="955">
      <c r="Q955" s="1"/>
    </row>
    <row r="956">
      <c r="Q956" s="1"/>
    </row>
    <row r="957">
      <c r="Q957" s="1"/>
    </row>
    <row r="958">
      <c r="Q958" s="1"/>
    </row>
    <row r="959">
      <c r="Q959" s="1"/>
    </row>
    <row r="960">
      <c r="Q960" s="1"/>
    </row>
    <row r="961">
      <c r="Q961" s="1"/>
    </row>
    <row r="962">
      <c r="Q962" s="1"/>
    </row>
    <row r="963">
      <c r="Q963" s="1"/>
    </row>
    <row r="964">
      <c r="Q964" s="1"/>
    </row>
    <row r="965">
      <c r="Q965" s="1"/>
    </row>
    <row r="966">
      <c r="Q966" s="1"/>
    </row>
    <row r="967">
      <c r="Q967" s="1"/>
    </row>
    <row r="968">
      <c r="Q968" s="1"/>
    </row>
    <row r="969">
      <c r="Q969" s="1"/>
    </row>
    <row r="970">
      <c r="Q970" s="1"/>
    </row>
    <row r="971">
      <c r="Q971" s="1"/>
    </row>
    <row r="972">
      <c r="Q972" s="1"/>
    </row>
    <row r="973">
      <c r="Q973" s="1"/>
    </row>
    <row r="974">
      <c r="Q974" s="1"/>
    </row>
    <row r="975">
      <c r="Q975" s="1"/>
    </row>
    <row r="976">
      <c r="Q976" s="1"/>
    </row>
    <row r="977">
      <c r="Q977" s="1"/>
    </row>
    <row r="978">
      <c r="Q978" s="1"/>
    </row>
    <row r="979">
      <c r="Q979" s="1"/>
    </row>
    <row r="980">
      <c r="Q980" s="1"/>
    </row>
    <row r="981">
      <c r="Q981" s="1"/>
    </row>
    <row r="982">
      <c r="Q982" s="1"/>
    </row>
    <row r="983">
      <c r="Q983" s="1"/>
    </row>
    <row r="984">
      <c r="Q984" s="1"/>
    </row>
    <row r="985">
      <c r="Q985" s="1"/>
    </row>
    <row r="986">
      <c r="Q986" s="1"/>
    </row>
    <row r="987">
      <c r="Q987" s="1"/>
    </row>
    <row r="988">
      <c r="Q988" s="1"/>
    </row>
    <row r="989">
      <c r="Q989" s="1"/>
    </row>
    <row r="990">
      <c r="Q990" s="1"/>
    </row>
    <row r="991">
      <c r="Q991" s="1"/>
    </row>
    <row r="992">
      <c r="Q992" s="1"/>
    </row>
    <row r="993">
      <c r="Q993" s="1"/>
    </row>
    <row r="994">
      <c r="Q994" s="1"/>
    </row>
    <row r="995">
      <c r="Q995" s="1"/>
    </row>
    <row r="996">
      <c r="Q996" s="1"/>
    </row>
    <row r="997">
      <c r="Q997" s="1"/>
    </row>
    <row r="998">
      <c r="Q998" s="1"/>
    </row>
  </sheetData>
  <mergeCells count="27">
    <mergeCell ref="C3:D3"/>
    <mergeCell ref="C50:D50"/>
    <mergeCell ref="C73:D73"/>
    <mergeCell ref="C105:D105"/>
    <mergeCell ref="C128:D128"/>
    <mergeCell ref="C162:D162"/>
    <mergeCell ref="C196:D196"/>
    <mergeCell ref="C229:D229"/>
    <mergeCell ref="C249:D249"/>
    <mergeCell ref="C267:D267"/>
    <mergeCell ref="C285:D285"/>
    <mergeCell ref="C296:D296"/>
    <mergeCell ref="C321:D321"/>
    <mergeCell ref="C327:D327"/>
    <mergeCell ref="C485:D485"/>
    <mergeCell ref="C502:D502"/>
    <mergeCell ref="L519:M519"/>
    <mergeCell ref="L520:M520"/>
    <mergeCell ref="C643:D643"/>
    <mergeCell ref="C673:D673"/>
    <mergeCell ref="C340:D340"/>
    <mergeCell ref="C367:D367"/>
    <mergeCell ref="C382:D382"/>
    <mergeCell ref="C408:D408"/>
    <mergeCell ref="C440:D440"/>
    <mergeCell ref="C457:D457"/>
    <mergeCell ref="C469:D469"/>
  </mergeCells>
  <dataValidations>
    <dataValidation type="list" allowBlank="1" showErrorMessage="1" sqref="F3:F682">
      <formula1>"assimilation,dissimilation,lenition,fortition,fusion,elision,epenthesis,cheshirization,methathesis,mutation,harmony,unpacking"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38"/>
    <col customWidth="1" min="6" max="6" width="9.13"/>
    <col customWidth="1" min="7" max="7" width="7.0"/>
    <col customWidth="1" min="13" max="13" width="5.0"/>
    <col customWidth="1" min="14" max="14" width="9.5"/>
    <col customWidth="1" min="15" max="15" width="6.63"/>
    <col customWidth="1" min="17" max="17" width="5.25"/>
    <col customWidth="1" min="18" max="18" width="8.13"/>
    <col customWidth="1" min="19" max="19" width="8.38"/>
    <col customWidth="1" min="20" max="20" width="11.75"/>
  </cols>
  <sheetData>
    <row r="4">
      <c r="E4" s="2" t="s">
        <v>0</v>
      </c>
      <c r="F4" s="2" t="s">
        <v>1</v>
      </c>
      <c r="G4" s="2" t="s">
        <v>1784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languages!G3:G682=""cheshirization-labialization"")"),2.0)</f>
        <v>2</v>
      </c>
      <c r="F5" s="23" t="str">
        <f>IFERROR(__xludf.DUMMYFUNCTION("""COMPUTED_VALUE"""),"elision")</f>
        <v>elision</v>
      </c>
      <c r="G5" s="23" t="str">
        <f>IFERROR(__xludf.DUMMYFUNCTION("""COMPUTED_VALUE"""),"cheshirization-labialization")</f>
        <v>cheshirization-labialization</v>
      </c>
      <c r="H5" s="23" t="str">
        <f>IFERROR(__xludf.DUMMYFUNCTION("""COMPUTED_VALUE"""),"u")</f>
        <v>u</v>
      </c>
      <c r="I5" s="23" t="str">
        <f>IFERROR(__xludf.DUMMYFUNCTION("""COMPUTED_VALUE"""),"∅")</f>
        <v>∅</v>
      </c>
      <c r="J5" s="23" t="str">
        <f>IFERROR(__xludf.DUMMYFUNCTION("""COMPUTED_VALUE"""),"/ a_ or _a")</f>
        <v>/ a_ or _a</v>
      </c>
      <c r="K5" s="23" t="str">
        <f>IFERROR(__xludf.DUMMYFUNCTION("""COMPUTED_VALUE"""),"-")</f>
        <v>-</v>
      </c>
      <c r="L5" s="23" t="str">
        <f>IFERROR(__xludf.DUMMYFUNCTION("""COMPUTED_VALUE"""),"ha-(w)-ulq-an &gt; halqʷan")</f>
        <v>ha-(w)-ulq-an &gt; halqʷan</v>
      </c>
      <c r="M5" s="23" t="str">
        <f>IFERROR(__xludf.DUMMYFUNCTION("""COMPUTED_VALUE"""),"UP-M-direct.IPFV-PTCP")</f>
        <v>UP-M-direct.IPFV-PTCP</v>
      </c>
      <c r="N5" s="23" t="str">
        <f>IFERROR(__xludf.DUMMYFUNCTION("""COMPUTED_VALUE"""),"‘the one that goes upwards’")</f>
        <v>‘the one that goes upwards’</v>
      </c>
      <c r="O5" s="23" t="str">
        <f>IFERROR(__xludf.DUMMYFUNCTION("""COMPUTED_VALUE"""),"the gender agreement is masculine singular and the verbal root is preceded by the deixis/elevation preverbs or the negation prefixes")</f>
        <v>the gender agreement is masculine singular and the verbal root is preceded by the deixis/elevation preverbs or the negation prefixes</v>
      </c>
      <c r="P5" s="23" t="str">
        <f>IFERROR(__xludf.DUMMYFUNCTION("""COMPUTED_VALUE"""),"(Forker, 2020a)")</f>
        <v>(Forker, 2020a)</v>
      </c>
      <c r="Q5" s="23">
        <f>IFERROR(__xludf.DUMMYFUNCTION("""COMPUTED_VALUE"""),31.0)</f>
        <v>31</v>
      </c>
      <c r="R5" s="23" t="str">
        <f>IFERROR(__xludf.DUMMYFUNCTION("""COMPUTED_VALUE"""),"Sanzhi")</f>
        <v>Sanzhi</v>
      </c>
      <c r="S5" s="23" t="str">
        <f>IFERROR(__xludf.DUMMYFUNCTION("""COMPUTED_VALUE"""),"Dargwa")</f>
        <v>Dargwa</v>
      </c>
      <c r="T5" s="23" t="str">
        <f>IFERROR(__xludf.DUMMYFUNCTION("""COMPUTED_VALUE"""),"Sanzhi")</f>
        <v>Sanzhi</v>
      </c>
    </row>
    <row r="6">
      <c r="E6" s="23">
        <f>IFERROR(__xludf.DUMMYFUNCTION("""COMPUTED_VALUE"""),36.0)</f>
        <v>36</v>
      </c>
      <c r="F6" s="23" t="str">
        <f>IFERROR(__xludf.DUMMYFUNCTION("""COMPUTED_VALUE"""),"cheshirization, assimilation")</f>
        <v>cheshirization, assimilation</v>
      </c>
      <c r="G6" s="23" t="str">
        <f>IFERROR(__xludf.DUMMYFUNCTION("""COMPUTED_VALUE"""),"cheshirization-labialization")</f>
        <v>cheshirization-labialization</v>
      </c>
      <c r="H6" s="23" t="str">
        <f>IFERROR(__xludf.DUMMYFUNCTION("""COMPUTED_VALUE"""),"[+stop; -lab]")</f>
        <v>[+stop; -lab]</v>
      </c>
      <c r="I6" s="23" t="str">
        <f>IFERROR(__xludf.DUMMYFUNCTION("""COMPUTED_VALUE"""),"[+lab]")</f>
        <v>[+lab]</v>
      </c>
      <c r="J6" s="23" t="str">
        <f>IFERROR(__xludf.DUMMYFUNCTION("""COMPUTED_VALUE"""),"/ [u + _ ]syll")</f>
        <v>/ [u + _ ]syll</v>
      </c>
      <c r="K6" s="23" t="str">
        <f>IFERROR(__xludf.DUMMYFUNCTION("""COMPUTED_VALUE"""),"after 2")</f>
        <v>after 2</v>
      </c>
      <c r="L6" s="23" t="str">
        <f>IFERROR(__xludf.DUMMYFUNCTION("""COMPUTED_VALUE"""),"w-i-ha-(w)-ulq-an &gt; wihalqʷan")</f>
        <v>w-i-ha-(w)-ulq-an &gt; wihalqʷan</v>
      </c>
      <c r="M6" s="23" t="str">
        <f>IFERROR(__xludf.DUMMYFUNCTION("""COMPUTED_VALUE"""),"M-IN-UP-(M)-go.IPFV-PTCP")</f>
        <v>M-IN-UP-(M)-go.IPFV-PTCP</v>
      </c>
      <c r="N6" s="23" t="str">
        <f>IFERROR(__xludf.DUMMYFUNCTION("""COMPUTED_VALUE"""),"‘the one that goes inside’")</f>
        <v>‘the one that goes inside’</v>
      </c>
      <c r="O6" s="23" t="str">
        <f>IFERROR(__xludf.DUMMYFUNCTION("""COMPUTED_VALUE"""),"loss of -u- (rule 2) is compensated for by labializing the following stop")</f>
        <v>loss of -u- (rule 2) is compensated for by labializing the following stop</v>
      </c>
      <c r="P6" s="23" t="str">
        <f>IFERROR(__xludf.DUMMYFUNCTION("""COMPUTED_VALUE"""),"(Forker, 2020a)")</f>
        <v>(Forker, 2020a)</v>
      </c>
      <c r="Q6" s="23">
        <f>IFERROR(__xludf.DUMMYFUNCTION("""COMPUTED_VALUE"""),38.0)</f>
        <v>38</v>
      </c>
      <c r="R6" s="23" t="str">
        <f>IFERROR(__xludf.DUMMYFUNCTION("""COMPUTED_VALUE"""),"Sanzhi")</f>
        <v>Sanzhi</v>
      </c>
      <c r="S6" s="23" t="str">
        <f>IFERROR(__xludf.DUMMYFUNCTION("""COMPUTED_VALUE"""),"Dargwa")</f>
        <v>Dargwa</v>
      </c>
      <c r="T6" s="23" t="str">
        <f>IFERROR(__xludf.DUMMYFUNCTION("""COMPUTED_VALUE"""),"Sanzhi")</f>
        <v>Sanzhi</v>
      </c>
    </row>
    <row r="7">
      <c r="E7" s="23">
        <f>IFERROR(__xludf.DUMMYFUNCTION("""COMPUTED_VALUE"""),37.0)</f>
        <v>37</v>
      </c>
      <c r="F7" s="23" t="str">
        <f>IFERROR(__xludf.DUMMYFUNCTION("""COMPUTED_VALUE"""),"cheshirization, assimilation")</f>
        <v>cheshirization, assimilation</v>
      </c>
      <c r="G7" s="23" t="str">
        <f>IFERROR(__xludf.DUMMYFUNCTION("""COMPUTED_VALUE"""),"cheshirization-labialization")</f>
        <v>cheshirization-labialization</v>
      </c>
      <c r="H7" s="23" t="str">
        <f>IFERROR(__xludf.DUMMYFUNCTION("""COMPUTED_VALUE"""),"[+stop; -lab]")</f>
        <v>[+stop; -lab]</v>
      </c>
      <c r="I7" s="23" t="str">
        <f>IFERROR(__xludf.DUMMYFUNCTION("""COMPUTED_VALUE"""),"[+lab]")</f>
        <v>[+lab]</v>
      </c>
      <c r="J7" s="23" t="str">
        <f>IFERROR(__xludf.DUMMYFUNCTION("""COMPUTED_VALUE"""),"/ [ _ + u]syll")</f>
        <v>/ [ _ + u]syll</v>
      </c>
      <c r="K7" s="23" t="str">
        <f>IFERROR(__xludf.DUMMYFUNCTION("""COMPUTED_VALUE"""),"after 2")</f>
        <v>after 2</v>
      </c>
      <c r="L7" s="23" t="str">
        <f>IFERROR(__xludf.DUMMYFUNCTION("""COMPUTED_VALUE"""),"c’a gu-ha-b-iq’-un ca-b &gt; c’a gʷa-b-iq’-un ca-b")</f>
        <v>c’a gu-ha-b-iq’-un ca-b &gt; c’a gʷa-b-iq’-un ca-b</v>
      </c>
      <c r="M7" s="23" t="str">
        <f>IFERROR(__xludf.DUMMYFUNCTION("""COMPUTED_VALUE"""),"fire FROM.UNDER.UP-N-set.fire.PFV-PRET COP-N")</f>
        <v>fire FROM.UNDER.UP-N-set.fire.PFV-PRET COP-N</v>
      </c>
      <c r="N7" s="23" t="str">
        <f>IFERROR(__xludf.DUMMYFUNCTION("""COMPUTED_VALUE"""),"‘(She) set up a fire.’")</f>
        <v>‘(She) set up a fire.’</v>
      </c>
      <c r="O7" s="23" t="str">
        <f>IFERROR(__xludf.DUMMYFUNCTION("""COMPUTED_VALUE"""),"loss of -u- (rule 2) is compensated for by labializing the following stop
with the combination of the two spatial preverbs gu- ‘under’ and ha- ‘upwards’")</f>
        <v>loss of -u- (rule 2) is compensated for by labializing the following stop
with the combination of the two spatial preverbs gu- ‘under’ and ha- ‘upwards’</v>
      </c>
      <c r="P7" s="23" t="str">
        <f>IFERROR(__xludf.DUMMYFUNCTION("""COMPUTED_VALUE"""),"(Forker, 2020a)")</f>
        <v>(Forker, 2020a)</v>
      </c>
      <c r="Q7" s="23">
        <f>IFERROR(__xludf.DUMMYFUNCTION("""COMPUTED_VALUE"""),38.0)</f>
        <v>38</v>
      </c>
      <c r="R7" s="23" t="str">
        <f>IFERROR(__xludf.DUMMYFUNCTION("""COMPUTED_VALUE"""),"Sanzhi")</f>
        <v>Sanzhi</v>
      </c>
      <c r="S7" s="23" t="str">
        <f>IFERROR(__xludf.DUMMYFUNCTION("""COMPUTED_VALUE"""),"Dargwa")</f>
        <v>Dargwa</v>
      </c>
      <c r="T7" s="23" t="str">
        <f>IFERROR(__xludf.DUMMYFUNCTION("""COMPUTED_VALUE"""),"Sanzhi")</f>
        <v>Sanzhi</v>
      </c>
    </row>
    <row r="8">
      <c r="E8" s="23">
        <f>IFERROR(__xludf.DUMMYFUNCTION("""COMPUTED_VALUE"""),85.0)</f>
        <v>85</v>
      </c>
      <c r="F8" s="23" t="str">
        <f>IFERROR(__xludf.DUMMYFUNCTION("""COMPUTED_VALUE"""),"elision, cheshirization")</f>
        <v>elision, cheshirization</v>
      </c>
      <c r="G8" s="23" t="str">
        <f>IFERROR(__xludf.DUMMYFUNCTION("""COMPUTED_VALUE"""),"cheshirization-labialization")</f>
        <v>cheshirization-labialization</v>
      </c>
      <c r="H8" s="23" t="str">
        <f>IFERROR(__xludf.DUMMYFUNCTION("""COMPUTED_VALUE"""),"uCC")</f>
        <v>uCC</v>
      </c>
      <c r="I8" s="23" t="str">
        <f>IFERROR(__xludf.DUMMYFUNCTION("""COMPUTED_VALUE"""),"CCʷ")</f>
        <v>CCʷ</v>
      </c>
      <c r="J8" s="23" t="str">
        <f>IFERROR(__xludf.DUMMYFUNCTION("""COMPUTED_VALUE"""),"/ V_")</f>
        <v>/ V_</v>
      </c>
      <c r="K8" s="23" t="str">
        <f>IFERROR(__xludf.DUMMYFUNCTION("""COMPUTED_VALUE"""),"-")</f>
        <v>-</v>
      </c>
      <c r="L8" s="23" t="str">
        <f>IFERROR(__xludf.DUMMYFUNCTION("""COMPUTED_VALUE"""),"ħa-ubk’-an &gt; ħabk’ʷan")</f>
        <v>ħa-ubk’-an &gt; ħabk’ʷan</v>
      </c>
      <c r="M8" s="23" t="str">
        <f>IFERROR(__xludf.DUMMYFUNCTION("""COMPUTED_VALUE"""),"NEG-M.die:IPFV-HAB")</f>
        <v>NEG-M.die:IPFV-HAB</v>
      </c>
      <c r="N8" s="23" t="str">
        <f>IFERROR(__xludf.DUMMYFUNCTION("""COMPUTED_VALUE"""),"‘he doesn’t die’")</f>
        <v>‘he doesn’t die’</v>
      </c>
      <c r="O8" s="23"/>
      <c r="P8" s="23" t="str">
        <f>IFERROR(__xludf.DUMMYFUNCTION("""COMPUTED_VALUE"""),"(Daniel, Dobrushina, and Ganenkov, 2019)")</f>
        <v>(Daniel, Dobrushina, and Ganenkov, 2019)</v>
      </c>
      <c r="Q8" s="23" t="str">
        <f>IFERROR(__xludf.DUMMYFUNCTION("""COMPUTED_VALUE"""),"27-28")</f>
        <v>27-28</v>
      </c>
      <c r="R8" s="23" t="str">
        <f>IFERROR(__xludf.DUMMYFUNCTION("""COMPUTED_VALUE"""),"Megeb")</f>
        <v>Megeb</v>
      </c>
      <c r="S8" s="23" t="str">
        <f>IFERROR(__xludf.DUMMYFUNCTION("""COMPUTED_VALUE"""),"Dargwa")</f>
        <v>Dargwa</v>
      </c>
      <c r="T8" s="23" t="str">
        <f>IFERROR(__xludf.DUMMYFUNCTION("""COMPUTED_VALUE"""),"Mehweb")</f>
        <v>Mehweb</v>
      </c>
    </row>
    <row r="9">
      <c r="E9" s="23">
        <f>IFERROR(__xludf.DUMMYFUNCTION("""COMPUTED_VALUE"""),530.0)</f>
        <v>530</v>
      </c>
      <c r="F9" s="23" t="str">
        <f>IFERROR(__xludf.DUMMYFUNCTION("""COMPUTED_VALUE"""),"elision")</f>
        <v>elision</v>
      </c>
      <c r="G9" s="23" t="str">
        <f>IFERROR(__xludf.DUMMYFUNCTION("""COMPUTED_VALUE"""),"cheshirization-labialization")</f>
        <v>cheshirization-labialization</v>
      </c>
      <c r="H9" s="23" t="str">
        <f>IFERROR(__xludf.DUMMYFUNCTION("""COMPUTED_VALUE"""),"[-con; +round]")</f>
        <v>[-con; +round]</v>
      </c>
      <c r="I9" s="23" t="str">
        <f>IFERROR(__xludf.DUMMYFUNCTION("""COMPUTED_VALUE"""),"∅")</f>
        <v>∅</v>
      </c>
      <c r="J9" s="23" t="str">
        <f>IFERROR(__xludf.DUMMYFUNCTION("""COMPUTED_VALUE"""),"/ _ # + [#V]suffix")</f>
        <v>/ _ # + [#V]suffix</v>
      </c>
      <c r="K9" s="23" t="str">
        <f>IFERROR(__xludf.DUMMYFUNCTION("""COMPUTED_VALUE"""),"-")</f>
        <v>-</v>
      </c>
      <c r="L9" s="23" t="str">
        <f>IFERROR(__xludf.DUMMYFUNCTION("""COMPUTED_VALUE"""),"baku &gt; bakʷ-a")</f>
        <v>baku &gt; bakʷ-a</v>
      </c>
      <c r="M9" s="23"/>
      <c r="N9" s="23" t="str">
        <f>IFERROR(__xludf.DUMMYFUNCTION("""COMPUTED_VALUE"""),"‘’ &gt; ‘’")</f>
        <v>‘’ &gt; ‘’</v>
      </c>
      <c r="O9" s="23"/>
      <c r="P9" s="23" t="str">
        <f>IFERROR(__xludf.DUMMYFUNCTION("""COMPUTED_VALUE"""),"(Saidova, 1973)")</f>
        <v>(Saidova, 1973)</v>
      </c>
      <c r="Q9" s="23">
        <f>IFERROR(__xludf.DUMMYFUNCTION("""COMPUTED_VALUE"""),31.0)</f>
        <v>31</v>
      </c>
      <c r="R9" s="23" t="str">
        <f>IFERROR(__xludf.DUMMYFUNCTION("""COMPUTED_VALUE"""),"Godoberi")</f>
        <v>Godoberi</v>
      </c>
      <c r="S9" s="23" t="str">
        <f>IFERROR(__xludf.DUMMYFUNCTION("""COMPUTED_VALUE"""),"Godoberi")</f>
        <v>Godoberi</v>
      </c>
      <c r="T9" s="23" t="str">
        <f>IFERROR(__xludf.DUMMYFUNCTION("""COMPUTED_VALUE"""),"Godoberi")</f>
        <v>Godoberi</v>
      </c>
    </row>
    <row r="10">
      <c r="E10" s="23">
        <f>IFERROR(__xludf.DUMMYFUNCTION("""COMPUTED_VALUE"""),531.0)</f>
        <v>531</v>
      </c>
      <c r="F10" s="23" t="str">
        <f>IFERROR(__xludf.DUMMYFUNCTION("""COMPUTED_VALUE"""),"cheshirization, assimilation")</f>
        <v>cheshirization, assimilation</v>
      </c>
      <c r="G10" s="23" t="str">
        <f>IFERROR(__xludf.DUMMYFUNCTION("""COMPUTED_VALUE"""),"cheshirization-labialization")</f>
        <v>cheshirization-labialization</v>
      </c>
      <c r="H10" s="23" t="str">
        <f>IFERROR(__xludf.DUMMYFUNCTION("""COMPUTED_VALUE"""),"[+con; -labial]")</f>
        <v>[+con; -labial]</v>
      </c>
      <c r="I10" s="23" t="str">
        <f>IFERROR(__xludf.DUMMYFUNCTION("""COMPUTED_VALUE"""),"[+labial]")</f>
        <v>[+labial]</v>
      </c>
      <c r="J10" s="23" t="str">
        <f>IFERROR(__xludf.DUMMYFUNCTION("""COMPUTED_VALUE"""),"/ _ + [-con; +round]")</f>
        <v>/ _ + [-con; +round]</v>
      </c>
      <c r="K10" s="23" t="str">
        <f>IFERROR(__xludf.DUMMYFUNCTION("""COMPUTED_VALUE"""),"after 530")</f>
        <v>after 530</v>
      </c>
      <c r="L10" s="23" t="str">
        <f>IFERROR(__xludf.DUMMYFUNCTION("""COMPUTED_VALUE"""),"baku &gt; bakʷ-a")</f>
        <v>baku &gt; bakʷ-a</v>
      </c>
      <c r="M10" s="23"/>
      <c r="N10" s="23" t="str">
        <f>IFERROR(__xludf.DUMMYFUNCTION("""COMPUTED_VALUE"""),"‘’ &gt; ‘’")</f>
        <v>‘’ &gt; ‘’</v>
      </c>
      <c r="O10" s="23"/>
      <c r="P10" s="23" t="str">
        <f>IFERROR(__xludf.DUMMYFUNCTION("""COMPUTED_VALUE"""),"(Saidova, 1973)")</f>
        <v>(Saidova, 1973)</v>
      </c>
      <c r="Q10" s="23">
        <f>IFERROR(__xludf.DUMMYFUNCTION("""COMPUTED_VALUE"""),31.0)</f>
        <v>31</v>
      </c>
      <c r="R10" s="23" t="str">
        <f>IFERROR(__xludf.DUMMYFUNCTION("""COMPUTED_VALUE"""),"Godoberi")</f>
        <v>Godoberi</v>
      </c>
      <c r="S10" s="23" t="str">
        <f>IFERROR(__xludf.DUMMYFUNCTION("""COMPUTED_VALUE"""),"Godoberi")</f>
        <v>Godoberi</v>
      </c>
      <c r="T10" s="23" t="str">
        <f>IFERROR(__xludf.DUMMYFUNCTION("""COMPUTED_VALUE"""),"Godoberi")</f>
        <v>Godoberi</v>
      </c>
    </row>
    <row r="11">
      <c r="E11" s="23">
        <f>IFERROR(__xludf.DUMMYFUNCTION("""COMPUTED_VALUE"""),563.0)</f>
        <v>563</v>
      </c>
      <c r="F11" s="23" t="str">
        <f>IFERROR(__xludf.DUMMYFUNCTION("""COMPUTED_VALUE"""),"mutation")</f>
        <v>mutation</v>
      </c>
      <c r="G11" s="23" t="str">
        <f>IFERROR(__xludf.DUMMYFUNCTION("""COMPUTED_VALUE"""),"cheshirization-labialization")</f>
        <v>cheshirization-labialization</v>
      </c>
      <c r="H11" s="23" t="str">
        <f>IFERROR(__xludf.DUMMYFUNCTION("""COMPUTED_VALUE"""),"у")</f>
        <v>у</v>
      </c>
      <c r="I11" s="23" t="str">
        <f>IFERROR(__xludf.DUMMYFUNCTION("""COMPUTED_VALUE"""),"и")</f>
        <v>и</v>
      </c>
      <c r="J11" s="23" t="str">
        <f>IFERROR(__xludf.DUMMYFUNCTION("""COMPUTED_VALUE"""),"/ _ # + suffix")</f>
        <v>/ _ # + suffix</v>
      </c>
      <c r="K11" s="23" t="str">
        <f>IFERROR(__xludf.DUMMYFUNCTION("""COMPUTED_VALUE"""),"-")</f>
        <v>-</v>
      </c>
      <c r="L11" s="23" t="str">
        <f>IFERROR(__xludf.DUMMYFUNCTION("""COMPUTED_VALUE"""),"эгьу + аби &gt; эгьʷаби")</f>
        <v>эгьу + аби &gt; эгьʷаби</v>
      </c>
      <c r="M11" s="23"/>
      <c r="N11" s="23" t="str">
        <f>IFERROR(__xludf.DUMMYFUNCTION("""COMPUTED_VALUE"""),"‘’ &gt; ‘’")</f>
        <v>‘’ &gt; ‘’</v>
      </c>
      <c r="O11" s="23"/>
      <c r="P11" s="23" t="str">
        <f>IFERROR(__xludf.DUMMYFUNCTION("""COMPUTED_VALUE"""),"(Magomedova, 2012)")</f>
        <v>(Magomedova, 2012)</v>
      </c>
      <c r="Q11" s="23">
        <f>IFERROR(__xludf.DUMMYFUNCTION("""COMPUTED_VALUE"""),59.0)</f>
        <v>59</v>
      </c>
      <c r="R11" s="23" t="str">
        <f>IFERROR(__xludf.DUMMYFUNCTION("""COMPUTED_VALUE"""),"Tindi")</f>
        <v>Tindi</v>
      </c>
      <c r="S11" s="23" t="str">
        <f>IFERROR(__xludf.DUMMYFUNCTION("""COMPUTED_VALUE"""),"Tindi")</f>
        <v>Tindi</v>
      </c>
      <c r="T11" s="23" t="str">
        <f>IFERROR(__xludf.DUMMYFUNCTION("""COMPUTED_VALUE"""),"Tindi")</f>
        <v>Tindi</v>
      </c>
    </row>
    <row r="12">
      <c r="E12" s="23">
        <f>IFERROR(__xludf.DUMMYFUNCTION("""COMPUTED_VALUE"""),564.0)</f>
        <v>564</v>
      </c>
      <c r="F12" s="23" t="str">
        <f>IFERROR(__xludf.DUMMYFUNCTION("""COMPUTED_VALUE"""),"cheshirization, assimilation")</f>
        <v>cheshirization, assimilation</v>
      </c>
      <c r="G12" s="23" t="str">
        <f>IFERROR(__xludf.DUMMYFUNCTION("""COMPUTED_VALUE"""),"cheshirization-labialization")</f>
        <v>cheshirization-labialization</v>
      </c>
      <c r="H12" s="23" t="str">
        <f>IFERROR(__xludf.DUMMYFUNCTION("""COMPUTED_VALUE"""),"[+con; -labial]")</f>
        <v>[+con; -labial]</v>
      </c>
      <c r="I12" s="23" t="str">
        <f>IFERROR(__xludf.DUMMYFUNCTION("""COMPUTED_VALUE"""),"[+labial]")</f>
        <v>[+labial]</v>
      </c>
      <c r="J12" s="23" t="str">
        <f>IFERROR(__xludf.DUMMYFUNCTION("""COMPUTED_VALUE"""),"/ _ # + suffix")</f>
        <v>/ _ # + suffix</v>
      </c>
      <c r="K12" s="23" t="str">
        <f>IFERROR(__xludf.DUMMYFUNCTION("""COMPUTED_VALUE"""),"after 562, 563")</f>
        <v>after 562, 563</v>
      </c>
      <c r="L12" s="23" t="str">
        <f>IFERROR(__xludf.DUMMYFUNCTION("""COMPUTED_VALUE"""),"эгьу + аби &gt; эгьʷаби")</f>
        <v>эгьу + аби &gt; эгьʷаби</v>
      </c>
      <c r="M12" s="23"/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IFERROR(__xludf.DUMMYFUNCTION("""COMPUTED_VALUE"""),"(Magomedova, 2012)")</f>
        <v>(Magomedova, 2012)</v>
      </c>
      <c r="Q12" s="23">
        <f>IFERROR(__xludf.DUMMYFUNCTION("""COMPUTED_VALUE"""),59.0)</f>
        <v>59</v>
      </c>
      <c r="R12" s="23" t="str">
        <f>IFERROR(__xludf.DUMMYFUNCTION("""COMPUTED_VALUE"""),"Tindi")</f>
        <v>Tindi</v>
      </c>
      <c r="S12" s="23" t="str">
        <f>IFERROR(__xludf.DUMMYFUNCTION("""COMPUTED_VALUE"""),"Tindi")</f>
        <v>Tindi</v>
      </c>
      <c r="T12" s="23" t="str">
        <f>IFERROR(__xludf.DUMMYFUNCTION("""COMPUTED_VALUE"""),"Tindi")</f>
        <v>Tindi</v>
      </c>
    </row>
    <row r="13">
      <c r="E13" s="23">
        <f>IFERROR(__xludf.DUMMYFUNCTION("""COMPUTED_VALUE"""),573.0)</f>
        <v>573</v>
      </c>
      <c r="F13" s="23" t="str">
        <f>IFERROR(__xludf.DUMMYFUNCTION("""COMPUTED_VALUE"""),"elision")</f>
        <v>elision</v>
      </c>
      <c r="G13" s="23" t="str">
        <f>IFERROR(__xludf.DUMMYFUNCTION("""COMPUTED_VALUE"""),"cheshirization-labialization")</f>
        <v>cheshirization-labialization</v>
      </c>
      <c r="H13" s="23" t="str">
        <f>IFERROR(__xludf.DUMMYFUNCTION("""COMPUTED_VALUE"""),"[-con; +labial]")</f>
        <v>[-con; +labial]</v>
      </c>
      <c r="I13" s="23" t="str">
        <f>IFERROR(__xludf.DUMMYFUNCTION("""COMPUTED_VALUE"""),"∅")</f>
        <v>∅</v>
      </c>
      <c r="J13" s="23" t="str">
        <f>IFERROR(__xludf.DUMMYFUNCTION("""COMPUTED_VALUE"""),"/ _ # + suffix")</f>
        <v>/ _ # + suffix</v>
      </c>
      <c r="K13" s="23" t="str">
        <f>IFERROR(__xludf.DUMMYFUNCTION("""COMPUTED_VALUE"""),"-")</f>
        <v>-</v>
      </c>
      <c r="L13" s="23" t="str">
        <f>IFERROR(__xludf.DUMMYFUNCTION("""COMPUTED_VALUE"""),"gurguⁿ &gt; gurgme")</f>
        <v>gurguⁿ &gt; gurgme</v>
      </c>
      <c r="M13" s="23"/>
      <c r="N13" s="23" t="str">
        <f>IFERROR(__xludf.DUMMYFUNCTION("""COMPUTED_VALUE"""),"‘jar’ &gt; ‘jars’")</f>
        <v>‘jar’ &gt; ‘jars’</v>
      </c>
      <c r="O13" s="23"/>
      <c r="P13" s="23" t="str">
        <f>IFERROR(__xludf.DUMMYFUNCTION("""COMPUTED_VALUE"""),"(Magomedova, 1999)")</f>
        <v>(Magomedova, 1999)</v>
      </c>
      <c r="Q13" s="23">
        <f>IFERROR(__xludf.DUMMYFUNCTION("""COMPUTED_VALUE"""),414.0)</f>
        <v>414</v>
      </c>
      <c r="R13" s="23" t="str">
        <f>IFERROR(__xludf.DUMMYFUNCTION("""COMPUTED_VALUE"""),"Chamalal")</f>
        <v>Chamalal</v>
      </c>
      <c r="S13" s="23" t="str">
        <f>IFERROR(__xludf.DUMMYFUNCTION("""COMPUTED_VALUE"""),"Chamalal")</f>
        <v>Chamalal</v>
      </c>
      <c r="T13" s="23" t="str">
        <f>IFERROR(__xludf.DUMMYFUNCTION("""COMPUTED_VALUE"""),"Lower Gakvari")</f>
        <v>Lower Gakvari</v>
      </c>
    </row>
    <row r="14">
      <c r="E14" s="23">
        <f>IFERROR(__xludf.DUMMYFUNCTION("""COMPUTED_VALUE"""),574.0)</f>
        <v>574</v>
      </c>
      <c r="F14" s="23" t="str">
        <f>IFERROR(__xludf.DUMMYFUNCTION("""COMPUTED_VALUE"""),"cheshirization")</f>
        <v>cheshirization</v>
      </c>
      <c r="G14" s="23" t="str">
        <f>IFERROR(__xludf.DUMMYFUNCTION("""COMPUTED_VALUE"""),"cheshirization-labialization")</f>
        <v>cheshirization-labialization</v>
      </c>
      <c r="H14" s="23" t="str">
        <f>IFERROR(__xludf.DUMMYFUNCTION("""COMPUTED_VALUE"""),"[+con; -labial]")</f>
        <v>[+con; -labial]</v>
      </c>
      <c r="I14" s="23" t="str">
        <f>IFERROR(__xludf.DUMMYFUNCTION("""COMPUTED_VALUE"""),"[+labial]")</f>
        <v>[+labial]</v>
      </c>
      <c r="J14" s="23" t="str">
        <f>IFERROR(__xludf.DUMMYFUNCTION("""COMPUTED_VALUE"""),"/ _ + [-con; +labial]")</f>
        <v>/ _ + [-con; +labial]</v>
      </c>
      <c r="K14" s="23" t="str">
        <f>IFERROR(__xludf.DUMMYFUNCTION("""COMPUTED_VALUE"""),"after 573")</f>
        <v>after 573</v>
      </c>
      <c r="L14" s="23" t="str">
        <f>IFERROR(__xludf.DUMMYFUNCTION("""COMPUTED_VALUE"""),"gurguⁿ &gt; gurgme")</f>
        <v>gurguⁿ &gt; gurgme</v>
      </c>
      <c r="M14" s="23"/>
      <c r="N14" s="23" t="str">
        <f>IFERROR(__xludf.DUMMYFUNCTION("""COMPUTED_VALUE"""),"‘jar’ &gt; ‘jars’")</f>
        <v>‘jar’ &gt; ‘jars’</v>
      </c>
      <c r="O14" s="23"/>
      <c r="P14" s="23" t="str">
        <f>IFERROR(__xludf.DUMMYFUNCTION("""COMPUTED_VALUE"""),"(Magomedova, 1999)")</f>
        <v>(Magomedova, 1999)</v>
      </c>
      <c r="Q14" s="23">
        <f>IFERROR(__xludf.DUMMYFUNCTION("""COMPUTED_VALUE"""),414.0)</f>
        <v>414</v>
      </c>
      <c r="R14" s="23" t="str">
        <f>IFERROR(__xludf.DUMMYFUNCTION("""COMPUTED_VALUE"""),"Chamalal")</f>
        <v>Chamalal</v>
      </c>
      <c r="S14" s="23" t="str">
        <f>IFERROR(__xludf.DUMMYFUNCTION("""COMPUTED_VALUE"""),"Chamalal")</f>
        <v>Chamalal</v>
      </c>
      <c r="T14" s="23" t="str">
        <f>IFERROR(__xludf.DUMMYFUNCTION("""COMPUTED_VALUE"""),"Lower Gakvari")</f>
        <v>Lower Gakvari</v>
      </c>
    </row>
    <row r="19">
      <c r="E19" s="24" t="s">
        <v>1785</v>
      </c>
    </row>
    <row r="21">
      <c r="E21" s="25" t="s">
        <v>1786</v>
      </c>
    </row>
    <row r="22">
      <c r="E22" s="25" t="s">
        <v>1787</v>
      </c>
    </row>
  </sheetData>
  <mergeCells count="1">
    <mergeCell ref="E19:G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63"/>
    <col customWidth="1" min="6" max="6" width="9.88"/>
    <col customWidth="1" min="7" max="7" width="8.63"/>
    <col customWidth="1" min="8" max="8" width="10.63"/>
    <col customWidth="1" min="9" max="10" width="6.88"/>
    <col customWidth="1" min="11" max="11" width="11.25"/>
    <col customWidth="1" min="13" max="13" width="4.5"/>
    <col customWidth="1" min="15" max="15" width="3.88"/>
    <col customWidth="1" min="17" max="17" width="7.88"/>
  </cols>
  <sheetData>
    <row r="4">
      <c r="E4" s="2" t="s">
        <v>0</v>
      </c>
      <c r="F4" s="2" t="s">
        <v>1</v>
      </c>
      <c r="G4" s="2" t="s">
        <v>1784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languages!G3:G682=""cheshirization-nasalization"")"),295.0)</f>
        <v>295</v>
      </c>
      <c r="F5" s="23" t="str">
        <f>IFERROR(__xludf.DUMMYFUNCTION("""COMPUTED_VALUE"""),"elision")</f>
        <v>elision</v>
      </c>
      <c r="G5" s="23" t="str">
        <f>IFERROR(__xludf.DUMMYFUNCTION("""COMPUTED_VALUE"""),"cheshirization-nasalization")</f>
        <v>cheshirization-nasalization</v>
      </c>
      <c r="H5" s="23" t="str">
        <f>IFERROR(__xludf.DUMMYFUNCTION("""COMPUTED_VALUE"""),"м")</f>
        <v>м</v>
      </c>
      <c r="I5" s="23" t="str">
        <f>IFERROR(__xludf.DUMMYFUNCTION("""COMPUTED_VALUE"""),"∅")</f>
        <v>∅</v>
      </c>
      <c r="J5" s="23" t="str">
        <f>IFERROR(__xludf.DUMMYFUNCTION("""COMPUTED_VALUE"""),"/ V_V")</f>
        <v>/ V_V</v>
      </c>
      <c r="K5" s="23" t="str">
        <f>IFERROR(__xludf.DUMMYFUNCTION("""COMPUTED_VALUE"""),"-")</f>
        <v>-</v>
      </c>
      <c r="L5" s="23" t="str">
        <f>IFERROR(__xludf.DUMMYFUNCTION("""COMPUTED_VALUE"""),"тамахьу &gt; та:ⁿхьу")</f>
        <v>тамахьу &gt; та:ⁿхьу</v>
      </c>
      <c r="M5" s="23"/>
      <c r="N5" s="23" t="str">
        <f>IFERROR(__xludf.DUMMYFUNCTION("""COMPUTED_VALUE"""),"‘tobacco’")</f>
        <v>‘tobacco’</v>
      </c>
      <c r="O5" s="23"/>
      <c r="P5" s="23" t="str">
        <f>IFERROR(__xludf.DUMMYFUNCTION("""COMPUTED_VALUE"""),"(Abdulaeva, 2001)")</f>
        <v>(Abdulaeva, 2001)</v>
      </c>
      <c r="Q5" s="23">
        <f>IFERROR(__xludf.DUMMYFUNCTION("""COMPUTED_VALUE"""),26.0)</f>
        <v>26</v>
      </c>
      <c r="R5" s="23" t="str">
        <f>IFERROR(__xludf.DUMMYFUNCTION("""COMPUTED_VALUE"""),"Southern Akhvakh")</f>
        <v>Southern Akhvakh</v>
      </c>
      <c r="S5" s="23" t="str">
        <f>IFERROR(__xludf.DUMMYFUNCTION("""COMPUTED_VALUE"""),"Akhvakh")</f>
        <v>Akhvakh</v>
      </c>
      <c r="T5" s="23" t="str">
        <f>IFERROR(__xludf.DUMMYFUNCTION("""COMPUTED_VALUE"""),"Ratlub")</f>
        <v>Ratlub</v>
      </c>
    </row>
    <row r="6">
      <c r="E6" s="23">
        <f>IFERROR(__xludf.DUMMYFUNCTION("""COMPUTED_VALUE"""),300.0)</f>
        <v>300</v>
      </c>
      <c r="F6" s="23" t="str">
        <f>IFERROR(__xludf.DUMMYFUNCTION("""COMPUTED_VALUE"""),"cheshirization, fusion, assimilation")</f>
        <v>cheshirization, fusion, assimilation</v>
      </c>
      <c r="G6" s="23" t="str">
        <f>IFERROR(__xludf.DUMMYFUNCTION("""COMPUTED_VALUE"""),"cheshirization-nasalization")</f>
        <v>cheshirization-nasalization</v>
      </c>
      <c r="H6" s="23" t="str">
        <f>IFERROR(__xludf.DUMMYFUNCTION("""COMPUTED_VALUE"""),"VV")</f>
        <v>VV</v>
      </c>
      <c r="I6" s="23" t="str">
        <f>IFERROR(__xludf.DUMMYFUNCTION("""COMPUTED_VALUE"""),"V:ⁿ")</f>
        <v>V:ⁿ</v>
      </c>
      <c r="J6" s="23" t="str">
        <f>IFERROR(__xludf.DUMMYFUNCTION("""COMPUTED_VALUE"""),"/ _")</f>
        <v>/ _</v>
      </c>
      <c r="K6" s="23" t="str">
        <f>IFERROR(__xludf.DUMMYFUNCTION("""COMPUTED_VALUE"""),"after 295")</f>
        <v>after 295</v>
      </c>
      <c r="L6" s="23" t="str">
        <f>IFERROR(__xludf.DUMMYFUNCTION("""COMPUTED_VALUE"""),"тамахьу &gt; та:ⁿхьу")</f>
        <v>тамахьу &gt; та:ⁿхьу</v>
      </c>
      <c r="M6" s="23"/>
      <c r="N6" s="23" t="str">
        <f>IFERROR(__xludf.DUMMYFUNCTION("""COMPUTED_VALUE"""),"‘tobacco’")</f>
        <v>‘tobacco’</v>
      </c>
      <c r="O6" s="23"/>
      <c r="P6" s="23" t="str">
        <f>IFERROR(__xludf.DUMMYFUNCTION("""COMPUTED_VALUE"""),"(Abdulaeva, 2001)")</f>
        <v>(Abdulaeva, 2001)</v>
      </c>
      <c r="Q6" s="23">
        <f>IFERROR(__xludf.DUMMYFUNCTION("""COMPUTED_VALUE"""),26.0)</f>
        <v>26</v>
      </c>
      <c r="R6" s="23" t="str">
        <f>IFERROR(__xludf.DUMMYFUNCTION("""COMPUTED_VALUE"""),"Southern Akhvakh")</f>
        <v>Southern Akhvakh</v>
      </c>
      <c r="S6" s="23" t="str">
        <f>IFERROR(__xludf.DUMMYFUNCTION("""COMPUTED_VALUE"""),"Akhvakh")</f>
        <v>Akhvakh</v>
      </c>
      <c r="T6" s="23" t="str">
        <f>IFERROR(__xludf.DUMMYFUNCTION("""COMPUTED_VALUE"""),"Ratlub")</f>
        <v>Ratlub</v>
      </c>
    </row>
    <row r="7">
      <c r="E7" s="23">
        <f>IFERROR(__xludf.DUMMYFUNCTION("""COMPUTED_VALUE"""),301.0)</f>
        <v>301</v>
      </c>
      <c r="F7" s="23" t="str">
        <f>IFERROR(__xludf.DUMMYFUNCTION("""COMPUTED_VALUE"""),"elision")</f>
        <v>elision</v>
      </c>
      <c r="G7" s="23" t="str">
        <f>IFERROR(__xludf.DUMMYFUNCTION("""COMPUTED_VALUE"""),"cheshirization-nasalization")</f>
        <v>cheshirization-nasalization</v>
      </c>
      <c r="H7" s="23" t="str">
        <f>IFERROR(__xludf.DUMMYFUNCTION("""COMPUTED_VALUE"""),"m")</f>
        <v>m</v>
      </c>
      <c r="I7" s="23" t="str">
        <f>IFERROR(__xludf.DUMMYFUNCTION("""COMPUTED_VALUE"""),"∅")</f>
        <v>∅</v>
      </c>
      <c r="J7" s="23" t="str">
        <f>IFERROR(__xludf.DUMMYFUNCTION("""COMPUTED_VALUE"""),"/ V_V")</f>
        <v>/ V_V</v>
      </c>
      <c r="K7" s="23" t="str">
        <f>IFERROR(__xludf.DUMMYFUNCTION("""COMPUTED_VALUE"""),"-")</f>
        <v>-</v>
      </c>
      <c r="L7" s="23" t="str">
        <f>IFERROR(__xludf.DUMMYFUNCTION("""COMPUTED_VALUE"""),"tamaXu &gt; ta:ⁿXu")</f>
        <v>tamaXu &gt; ta:ⁿXu</v>
      </c>
      <c r="M7" s="23"/>
      <c r="N7" s="23" t="str">
        <f>IFERROR(__xludf.DUMMYFUNCTION("""COMPUTED_VALUE"""),"‘tobacco’")</f>
        <v>‘tobacco’</v>
      </c>
      <c r="O7" s="23"/>
      <c r="P7" s="23" t="str">
        <f>IFERROR(__xludf.DUMMYFUNCTION("""COMPUTED_VALUE"""),"(Magomedbekova, 1967)")</f>
        <v>(Magomedbekova, 1967)</v>
      </c>
      <c r="Q7" s="23">
        <f>IFERROR(__xludf.DUMMYFUNCTION("""COMPUTED_VALUE"""),12.0)</f>
        <v>12</v>
      </c>
      <c r="R7" s="23" t="str">
        <f>IFERROR(__xludf.DUMMYFUNCTION("""COMPUTED_VALUE"""),"Northern Akhvakh")</f>
        <v>Northern Akhvakh</v>
      </c>
      <c r="S7" s="23" t="str">
        <f>IFERROR(__xludf.DUMMYFUNCTION("""COMPUTED_VALUE"""),"Akhvakh")</f>
        <v>Akhvakh</v>
      </c>
      <c r="T7" s="23" t="str">
        <f>IFERROR(__xludf.DUMMYFUNCTION("""COMPUTED_VALUE"""),"Northern Akhvakh")</f>
        <v>Northern Akhvakh</v>
      </c>
    </row>
    <row r="8">
      <c r="E8" s="23">
        <f>IFERROR(__xludf.DUMMYFUNCTION("""COMPUTED_VALUE"""),304.0)</f>
        <v>304</v>
      </c>
      <c r="F8" s="23" t="str">
        <f>IFERROR(__xludf.DUMMYFUNCTION("""COMPUTED_VALUE"""),"elision")</f>
        <v>elision</v>
      </c>
      <c r="G8" s="23" t="str">
        <f>IFERROR(__xludf.DUMMYFUNCTION("""COMPUTED_VALUE"""),"cheshirization-nasalization")</f>
        <v>cheshirization-nasalization</v>
      </c>
      <c r="H8" s="23" t="str">
        <f>IFERROR(__xludf.DUMMYFUNCTION("""COMPUTED_VALUE"""),"n")</f>
        <v>n</v>
      </c>
      <c r="I8" s="23" t="str">
        <f>IFERROR(__xludf.DUMMYFUNCTION("""COMPUTED_VALUE"""),"∅")</f>
        <v>∅</v>
      </c>
      <c r="J8" s="23" t="str">
        <f>IFERROR(__xludf.DUMMYFUNCTION("""COMPUTED_VALUE"""),"/ V_V")</f>
        <v>/ V_V</v>
      </c>
      <c r="K8" s="23" t="str">
        <f>IFERROR(__xludf.DUMMYFUNCTION("""COMPUTED_VALUE"""),"-")</f>
        <v>-</v>
      </c>
      <c r="L8" s="23" t="str">
        <f>IFERROR(__xludf.DUMMYFUNCTION("""COMPUTED_VALUE"""),"ħaniḳo &gt; ħi:ⁿḳo")</f>
        <v>ħaniḳo &gt; ħi:ⁿḳo</v>
      </c>
      <c r="M8" s="23"/>
      <c r="N8" s="23" t="str">
        <f>IFERROR(__xludf.DUMMYFUNCTION("""COMPUTED_VALUE"""),"‘hen’")</f>
        <v>‘hen’</v>
      </c>
      <c r="O8" s="23"/>
      <c r="P8" s="23" t="str">
        <f>IFERROR(__xludf.DUMMYFUNCTION("""COMPUTED_VALUE"""),"(Magomedbekova, 1967)")</f>
        <v>(Magomedbekova, 1967)</v>
      </c>
      <c r="Q8" s="23">
        <f>IFERROR(__xludf.DUMMYFUNCTION("""COMPUTED_VALUE"""),12.0)</f>
        <v>12</v>
      </c>
      <c r="R8" s="23" t="str">
        <f>IFERROR(__xludf.DUMMYFUNCTION("""COMPUTED_VALUE"""),"Northern Akhvakh")</f>
        <v>Northern Akhvakh</v>
      </c>
      <c r="S8" s="23" t="str">
        <f>IFERROR(__xludf.DUMMYFUNCTION("""COMPUTED_VALUE"""),"Akhvakh")</f>
        <v>Akhvakh</v>
      </c>
      <c r="T8" s="23" t="str">
        <f>IFERROR(__xludf.DUMMYFUNCTION("""COMPUTED_VALUE"""),"Northern Akhvakh")</f>
        <v>Northern Akhvakh</v>
      </c>
    </row>
    <row r="9">
      <c r="E9" s="23">
        <f>IFERROR(__xludf.DUMMYFUNCTION("""COMPUTED_VALUE"""),306.0)</f>
        <v>306</v>
      </c>
      <c r="F9" s="23" t="str">
        <f>IFERROR(__xludf.DUMMYFUNCTION("""COMPUTED_VALUE"""),"cheshirization, fusion, assimilation")</f>
        <v>cheshirization, fusion, assimilation</v>
      </c>
      <c r="G9" s="23" t="str">
        <f>IFERROR(__xludf.DUMMYFUNCTION("""COMPUTED_VALUE"""),"cheshirization-nasalization")</f>
        <v>cheshirization-nasalization</v>
      </c>
      <c r="H9" s="23" t="str">
        <f>IFERROR(__xludf.DUMMYFUNCTION("""COMPUTED_VALUE"""),"VV")</f>
        <v>VV</v>
      </c>
      <c r="I9" s="23" t="str">
        <f>IFERROR(__xludf.DUMMYFUNCTION("""COMPUTED_VALUE"""),"V:ⁿ")</f>
        <v>V:ⁿ</v>
      </c>
      <c r="J9" s="23" t="str">
        <f>IFERROR(__xludf.DUMMYFUNCTION("""COMPUTED_VALUE"""),"/ _ ")</f>
        <v>/ _ </v>
      </c>
      <c r="K9" s="23" t="str">
        <f>IFERROR(__xludf.DUMMYFUNCTION("""COMPUTED_VALUE"""),"after 301, 304")</f>
        <v>after 301, 304</v>
      </c>
      <c r="L9" s="23" t="str">
        <f>IFERROR(__xludf.DUMMYFUNCTION("""COMPUTED_VALUE"""),"tamaXu &gt; ta:ⁿXu")</f>
        <v>tamaXu &gt; ta:ⁿXu</v>
      </c>
      <c r="M9" s="23"/>
      <c r="N9" s="23" t="str">
        <f>IFERROR(__xludf.DUMMYFUNCTION("""COMPUTED_VALUE"""),"‘tobacco’")</f>
        <v>‘tobacco’</v>
      </c>
      <c r="O9" s="23"/>
      <c r="P9" s="23" t="str">
        <f>IFERROR(__xludf.DUMMYFUNCTION("""COMPUTED_VALUE"""),"(Magomedbekova, 1967)")</f>
        <v>(Magomedbekova, 1967)</v>
      </c>
      <c r="Q9" s="23">
        <f>IFERROR(__xludf.DUMMYFUNCTION("""COMPUTED_VALUE"""),12.0)</f>
        <v>12</v>
      </c>
      <c r="R9" s="23" t="str">
        <f>IFERROR(__xludf.DUMMYFUNCTION("""COMPUTED_VALUE"""),"Northern Akhvakh")</f>
        <v>Northern Akhvakh</v>
      </c>
      <c r="S9" s="23" t="str">
        <f>IFERROR(__xludf.DUMMYFUNCTION("""COMPUTED_VALUE"""),"Akhvakh")</f>
        <v>Akhvakh</v>
      </c>
      <c r="T9" s="23" t="str">
        <f>IFERROR(__xludf.DUMMYFUNCTION("""COMPUTED_VALUE"""),"Northern Akhvakh")</f>
        <v>Northern Akhvakh</v>
      </c>
    </row>
    <row r="10">
      <c r="E10" s="23">
        <f>IFERROR(__xludf.DUMMYFUNCTION("""COMPUTED_VALUE"""),348.0)</f>
        <v>348</v>
      </c>
      <c r="F10" s="23" t="str">
        <f>IFERROR(__xludf.DUMMYFUNCTION("""COMPUTED_VALUE"""),"elision")</f>
        <v>elision</v>
      </c>
      <c r="G10" s="23" t="str">
        <f>IFERROR(__xludf.DUMMYFUNCTION("""COMPUTED_VALUE"""),"cheshirization-nasalization")</f>
        <v>cheshirization-nasalization</v>
      </c>
      <c r="H10" s="23" t="str">
        <f>IFERROR(__xludf.DUMMYFUNCTION("""COMPUTED_VALUE"""),"n")</f>
        <v>n</v>
      </c>
      <c r="I10" s="23" t="str">
        <f>IFERROR(__xludf.DUMMYFUNCTION("""COMPUTED_VALUE"""),"∅")</f>
        <v>∅</v>
      </c>
      <c r="J10" s="23" t="str">
        <f>IFERROR(__xludf.DUMMYFUNCTION("""COMPUTED_VALUE"""),"/ _#")</f>
        <v>/ _#</v>
      </c>
      <c r="K10" s="23" t="str">
        <f>IFERROR(__xludf.DUMMYFUNCTION("""COMPUTED_VALUE"""),"-")</f>
        <v>-</v>
      </c>
      <c r="L10" s="23" t="str">
        <f>IFERROR(__xludf.DUMMYFUNCTION("""COMPUTED_VALUE"""),"gagan &gt; gagaⁿ")</f>
        <v>gagan &gt; gagaⁿ</v>
      </c>
      <c r="M10" s="23"/>
      <c r="N10" s="23" t="str">
        <f>IFERROR(__xludf.DUMMYFUNCTION("""COMPUTED_VALUE"""),"‘egg’")</f>
        <v>‘egg’</v>
      </c>
      <c r="O10" s="23" t="str">
        <f>IFERROR(__xludf.DUMMYFUNCTION("""COMPUTED_VALUE"""),"does not apply to the DAT -n")</f>
        <v>does not apply to the DAT -n</v>
      </c>
      <c r="P10" s="23" t="str">
        <f>IFERROR(__xludf.DUMMYFUNCTION("""COMPUTED_VALUE"""),"(Holisky and Gagua, 1994)")</f>
        <v>(Holisky and Gagua, 1994)</v>
      </c>
      <c r="Q10" s="23">
        <f>IFERROR(__xludf.DUMMYFUNCTION("""COMPUTED_VALUE"""),160.0)</f>
        <v>160</v>
      </c>
      <c r="R10" s="23" t="str">
        <f>IFERROR(__xludf.DUMMYFUNCTION("""COMPUTED_VALUE"""),"Bats")</f>
        <v>Bats</v>
      </c>
      <c r="S10" s="23" t="str">
        <f>IFERROR(__xludf.DUMMYFUNCTION("""COMPUTED_VALUE"""),"Tsova-Tush")</f>
        <v>Tsova-Tush</v>
      </c>
      <c r="T10" s="23" t="str">
        <f>IFERROR(__xludf.DUMMYFUNCTION("""COMPUTED_VALUE"""),"Zemo-Alvani")</f>
        <v>Zemo-Alvani</v>
      </c>
    </row>
    <row r="11">
      <c r="E11" s="23">
        <f>IFERROR(__xludf.DUMMYFUNCTION("""COMPUTED_VALUE"""),349.0)</f>
        <v>349</v>
      </c>
      <c r="F11" s="23" t="str">
        <f>IFERROR(__xludf.DUMMYFUNCTION("""COMPUTED_VALUE"""),"cheshirization, assimilation")</f>
        <v>cheshirization, assimilation</v>
      </c>
      <c r="G11" s="23" t="str">
        <f>IFERROR(__xludf.DUMMYFUNCTION("""COMPUTED_VALUE"""),"cheshirization-nasalization")</f>
        <v>cheshirization-nasalization</v>
      </c>
      <c r="H11" s="23" t="str">
        <f>IFERROR(__xludf.DUMMYFUNCTION("""COMPUTED_VALUE"""),"[-con; -nasal]")</f>
        <v>[-con; -nasal]</v>
      </c>
      <c r="I11" s="23" t="str">
        <f>IFERROR(__xludf.DUMMYFUNCTION("""COMPUTED_VALUE"""),"[+nasal]")</f>
        <v>[+nasal]</v>
      </c>
      <c r="J11" s="23" t="str">
        <f>IFERROR(__xludf.DUMMYFUNCTION("""COMPUTED_VALUE"""),"/ _#")</f>
        <v>/ _#</v>
      </c>
      <c r="K11" s="23" t="str">
        <f>IFERROR(__xludf.DUMMYFUNCTION("""COMPUTED_VALUE"""),"after 348")</f>
        <v>after 348</v>
      </c>
      <c r="L11" s="23" t="str">
        <f>IFERROR(__xludf.DUMMYFUNCTION("""COMPUTED_VALUE"""),"gagan &gt; gagaⁿ")</f>
        <v>gagan &gt; gagaⁿ</v>
      </c>
      <c r="M11" s="23"/>
      <c r="N11" s="23" t="str">
        <f>IFERROR(__xludf.DUMMYFUNCTION("""COMPUTED_VALUE"""),"‘egg’")</f>
        <v>‘egg’</v>
      </c>
      <c r="O11" s="23" t="str">
        <f>IFERROR(__xludf.DUMMYFUNCTION("""COMPUTED_VALUE"""),"does not apply to the DAT -n")</f>
        <v>does not apply to the DAT -n</v>
      </c>
      <c r="P11" s="23" t="str">
        <f>IFERROR(__xludf.DUMMYFUNCTION("""COMPUTED_VALUE"""),"(Holisky and Gagua, 1994)")</f>
        <v>(Holisky and Gagua, 1994)</v>
      </c>
      <c r="Q11" s="23">
        <f>IFERROR(__xludf.DUMMYFUNCTION("""COMPUTED_VALUE"""),160.0)</f>
        <v>160</v>
      </c>
      <c r="R11" s="23" t="str">
        <f>IFERROR(__xludf.DUMMYFUNCTION("""COMPUTED_VALUE"""),"Bats")</f>
        <v>Bats</v>
      </c>
      <c r="S11" s="23" t="str">
        <f>IFERROR(__xludf.DUMMYFUNCTION("""COMPUTED_VALUE"""),"Tsova-Tush")</f>
        <v>Tsova-Tush</v>
      </c>
      <c r="T11" s="23" t="str">
        <f>IFERROR(__xludf.DUMMYFUNCTION("""COMPUTED_VALUE"""),"Zemo-Alvani")</f>
        <v>Zemo-Alvani</v>
      </c>
    </row>
    <row r="12">
      <c r="E12" s="23">
        <f>IFERROR(__xludf.DUMMYFUNCTION("""COMPUTED_VALUE"""),465.0)</f>
        <v>465</v>
      </c>
      <c r="F12" s="23" t="str">
        <f>IFERROR(__xludf.DUMMYFUNCTION("""COMPUTED_VALUE"""),"elision")</f>
        <v>elision</v>
      </c>
      <c r="G12" s="23" t="str">
        <f>IFERROR(__xludf.DUMMYFUNCTION("""COMPUTED_VALUE"""),"cheshirization-nasalization")</f>
        <v>cheshirization-nasalization</v>
      </c>
      <c r="H12" s="23" t="str">
        <f>IFERROR(__xludf.DUMMYFUNCTION("""COMPUTED_VALUE"""),"n")</f>
        <v>n</v>
      </c>
      <c r="I12" s="23" t="str">
        <f>IFERROR(__xludf.DUMMYFUNCTION("""COMPUTED_VALUE"""),"∅")</f>
        <v>∅</v>
      </c>
      <c r="J12" s="23" t="str">
        <f>IFERROR(__xludf.DUMMYFUNCTION("""COMPUTED_VALUE"""),"/ _ #")</f>
        <v>/ _ #</v>
      </c>
      <c r="K12" s="23" t="str">
        <f>IFERROR(__xludf.DUMMYFUNCTION("""COMPUTED_VALUE"""),"-")</f>
        <v>-</v>
      </c>
      <c r="L12" s="23" t="str">
        <f>IFERROR(__xludf.DUMMYFUNCTION("""COMPUTED_VALUE"""),"&gt;")</f>
        <v>&gt;</v>
      </c>
      <c r="M12" s="23"/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IFERROR(__xludf.DUMMYFUNCTION("""COMPUTED_VALUE"""),"(Mejlanova, 1984)")</f>
        <v>(Mejlanova, 1984)</v>
      </c>
      <c r="Q12" s="23">
        <f>IFERROR(__xludf.DUMMYFUNCTION("""COMPUTED_VALUE"""),184.0)</f>
        <v>184</v>
      </c>
      <c r="R12" s="23" t="str">
        <f>IFERROR(__xludf.DUMMYFUNCTION("""COMPUTED_VALUE"""),"Budukh")</f>
        <v>Budukh</v>
      </c>
      <c r="S12" s="23" t="str">
        <f>IFERROR(__xludf.DUMMYFUNCTION("""COMPUTED_VALUE"""),"Budukh")</f>
        <v>Budukh</v>
      </c>
      <c r="T12" s="23" t="str">
        <f>IFERROR(__xludf.DUMMYFUNCTION("""COMPUTED_VALUE"""),"Budukh")</f>
        <v>Budukh</v>
      </c>
    </row>
    <row r="13">
      <c r="E13" s="23">
        <f>IFERROR(__xludf.DUMMYFUNCTION("""COMPUTED_VALUE"""),466.0)</f>
        <v>466</v>
      </c>
      <c r="F13" s="23" t="str">
        <f>IFERROR(__xludf.DUMMYFUNCTION("""COMPUTED_VALUE"""),"cheshirization, assimilation")</f>
        <v>cheshirization, assimilation</v>
      </c>
      <c r="G13" s="23" t="str">
        <f>IFERROR(__xludf.DUMMYFUNCTION("""COMPUTED_VALUE"""),"cheshirization-nasalization")</f>
        <v>cheshirization-nasalization</v>
      </c>
      <c r="H13" s="23" t="str">
        <f>IFERROR(__xludf.DUMMYFUNCTION("""COMPUTED_VALUE"""),"[-con; -nasal]")</f>
        <v>[-con; -nasal]</v>
      </c>
      <c r="I13" s="23" t="str">
        <f>IFERROR(__xludf.DUMMYFUNCTION("""COMPUTED_VALUE"""),"[+nasal]")</f>
        <v>[+nasal]</v>
      </c>
      <c r="J13" s="23" t="str">
        <f>IFERROR(__xludf.DUMMYFUNCTION("""COMPUTED_VALUE"""),"/ _ #")</f>
        <v>/ _ #</v>
      </c>
      <c r="K13" s="23" t="str">
        <f>IFERROR(__xludf.DUMMYFUNCTION("""COMPUTED_VALUE"""),"after 465")</f>
        <v>after 465</v>
      </c>
      <c r="L13" s="23" t="str">
        <f>IFERROR(__xludf.DUMMYFUNCTION("""COMPUTED_VALUE"""),"&gt;")</f>
        <v>&gt;</v>
      </c>
      <c r="M13" s="23"/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IFERROR(__xludf.DUMMYFUNCTION("""COMPUTED_VALUE"""),"(Mejlanova, 1984)")</f>
        <v>(Mejlanova, 1984)</v>
      </c>
      <c r="Q13" s="23">
        <f>IFERROR(__xludf.DUMMYFUNCTION("""COMPUTED_VALUE"""),184.0)</f>
        <v>184</v>
      </c>
      <c r="R13" s="23" t="str">
        <f>IFERROR(__xludf.DUMMYFUNCTION("""COMPUTED_VALUE"""),"Budukh")</f>
        <v>Budukh</v>
      </c>
      <c r="S13" s="23" t="str">
        <f>IFERROR(__xludf.DUMMYFUNCTION("""COMPUTED_VALUE"""),"Budukh")</f>
        <v>Budukh</v>
      </c>
      <c r="T13" s="23" t="str">
        <f>IFERROR(__xludf.DUMMYFUNCTION("""COMPUTED_VALUE"""),"Budukh")</f>
        <v>Budukh</v>
      </c>
    </row>
    <row r="14">
      <c r="E14" s="23">
        <f>IFERROR(__xludf.DUMMYFUNCTION("""COMPUTED_VALUE"""),500.0)</f>
        <v>500</v>
      </c>
      <c r="F14" s="23" t="str">
        <f>IFERROR(__xludf.DUMMYFUNCTION("""COMPUTED_VALUE"""),"elision")</f>
        <v>elision</v>
      </c>
      <c r="G14" s="23" t="str">
        <f>IFERROR(__xludf.DUMMYFUNCTION("""COMPUTED_VALUE"""),"cheshirization-nasalization")</f>
        <v>cheshirization-nasalization</v>
      </c>
      <c r="H14" s="23" t="str">
        <f>IFERROR(__xludf.DUMMYFUNCTION("""COMPUTED_VALUE"""),"н")</f>
        <v>н</v>
      </c>
      <c r="I14" s="23" t="str">
        <f>IFERROR(__xludf.DUMMYFUNCTION("""COMPUTED_VALUE"""),"∅")</f>
        <v>∅</v>
      </c>
      <c r="J14" s="23" t="str">
        <f>IFERROR(__xludf.DUMMYFUNCTION("""COMPUTED_VALUE"""),"/ _#")</f>
        <v>/ _#</v>
      </c>
      <c r="K14" s="23" t="str">
        <f>IFERROR(__xludf.DUMMYFUNCTION("""COMPUTED_VALUE"""),"-")</f>
        <v>-</v>
      </c>
      <c r="L14" s="23" t="str">
        <f>IFERROR(__xludf.DUMMYFUNCTION("""COMPUTED_VALUE"""),"&gt;")</f>
        <v>&gt;</v>
      </c>
      <c r="M14" s="23"/>
      <c r="N14" s="23" t="str">
        <f>IFERROR(__xludf.DUMMYFUNCTION("""COMPUTED_VALUE"""),"‘’ &gt; ‘’")</f>
        <v>‘’ &gt; ‘’</v>
      </c>
      <c r="O14" s="23"/>
      <c r="P14" s="23" t="str">
        <f>IFERROR(__xludf.DUMMYFUNCTION("""COMPUTED_VALUE"""),"(Ganieva 2007)")</f>
        <v>(Ganieva 2007)</v>
      </c>
      <c r="Q14" s="23">
        <f>IFERROR(__xludf.DUMMYFUNCTION("""COMPUTED_VALUE"""),18.0)</f>
        <v>18</v>
      </c>
      <c r="R14" s="23" t="str">
        <f>IFERROR(__xludf.DUMMYFUNCTION("""COMPUTED_VALUE"""),"Lezgian")</f>
        <v>Lezgian</v>
      </c>
      <c r="S14" s="23" t="str">
        <f>IFERROR(__xludf.DUMMYFUNCTION("""COMPUTED_VALUE"""),"Lezgian")</f>
        <v>Lezgian</v>
      </c>
      <c r="T14" s="23" t="str">
        <f>IFERROR(__xludf.DUMMYFUNCTION("""COMPUTED_VALUE"""),"Jabin")</f>
        <v>Jabin</v>
      </c>
    </row>
    <row r="15">
      <c r="E15" s="23">
        <f>IFERROR(__xludf.DUMMYFUNCTION("""COMPUTED_VALUE"""),501.0)</f>
        <v>501</v>
      </c>
      <c r="F15" s="23" t="str">
        <f>IFERROR(__xludf.DUMMYFUNCTION("""COMPUTED_VALUE"""),"cheshirization, assimilation")</f>
        <v>cheshirization, assimilation</v>
      </c>
      <c r="G15" s="23" t="str">
        <f>IFERROR(__xludf.DUMMYFUNCTION("""COMPUTED_VALUE"""),"cheshirization-nasalization")</f>
        <v>cheshirization-nasalization</v>
      </c>
      <c r="H15" s="23" t="str">
        <f>IFERROR(__xludf.DUMMYFUNCTION("""COMPUTED_VALUE"""),"[-con; -nasal]")</f>
        <v>[-con; -nasal]</v>
      </c>
      <c r="I15" s="23" t="str">
        <f>IFERROR(__xludf.DUMMYFUNCTION("""COMPUTED_VALUE"""),"[+nasal]")</f>
        <v>[+nasal]</v>
      </c>
      <c r="J15" s="23" t="str">
        <f>IFERROR(__xludf.DUMMYFUNCTION("""COMPUTED_VALUE"""),"/ _#")</f>
        <v>/ _#</v>
      </c>
      <c r="K15" s="23" t="str">
        <f>IFERROR(__xludf.DUMMYFUNCTION("""COMPUTED_VALUE"""),"after 500")</f>
        <v>after 500</v>
      </c>
      <c r="L15" s="23" t="str">
        <f>IFERROR(__xludf.DUMMYFUNCTION("""COMPUTED_VALUE"""),"&gt;")</f>
        <v>&gt;</v>
      </c>
      <c r="M15" s="23"/>
      <c r="N15" s="23" t="str">
        <f>IFERROR(__xludf.DUMMYFUNCTION("""COMPUTED_VALUE"""),"‘’ &gt; ‘’")</f>
        <v>‘’ &gt; ‘’</v>
      </c>
      <c r="O15" s="23"/>
      <c r="P15" s="23" t="str">
        <f>IFERROR(__xludf.DUMMYFUNCTION("""COMPUTED_VALUE"""),"(Ganieva 2007)")</f>
        <v>(Ganieva 2007)</v>
      </c>
      <c r="Q15" s="23">
        <f>IFERROR(__xludf.DUMMYFUNCTION("""COMPUTED_VALUE"""),18.0)</f>
        <v>18</v>
      </c>
      <c r="R15" s="23" t="str">
        <f>IFERROR(__xludf.DUMMYFUNCTION("""COMPUTED_VALUE"""),"Lezgian")</f>
        <v>Lezgian</v>
      </c>
      <c r="S15" s="23" t="str">
        <f>IFERROR(__xludf.DUMMYFUNCTION("""COMPUTED_VALUE"""),"Lezgian")</f>
        <v>Lezgian</v>
      </c>
      <c r="T15" s="23" t="str">
        <f>IFERROR(__xludf.DUMMYFUNCTION("""COMPUTED_VALUE"""),"Jabin")</f>
        <v>Jabin</v>
      </c>
    </row>
    <row r="16">
      <c r="E16" s="23">
        <f>IFERROR(__xludf.DUMMYFUNCTION("""COMPUTED_VALUE"""),502.0)</f>
        <v>502</v>
      </c>
      <c r="F16" s="23" t="str">
        <f>IFERROR(__xludf.DUMMYFUNCTION("""COMPUTED_VALUE"""),"cheshirization, assimilation")</f>
        <v>cheshirization, assimilation</v>
      </c>
      <c r="G16" s="23" t="str">
        <f>IFERROR(__xludf.DUMMYFUNCTION("""COMPUTED_VALUE"""),"cheshirization-nasalization")</f>
        <v>cheshirization-nasalization</v>
      </c>
      <c r="H16" s="23" t="str">
        <f>IFERROR(__xludf.DUMMYFUNCTION("""COMPUTED_VALUE"""),"[-con; -nasal]")</f>
        <v>[-con; -nasal]</v>
      </c>
      <c r="I16" s="23" t="str">
        <f>IFERROR(__xludf.DUMMYFUNCTION("""COMPUTED_VALUE"""),"[+nasal]")</f>
        <v>[+nasal]</v>
      </c>
      <c r="J16" s="23" t="str">
        <f>IFERROR(__xludf.DUMMYFUNCTION("""COMPUTED_VALUE"""),"/ _")</f>
        <v>/ _</v>
      </c>
      <c r="K16" s="23" t="str">
        <f>IFERROR(__xludf.DUMMYFUNCTION("""COMPUTED_VALUE"""),"after 500")</f>
        <v>after 500</v>
      </c>
      <c r="L16" s="23" t="str">
        <f>IFERROR(__xludf.DUMMYFUNCTION("""COMPUTED_VALUE"""),"&gt;")</f>
        <v>&gt;</v>
      </c>
      <c r="M16" s="23"/>
      <c r="N16" s="23" t="str">
        <f>IFERROR(__xludf.DUMMYFUNCTION("""COMPUTED_VALUE"""),"‘’ &gt; ‘’")</f>
        <v>‘’ &gt; ‘’</v>
      </c>
      <c r="O16" s="23"/>
      <c r="P16" s="23" t="str">
        <f>IFERROR(__xludf.DUMMYFUNCTION("""COMPUTED_VALUE"""),"(Ganieva 2007)")</f>
        <v>(Ganieva 2007)</v>
      </c>
      <c r="Q16" s="23">
        <f>IFERROR(__xludf.DUMMYFUNCTION("""COMPUTED_VALUE"""),18.0)</f>
        <v>18</v>
      </c>
      <c r="R16" s="23" t="str">
        <f>IFERROR(__xludf.DUMMYFUNCTION("""COMPUTED_VALUE"""),"Lezgian")</f>
        <v>Lezgian</v>
      </c>
      <c r="S16" s="23" t="str">
        <f>IFERROR(__xludf.DUMMYFUNCTION("""COMPUTED_VALUE"""),"Lezgian")</f>
        <v>Lezgian</v>
      </c>
      <c r="T16" s="23" t="str">
        <f>IFERROR(__xludf.DUMMYFUNCTION("""COMPUTED_VALUE"""),"Jabin")</f>
        <v>Jabin</v>
      </c>
    </row>
    <row r="19">
      <c r="E19" s="24" t="s">
        <v>1788</v>
      </c>
    </row>
    <row r="21">
      <c r="E21" s="25" t="s">
        <v>1786</v>
      </c>
    </row>
    <row r="22">
      <c r="E22" s="25" t="s">
        <v>1787</v>
      </c>
    </row>
  </sheetData>
  <mergeCells count="1">
    <mergeCell ref="E19:G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5"/>
    <col customWidth="1" min="6" max="6" width="9.88"/>
    <col customWidth="1" min="7" max="7" width="5.63"/>
    <col customWidth="1" min="8" max="8" width="8.0"/>
    <col customWidth="1" min="9" max="9" width="7.88"/>
    <col customWidth="1" min="10" max="10" width="15.75"/>
    <col customWidth="1" min="11" max="11" width="4.38"/>
    <col customWidth="1" min="12" max="12" width="21.13"/>
    <col customWidth="1" min="13" max="13" width="5.88"/>
    <col customWidth="1" min="14" max="14" width="8.5"/>
    <col customWidth="1" min="15" max="15" width="6.25"/>
    <col customWidth="1" min="16" max="16" width="17.75"/>
    <col customWidth="1" min="17" max="17" width="8.38"/>
    <col customWidth="1" min="18" max="18" width="8.88"/>
  </cols>
  <sheetData>
    <row r="1">
      <c r="H1" s="26"/>
      <c r="I1" s="26"/>
    </row>
    <row r="2">
      <c r="H2" s="26"/>
      <c r="I2" s="26"/>
    </row>
    <row r="3">
      <c r="H3" s="26"/>
      <c r="I3" s="26"/>
    </row>
    <row r="4">
      <c r="E4" s="2" t="s">
        <v>0</v>
      </c>
      <c r="F4" s="2" t="s">
        <v>1</v>
      </c>
      <c r="G4" s="2" t="s">
        <v>1784</v>
      </c>
      <c r="H4" s="27" t="s">
        <v>3</v>
      </c>
      <c r="I4" s="27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REGEXMATCH(languages!G3:G682, ""b-to-m assimilation""))"),87.0)</f>
        <v>87</v>
      </c>
      <c r="F5" s="23" t="str">
        <f>IFERROR(__xludf.DUMMYFUNCTION("""COMPUTED_VALUE"""),"assimilation")</f>
        <v>assimilation</v>
      </c>
      <c r="G5" s="23" t="str">
        <f>IFERROR(__xludf.DUMMYFUNCTION("""COMPUTED_VALUE"""),"b-to-m assimilation")</f>
        <v>b-to-m assimilation</v>
      </c>
      <c r="H5" s="26" t="str">
        <f>IFERROR(__xludf.DUMMYFUNCTION("""COMPUTED_VALUE"""),"b")</f>
        <v>b</v>
      </c>
      <c r="I5" s="26" t="str">
        <f>IFERROR(__xludf.DUMMYFUNCTION("""COMPUTED_VALUE"""),"m")</f>
        <v>m</v>
      </c>
      <c r="J5" s="23" t="str">
        <f>IFERROR(__xludf.DUMMYFUNCTION("""COMPUTED_VALUE"""),"/ m(V) _")</f>
        <v>/ m(V) _</v>
      </c>
      <c r="K5" s="23" t="str">
        <f>IFERROR(__xludf.DUMMYFUNCTION("""COMPUTED_VALUE"""),"-")</f>
        <v>-</v>
      </c>
      <c r="L5" s="23" t="str">
        <f>IFERROR(__xludf.DUMMYFUNCTION("""COMPUTED_VALUE"""),"mV-b-ilc-adi &gt; mi-m-ilc-adi")</f>
        <v>mV-b-ilc-adi &gt; mi-m-ilc-adi</v>
      </c>
      <c r="M5" s="23" t="str">
        <f>IFERROR(__xludf.DUMMYFUNCTION("""COMPUTED_VALUE"""),"NEGVOL-HPL-sell:IPFV-PROH")</f>
        <v>NEGVOL-HPL-sell:IPFV-PROH</v>
      </c>
      <c r="N5" s="23" t="str">
        <f>IFERROR(__xludf.DUMMYFUNCTION("""COMPUTED_VALUE"""),"‘don’t sell them (humans)’")</f>
        <v>‘don’t sell them (humans)’</v>
      </c>
      <c r="O5" s="23" t="str">
        <f>IFERROR(__xludf.DUMMYFUNCTION("""COMPUTED_VALUE"""),"The gender marker b- assimilates to the nasality of the preceding NEGVOL marker mV-")</f>
        <v>The gender marker b- assimilates to the nasality of the preceding NEGVOL marker mV-</v>
      </c>
      <c r="P5" s="23" t="str">
        <f>IFERROR(__xludf.DUMMYFUNCTION("""COMPUTED_VALUE"""),"(Daniel, Dobrushina, and Ganenkov, 2019)")</f>
        <v>(Daniel, Dobrushina, and Ganenkov, 2019)</v>
      </c>
      <c r="Q5" s="23">
        <f>IFERROR(__xludf.DUMMYFUNCTION("""COMPUTED_VALUE"""),28.0)</f>
        <v>28</v>
      </c>
      <c r="R5" s="23" t="str">
        <f>IFERROR(__xludf.DUMMYFUNCTION("""COMPUTED_VALUE"""),"Megeb")</f>
        <v>Megeb</v>
      </c>
      <c r="S5" s="23" t="str">
        <f>IFERROR(__xludf.DUMMYFUNCTION("""COMPUTED_VALUE"""),"Dargwa")</f>
        <v>Dargwa</v>
      </c>
      <c r="T5" s="23" t="str">
        <f>IFERROR(__xludf.DUMMYFUNCTION("""COMPUTED_VALUE"""),"Mehweb")</f>
        <v>Mehweb</v>
      </c>
    </row>
    <row r="6">
      <c r="E6" s="23">
        <f>IFERROR(__xludf.DUMMYFUNCTION("""COMPUTED_VALUE"""),107.0)</f>
        <v>107</v>
      </c>
      <c r="F6" s="23" t="str">
        <f>IFERROR(__xludf.DUMMYFUNCTION("""COMPUTED_VALUE"""),"assimilation")</f>
        <v>assimilation</v>
      </c>
      <c r="G6" s="23" t="str">
        <f>IFERROR(__xludf.DUMMYFUNCTION("""COMPUTED_VALUE"""),"b-to-m assimilation")</f>
        <v>b-to-m assimilation</v>
      </c>
      <c r="H6" s="26" t="str">
        <f>IFERROR(__xludf.DUMMYFUNCTION("""COMPUTED_VALUE"""),"b")</f>
        <v>b</v>
      </c>
      <c r="I6" s="26" t="str">
        <f>IFERROR(__xludf.DUMMYFUNCTION("""COMPUTED_VALUE"""),"m")</f>
        <v>m</v>
      </c>
      <c r="J6" s="23" t="str">
        <f>IFERROR(__xludf.DUMMYFUNCTION("""COMPUTED_VALUE"""),"/ _m")</f>
        <v>/ _m</v>
      </c>
      <c r="K6" s="23" t="str">
        <f>IFERROR(__xludf.DUMMYFUNCTION("""COMPUTED_VALUE"""),"-")</f>
        <v>-</v>
      </c>
      <c r="L6" s="23" t="str">
        <f>IFERROR(__xludf.DUMMYFUNCTION("""COMPUTED_VALUE"""),"ωab-muda &gt; ωam-muda")</f>
        <v>ωab-muda &gt; ωam-muda</v>
      </c>
      <c r="M6" s="23" t="str">
        <f>IFERROR(__xludf.DUMMYFUNCTION("""COMPUTED_VALUE"""),"three-corner")</f>
        <v>three-corner</v>
      </c>
      <c r="N6" s="23" t="str">
        <f>IFERROR(__xludf.DUMMYFUNCTION("""COMPUTED_VALUE"""),"‘headscarf’")</f>
        <v>‘headscarf’</v>
      </c>
      <c r="O6" s="23"/>
      <c r="P6" s="23" t="str">
        <f>IFERROR(__xludf.DUMMYFUNCTION("""COMPUTED_VALUE"""),"(Magometov, 1963)")</f>
        <v>(Magometov, 1963)</v>
      </c>
      <c r="Q6" s="23">
        <f>IFERROR(__xludf.DUMMYFUNCTION("""COMPUTED_VALUE"""),52.0)</f>
        <v>52</v>
      </c>
      <c r="R6" s="23" t="str">
        <f>IFERROR(__xludf.DUMMYFUNCTION("""COMPUTED_VALUE"""),"Kubachi")</f>
        <v>Kubachi</v>
      </c>
      <c r="S6" s="23" t="str">
        <f>IFERROR(__xludf.DUMMYFUNCTION("""COMPUTED_VALUE"""),"Dargwa")</f>
        <v>Dargwa</v>
      </c>
      <c r="T6" s="23" t="str">
        <f>IFERROR(__xludf.DUMMYFUNCTION("""COMPUTED_VALUE"""),"Kubachi")</f>
        <v>Kubachi</v>
      </c>
    </row>
    <row r="7">
      <c r="E7" s="23">
        <f>IFERROR(__xludf.DUMMYFUNCTION("""COMPUTED_VALUE"""),150.0)</f>
        <v>150</v>
      </c>
      <c r="F7" s="23" t="str">
        <f>IFERROR(__xludf.DUMMYFUNCTION("""COMPUTED_VALUE"""),"assimilation")</f>
        <v>assimilation</v>
      </c>
      <c r="G7" s="23" t="str">
        <f>IFERROR(__xludf.DUMMYFUNCTION("""COMPUTED_VALUE"""),"b-to-m assimilation")</f>
        <v>b-to-m assimilation</v>
      </c>
      <c r="H7" s="26" t="str">
        <f>IFERROR(__xludf.DUMMYFUNCTION("""COMPUTED_VALUE"""),"b")</f>
        <v>b</v>
      </c>
      <c r="I7" s="26" t="str">
        <f>IFERROR(__xludf.DUMMYFUNCTION("""COMPUTED_VALUE"""),"m")</f>
        <v>m</v>
      </c>
      <c r="J7" s="23" t="str">
        <f>IFERROR(__xludf.DUMMYFUNCTION("""COMPUTED_VALUE"""),"/ _ [-con; +nasal]")</f>
        <v>/ _ [-con; +nasal]</v>
      </c>
      <c r="K7" s="23" t="str">
        <f>IFERROR(__xludf.DUMMYFUNCTION("""COMPUTED_VALUE"""),"-")</f>
        <v>-</v>
      </c>
      <c r="L7" s="23" t="str">
        <f>IFERROR(__xludf.DUMMYFUNCTION("""COMPUTED_VALUE"""),"-oⁿkʼ- &gt; m-okʼ-a ")</f>
        <v>-oⁿkʼ- &gt; m-okʼ-a </v>
      </c>
      <c r="M7" s="23" t="str">
        <f>IFERROR(__xludf.DUMMYFUNCTION("""COMPUTED_VALUE"""),"go &gt; HPL/III-go-INF")</f>
        <v>go &gt; HPL/III-go-INF</v>
      </c>
      <c r="N7" s="23" t="str">
        <f>IFERROR(__xludf.DUMMYFUNCTION("""COMPUTED_VALUE"""),"‘’")</f>
        <v>‘’</v>
      </c>
      <c r="O7" s="23" t="str">
        <f>IFERROR(__xludf.DUMMYFUNCTION("""COMPUTED_VALUE"""),"gender-number prefixes b - and l - have the allomorphs m- and n - before a verb stem beginning lexically with a nasalized vowel")</f>
        <v>gender-number prefixes b - and l - have the allomorphs m- and n - before a verb stem beginning lexically with a nasalized vowel</v>
      </c>
      <c r="P7" s="23" t="str">
        <f>IFERROR(__xludf.DUMMYFUNCTION("""COMPUTED_VALUE"""),"(Khalilova, 2009)")</f>
        <v>(Khalilova, 2009)</v>
      </c>
      <c r="Q7" s="23">
        <f>IFERROR(__xludf.DUMMYFUNCTION("""COMPUTED_VALUE"""),30.0)</f>
        <v>30</v>
      </c>
      <c r="R7" s="23" t="str">
        <f>IFERROR(__xludf.DUMMYFUNCTION("""COMPUTED_VALUE"""),"Xvarshi")</f>
        <v>Xvarshi</v>
      </c>
      <c r="S7" s="23" t="str">
        <f>IFERROR(__xludf.DUMMYFUNCTION("""COMPUTED_VALUE"""),"Khwarshi")</f>
        <v>Khwarshi</v>
      </c>
      <c r="T7" s="23" t="str">
        <f>IFERROR(__xludf.DUMMYFUNCTION("""COMPUTED_VALUE"""),"Kwantlada")</f>
        <v>Kwantlada</v>
      </c>
    </row>
    <row r="8">
      <c r="E8" s="23">
        <f>IFERROR(__xludf.DUMMYFUNCTION("""COMPUTED_VALUE"""),277.0)</f>
        <v>277</v>
      </c>
      <c r="F8" s="23" t="str">
        <f>IFERROR(__xludf.DUMMYFUNCTION("""COMPUTED_VALUE"""),"assimilation")</f>
        <v>assimilation</v>
      </c>
      <c r="G8" s="23" t="str">
        <f>IFERROR(__xludf.DUMMYFUNCTION("""COMPUTED_VALUE"""),"b-to-m assimilation")</f>
        <v>b-to-m assimilation</v>
      </c>
      <c r="H8" s="26" t="str">
        <f>IFERROR(__xludf.DUMMYFUNCTION("""COMPUTED_VALUE"""),"п")</f>
        <v>п</v>
      </c>
      <c r="I8" s="26" t="str">
        <f>IFERROR(__xludf.DUMMYFUNCTION("""COMPUTED_VALUE"""),"м")</f>
        <v>м</v>
      </c>
      <c r="J8" s="23" t="str">
        <f>IFERROR(__xludf.DUMMYFUNCTION("""COMPUTED_VALUE"""),"/ _м")</f>
        <v>/ _м</v>
      </c>
      <c r="K8" s="23" t="str">
        <f>IFERROR(__xludf.DUMMYFUNCTION("""COMPUTED_VALUE"""),"-")</f>
        <v>-</v>
      </c>
      <c r="L8" s="23" t="str">
        <f>IFERROR(__xludf.DUMMYFUNCTION("""COMPUTED_VALUE"""),"тупмо &gt; туммо")</f>
        <v>тупмо &gt; туммо</v>
      </c>
      <c r="M8" s="23"/>
      <c r="N8" s="23" t="str">
        <f>IFERROR(__xludf.DUMMYFUNCTION("""COMPUTED_VALUE"""),"‘shotgun’")</f>
        <v>‘shotgun’</v>
      </c>
      <c r="O8" s="23"/>
      <c r="P8" s="23" t="str">
        <f>IFERROR(__xludf.DUMMYFUNCTION("""COMPUTED_VALUE"""),"(Abdulaev, Khalilov, 2023)")</f>
        <v>(Abdulaev, Khalilov, 2023)</v>
      </c>
      <c r="Q8" s="23">
        <f>IFERROR(__xludf.DUMMYFUNCTION("""COMPUTED_VALUE"""),430.0)</f>
        <v>430</v>
      </c>
      <c r="R8" s="23" t="str">
        <f>IFERROR(__xludf.DUMMYFUNCTION("""COMPUTED_VALUE"""),"Tsez")</f>
        <v>Tsez</v>
      </c>
      <c r="S8" s="23" t="str">
        <f>IFERROR(__xludf.DUMMYFUNCTION("""COMPUTED_VALUE"""),"Tsez")</f>
        <v>Tsez</v>
      </c>
      <c r="T8" s="23" t="str">
        <f>IFERROR(__xludf.DUMMYFUNCTION("""COMPUTED_VALUE"""),"Tsez")</f>
        <v>Tsez</v>
      </c>
    </row>
    <row r="9">
      <c r="E9" s="23">
        <f>IFERROR(__xludf.DUMMYFUNCTION("""COMPUTED_VALUE"""),287.0)</f>
        <v>287</v>
      </c>
      <c r="F9" s="23" t="str">
        <f>IFERROR(__xludf.DUMMYFUNCTION("""COMPUTED_VALUE"""),"assimilation")</f>
        <v>assimilation</v>
      </c>
      <c r="G9" s="23" t="str">
        <f>IFERROR(__xludf.DUMMYFUNCTION("""COMPUTED_VALUE"""),"b-to-m assimilation")</f>
        <v>b-to-m assimilation</v>
      </c>
      <c r="H9" s="26" t="str">
        <f>IFERROR(__xludf.DUMMYFUNCTION("""COMPUTED_VALUE"""),"б")</f>
        <v>б</v>
      </c>
      <c r="I9" s="26" t="str">
        <f>IFERROR(__xludf.DUMMYFUNCTION("""COMPUTED_VALUE"""),"м")</f>
        <v>м</v>
      </c>
      <c r="J9" s="23" t="str">
        <f>IFERROR(__xludf.DUMMYFUNCTION("""COMPUTED_VALUE"""),"/ _ + м")</f>
        <v>/ _ + м</v>
      </c>
      <c r="K9" s="23" t="str">
        <f>IFERROR(__xludf.DUMMYFUNCTION("""COMPUTED_VALUE"""),"-")</f>
        <v>-</v>
      </c>
      <c r="L9" s="23" t="str">
        <f>IFERROR(__xludf.DUMMYFUNCTION("""COMPUTED_VALUE"""),"диб милки &gt; дим милки")</f>
        <v>диб милки &gt; дим милки</v>
      </c>
      <c r="M9" s="23" t="str">
        <f>IFERROR(__xludf.DUMMYFUNCTION("""COMPUTED_VALUE"""),"my house")</f>
        <v>my house</v>
      </c>
      <c r="N9" s="23" t="str">
        <f>IFERROR(__xludf.DUMMYFUNCTION("""COMPUTED_VALUE"""),"‘my house’")</f>
        <v>‘my house’</v>
      </c>
      <c r="O9" s="23"/>
      <c r="P9" s="23" t="str">
        <f>IFERROR(__xludf.DUMMYFUNCTION("""COMPUTED_VALUE"""),"(Salimov, 2010)")</f>
        <v>(Salimov, 2010)</v>
      </c>
      <c r="Q9" s="23">
        <f>IFERROR(__xludf.DUMMYFUNCTION("""COMPUTED_VALUE"""),18.0)</f>
        <v>18</v>
      </c>
      <c r="R9" s="23" t="str">
        <f>IFERROR(__xludf.DUMMYFUNCTION("""COMPUTED_VALUE"""),"Gagatl")</f>
        <v>Gagatl</v>
      </c>
      <c r="S9" s="23" t="str">
        <f>IFERROR(__xludf.DUMMYFUNCTION("""COMPUTED_VALUE"""),"Andi")</f>
        <v>Andi</v>
      </c>
      <c r="T9" s="23" t="str">
        <f>IFERROR(__xludf.DUMMYFUNCTION("""COMPUTED_VALUE"""),"Gagatli")</f>
        <v>Gagatli</v>
      </c>
    </row>
    <row r="10">
      <c r="E10" s="23">
        <f>IFERROR(__xludf.DUMMYFUNCTION("""COMPUTED_VALUE"""),319.0)</f>
        <v>319</v>
      </c>
      <c r="F10" s="23" t="str">
        <f>IFERROR(__xludf.DUMMYFUNCTION("""COMPUTED_VALUE"""),"assimilation")</f>
        <v>assimilation</v>
      </c>
      <c r="G10" s="23" t="str">
        <f>IFERROR(__xludf.DUMMYFUNCTION("""COMPUTED_VALUE"""),"b-to-m assimilation")</f>
        <v>b-to-m assimilation</v>
      </c>
      <c r="H10" s="26" t="str">
        <f>IFERROR(__xludf.DUMMYFUNCTION("""COMPUTED_VALUE"""),"б")</f>
        <v>б</v>
      </c>
      <c r="I10" s="26" t="str">
        <f>IFERROR(__xludf.DUMMYFUNCTION("""COMPUTED_VALUE"""),"м")</f>
        <v>м</v>
      </c>
      <c r="J10" s="23" t="str">
        <f>IFERROR(__xludf.DUMMYFUNCTION("""COMPUTED_VALUE"""),"/ _ + [-con; +nasal]")</f>
        <v>/ _ + [-con; +nasal]</v>
      </c>
      <c r="K10" s="23" t="str">
        <f>IFERROR(__xludf.DUMMYFUNCTION("""COMPUTED_VALUE"""),"-")</f>
        <v>-</v>
      </c>
      <c r="L10" s="23" t="str">
        <f>IFERROR(__xludf.DUMMYFUNCTION("""COMPUTED_VALUE"""),"биⁿси &gt; миси")</f>
        <v>биⁿси &gt; миси</v>
      </c>
      <c r="M10" s="23"/>
      <c r="N10" s="23" t="str">
        <f>IFERROR(__xludf.DUMMYFUNCTION("""COMPUTED_VALUE"""),"‘to find’")</f>
        <v>‘to find’</v>
      </c>
      <c r="O10" s="23"/>
      <c r="P10" s="23" t="str">
        <f>IFERROR(__xludf.DUMMYFUNCTION("""COMPUTED_VALUE"""),"(Alekseev, Azaev, 2019)")</f>
        <v>(Alekseev, Azaev, 2019)</v>
      </c>
      <c r="Q10" s="23">
        <f>IFERROR(__xludf.DUMMYFUNCTION("""COMPUTED_VALUE"""),521.0)</f>
        <v>521</v>
      </c>
      <c r="R10" s="23" t="str">
        <f>IFERROR(__xludf.DUMMYFUNCTION("""COMPUTED_VALUE"""),"Botlikh")</f>
        <v>Botlikh</v>
      </c>
      <c r="S10" s="23" t="str">
        <f>IFERROR(__xludf.DUMMYFUNCTION("""COMPUTED_VALUE"""),"Botlikh")</f>
        <v>Botlikh</v>
      </c>
      <c r="T10" s="23" t="str">
        <f>IFERROR(__xludf.DUMMYFUNCTION("""COMPUTED_VALUE"""),"Botlikh")</f>
        <v>Botlikh</v>
      </c>
    </row>
    <row r="11">
      <c r="E11" s="23">
        <f>IFERROR(__xludf.DUMMYFUNCTION("""COMPUTED_VALUE"""),332.0)</f>
        <v>332</v>
      </c>
      <c r="F11" s="23" t="str">
        <f>IFERROR(__xludf.DUMMYFUNCTION("""COMPUTED_VALUE"""),"assimilation")</f>
        <v>assimilation</v>
      </c>
      <c r="G11" s="23" t="str">
        <f>IFERROR(__xludf.DUMMYFUNCTION("""COMPUTED_VALUE"""),"b-to-m assimilation")</f>
        <v>b-to-m assimilation</v>
      </c>
      <c r="H11" s="26" t="str">
        <f>IFERROR(__xludf.DUMMYFUNCTION("""COMPUTED_VALUE"""),"b")</f>
        <v>b</v>
      </c>
      <c r="I11" s="26" t="str">
        <f>IFERROR(__xludf.DUMMYFUNCTION("""COMPUTED_VALUE"""),"m")</f>
        <v>m</v>
      </c>
      <c r="J11" s="23" t="str">
        <f>IFERROR(__xludf.DUMMYFUNCTION("""COMPUTED_VALUE"""),"/ [-con; +nasal] _")</f>
        <v>/ [-con; +nasal] _</v>
      </c>
      <c r="K11" s="23" t="str">
        <f>IFERROR(__xludf.DUMMYFUNCTION("""COMPUTED_VALUE"""),"-")</f>
        <v>-</v>
      </c>
      <c r="L11" s="23" t="str">
        <f>IFERROR(__xludf.DUMMYFUNCTION("""COMPUTED_VALUE""")," cʼaXXiⁿ + b=o &gt;  cʼaXXi=m=o")</f>
        <v> cʼaXXiⁿ + b=o &gt;  cʼaXXi=m=o</v>
      </c>
      <c r="M11" s="23" t="str">
        <f>IFERROR(__xludf.DUMMYFUNCTION("""COMPUTED_VALUE"""),"seek=N=CONV")</f>
        <v>seek=N=CONV</v>
      </c>
      <c r="N11" s="23" t="str">
        <f>IFERROR(__xludf.DUMMYFUNCTION("""COMPUTED_VALUE"""),"‘’ &gt; ‘’")</f>
        <v>‘’ &gt; ‘’</v>
      </c>
      <c r="O11" s="23"/>
      <c r="P11" s="23" t="str">
        <f>IFERROR(__xludf.DUMMYFUNCTION("""COMPUTED_VALUE"""),"(Kibrik, Kazenin, Ljutikova, and Tatevosov, 2001)")</f>
        <v>(Kibrik, Kazenin, Ljutikova, and Tatevosov, 2001)</v>
      </c>
      <c r="Q11" s="23">
        <f>IFERROR(__xludf.DUMMYFUNCTION("""COMPUTED_VALUE"""),52.0)</f>
        <v>52</v>
      </c>
      <c r="R11" s="23" t="str">
        <f>IFERROR(__xludf.DUMMYFUNCTION("""COMPUTED_VALUE"""),"Kvanada-Gimerso")</f>
        <v>Kvanada-Gimerso</v>
      </c>
      <c r="S11" s="23" t="str">
        <f>IFERROR(__xludf.DUMMYFUNCTION("""COMPUTED_VALUE"""),"Bagvalal")</f>
        <v>Bagvalal</v>
      </c>
      <c r="T11" s="23" t="str">
        <f>IFERROR(__xludf.DUMMYFUNCTION("""COMPUTED_VALUE"""),"Kvanada")</f>
        <v>Kvanada</v>
      </c>
    </row>
    <row r="12">
      <c r="E12" s="23">
        <f>IFERROR(__xludf.DUMMYFUNCTION("""COMPUTED_VALUE"""),438.0)</f>
        <v>438</v>
      </c>
      <c r="F12" s="23" t="str">
        <f>IFERROR(__xludf.DUMMYFUNCTION("""COMPUTED_VALUE"""),"assimilation")</f>
        <v>assimilation</v>
      </c>
      <c r="G12" s="23" t="str">
        <f>IFERROR(__xludf.DUMMYFUNCTION("""COMPUTED_VALUE"""),"n-assimilation, b-to-m assimilation")</f>
        <v>n-assimilation, b-to-m assimilation</v>
      </c>
      <c r="H12" s="26" t="str">
        <f>IFERROR(__xludf.DUMMYFUNCTION("""COMPUTED_VALUE"""),"нб")</f>
        <v>нб</v>
      </c>
      <c r="I12" s="26" t="str">
        <f>IFERROR(__xludf.DUMMYFUNCTION("""COMPUTED_VALUE"""),"мм")</f>
        <v>мм</v>
      </c>
      <c r="J12" s="23" t="str">
        <f>IFERROR(__xludf.DUMMYFUNCTION("""COMPUTED_VALUE"""),"/ _")</f>
        <v>/ _</v>
      </c>
      <c r="K12" s="23" t="str">
        <f>IFERROR(__xludf.DUMMYFUNCTION("""COMPUTED_VALUE"""),"-")</f>
        <v>-</v>
      </c>
      <c r="L12" s="23" t="str">
        <f>IFERROR(__xludf.DUMMYFUNCTION("""COMPUTED_VALUE"""),"&gt;")</f>
        <v>&gt;</v>
      </c>
      <c r="M12" s="23"/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IFERROR(__xludf.DUMMYFUNCTION("""COMPUTED_VALUE"""),"(Ibragimov and Nurmamedov, 2010)")</f>
        <v>(Ibragimov and Nurmamedov, 2010)</v>
      </c>
      <c r="Q12" s="23">
        <f>IFERROR(__xludf.DUMMYFUNCTION("""COMPUTED_VALUE"""),507.0)</f>
        <v>507</v>
      </c>
      <c r="R12" s="23" t="str">
        <f>IFERROR(__xludf.DUMMYFUNCTION("""COMPUTED_VALUE"""),"Tsakhur")</f>
        <v>Tsakhur</v>
      </c>
      <c r="S12" s="23" t="str">
        <f>IFERROR(__xludf.DUMMYFUNCTION("""COMPUTED_VALUE"""),"Tsakhur")</f>
        <v>Tsakhur</v>
      </c>
      <c r="T12" s="23" t="str">
        <f>IFERROR(__xludf.DUMMYFUNCTION("""COMPUTED_VALUE"""),"Tsakh")</f>
        <v>Tsakh</v>
      </c>
    </row>
    <row r="13">
      <c r="E13" s="23">
        <f>IFERROR(__xludf.DUMMYFUNCTION("""COMPUTED_VALUE"""),521.0)</f>
        <v>521</v>
      </c>
      <c r="F13" s="23" t="str">
        <f>IFERROR(__xludf.DUMMYFUNCTION("""COMPUTED_VALUE"""),"assimilation")</f>
        <v>assimilation</v>
      </c>
      <c r="G13" s="23" t="str">
        <f>IFERROR(__xludf.DUMMYFUNCTION("""COMPUTED_VALUE"""),"b-to-m assimilation")</f>
        <v>b-to-m assimilation</v>
      </c>
      <c r="H13" s="26" t="str">
        <f>IFERROR(__xludf.DUMMYFUNCTION("""COMPUTED_VALUE"""),"б")</f>
        <v>б</v>
      </c>
      <c r="I13" s="26" t="str">
        <f>IFERROR(__xludf.DUMMYFUNCTION("""COMPUTED_VALUE"""),"м")</f>
        <v>м</v>
      </c>
      <c r="J13" s="23" t="str">
        <f>IFERROR(__xludf.DUMMYFUNCTION("""COMPUTED_VALUE"""),"/ _ + н")</f>
        <v>/ _ + н</v>
      </c>
      <c r="K13" s="23" t="str">
        <f>IFERROR(__xludf.DUMMYFUNCTION("""COMPUTED_VALUE"""),"-")</f>
        <v>-</v>
      </c>
      <c r="L13" s="23" t="str">
        <f>IFERROR(__xludf.DUMMYFUNCTION("""COMPUTED_VALUE"""),"бежун-бе &gt; бежуме")</f>
        <v>бежун-бе &gt; бежуме</v>
      </c>
      <c r="M13" s="23"/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IFERROR(__xludf.DUMMYFUNCTION("""COMPUTED_VALUE"""),"(Saidova, 1973)")</f>
        <v>(Saidova, 1973)</v>
      </c>
      <c r="Q13" s="23">
        <f>IFERROR(__xludf.DUMMYFUNCTION("""COMPUTED_VALUE"""),26.0)</f>
        <v>26</v>
      </c>
      <c r="R13" s="23" t="str">
        <f>IFERROR(__xludf.DUMMYFUNCTION("""COMPUTED_VALUE"""),"Godoberi")</f>
        <v>Godoberi</v>
      </c>
      <c r="S13" s="23" t="str">
        <f>IFERROR(__xludf.DUMMYFUNCTION("""COMPUTED_VALUE"""),"Godoberi")</f>
        <v>Godoberi</v>
      </c>
      <c r="T13" s="23" t="str">
        <f>IFERROR(__xludf.DUMMYFUNCTION("""COMPUTED_VALUE"""),"Godoberi")</f>
        <v>Godoberi</v>
      </c>
    </row>
    <row r="14">
      <c r="E14" s="23">
        <f>IFERROR(__xludf.DUMMYFUNCTION("""COMPUTED_VALUE"""),522.0)</f>
        <v>522</v>
      </c>
      <c r="F14" s="23" t="str">
        <f>IFERROR(__xludf.DUMMYFUNCTION("""COMPUTED_VALUE"""),"assimilation")</f>
        <v>assimilation</v>
      </c>
      <c r="G14" s="23" t="str">
        <f>IFERROR(__xludf.DUMMYFUNCTION("""COMPUTED_VALUE"""),"b-to-m assimilation")</f>
        <v>b-to-m assimilation</v>
      </c>
      <c r="H14" s="26" t="str">
        <f>IFERROR(__xludf.DUMMYFUNCTION("""COMPUTED_VALUE"""),"б")</f>
        <v>б</v>
      </c>
      <c r="I14" s="26" t="str">
        <f>IFERROR(__xludf.DUMMYFUNCTION("""COMPUTED_VALUE"""),"м")</f>
        <v>м</v>
      </c>
      <c r="J14" s="23" t="str">
        <f>IFERROR(__xludf.DUMMYFUNCTION("""COMPUTED_VALUE"""),"/ _ + [-con; +nasal]")</f>
        <v>/ _ + [-con; +nasal]</v>
      </c>
      <c r="K14" s="23" t="str">
        <f>IFERROR(__xludf.DUMMYFUNCTION("""COMPUTED_VALUE"""),"-")</f>
        <v>-</v>
      </c>
      <c r="L14" s="23" t="str">
        <f>IFERROR(__xludf.DUMMYFUNCTION("""COMPUTED_VALUE"""),"куⁿйи-бе &gt; куме")</f>
        <v>куⁿйи-бе &gt; куме</v>
      </c>
      <c r="M14" s="23"/>
      <c r="N14" s="23" t="str">
        <f>IFERROR(__xludf.DUMMYFUNCTION("""COMPUTED_VALUE"""),"‘’ &gt; ‘’")</f>
        <v>‘’ &gt; ‘’</v>
      </c>
      <c r="O14" s="23"/>
      <c r="P14" s="23" t="str">
        <f>IFERROR(__xludf.DUMMYFUNCTION("""COMPUTED_VALUE"""),"(Saidova, 1973)")</f>
        <v>(Saidova, 1973)</v>
      </c>
      <c r="Q14" s="23">
        <f>IFERROR(__xludf.DUMMYFUNCTION("""COMPUTED_VALUE"""),26.0)</f>
        <v>26</v>
      </c>
      <c r="R14" s="23" t="str">
        <f>IFERROR(__xludf.DUMMYFUNCTION("""COMPUTED_VALUE"""),"Godoberi")</f>
        <v>Godoberi</v>
      </c>
      <c r="S14" s="23" t="str">
        <f>IFERROR(__xludf.DUMMYFUNCTION("""COMPUTED_VALUE"""),"Godoberi")</f>
        <v>Godoberi</v>
      </c>
      <c r="T14" s="23" t="str">
        <f>IFERROR(__xludf.DUMMYFUNCTION("""COMPUTED_VALUE"""),"Godoberi")</f>
        <v>Godoberi</v>
      </c>
    </row>
    <row r="15">
      <c r="E15" s="23">
        <f>IFERROR(__xludf.DUMMYFUNCTION("""COMPUTED_VALUE"""),542.0)</f>
        <v>542</v>
      </c>
      <c r="F15" s="23" t="str">
        <f>IFERROR(__xludf.DUMMYFUNCTION("""COMPUTED_VALUE"""),"assimilation")</f>
        <v>assimilation</v>
      </c>
      <c r="G15" s="23" t="str">
        <f>IFERROR(__xludf.DUMMYFUNCTION("""COMPUTED_VALUE"""),"b-to-m assimilation")</f>
        <v>b-to-m assimilation</v>
      </c>
      <c r="H15" s="26" t="str">
        <f>IFERROR(__xludf.DUMMYFUNCTION("""COMPUTED_VALUE"""),"b")</f>
        <v>b</v>
      </c>
      <c r="I15" s="26" t="str">
        <f>IFERROR(__xludf.DUMMYFUNCTION("""COMPUTED_VALUE"""),"m")</f>
        <v>m</v>
      </c>
      <c r="J15" s="23" t="str">
        <f>IFERROR(__xludf.DUMMYFUNCTION("""COMPUTED_VALUE"""),"/ _ + [-con; +nasal]")</f>
        <v>/ _ + [-con; +nasal]</v>
      </c>
      <c r="K15" s="23" t="str">
        <f>IFERROR(__xludf.DUMMYFUNCTION("""COMPUTED_VALUE"""),"-")</f>
        <v>-</v>
      </c>
      <c r="L15" s="23" t="str">
        <f>IFERROR(__xludf.DUMMYFUNCTION("""COMPUTED_VALUE"""),"bučaⁿ &gt; muča")</f>
        <v>bučaⁿ &gt; muča</v>
      </c>
      <c r="M15" s="23"/>
      <c r="N15" s="23" t="str">
        <f>IFERROR(__xludf.DUMMYFUNCTION("""COMPUTED_VALUE"""),"‘’ &gt; ‘’")</f>
        <v>‘’ &gt; ‘’</v>
      </c>
      <c r="O15" s="23"/>
      <c r="P15" s="23" t="str">
        <f>IFERROR(__xludf.DUMMYFUNCTION("""COMPUTED_VALUE"""),"(Magomedbekova, 1971)")</f>
        <v>(Magomedbekova, 1971)</v>
      </c>
      <c r="Q15" s="23">
        <f>IFERROR(__xludf.DUMMYFUNCTION("""COMPUTED_VALUE"""),21.0)</f>
        <v>21</v>
      </c>
      <c r="R15" s="23" t="str">
        <f>IFERROR(__xludf.DUMMYFUNCTION("""COMPUTED_VALUE"""),"Karata")</f>
        <v>Karata</v>
      </c>
      <c r="S15" s="23" t="str">
        <f>IFERROR(__xludf.DUMMYFUNCTION("""COMPUTED_VALUE"""),"Karata")</f>
        <v>Karata</v>
      </c>
      <c r="T15" s="23" t="str">
        <f>IFERROR(__xludf.DUMMYFUNCTION("""COMPUTED_VALUE"""),"Karata")</f>
        <v>Karata</v>
      </c>
    </row>
    <row r="16">
      <c r="E16" s="23">
        <f>IFERROR(__xludf.DUMMYFUNCTION("""COMPUTED_VALUE"""),543.0)</f>
        <v>543</v>
      </c>
      <c r="F16" s="23" t="str">
        <f>IFERROR(__xludf.DUMMYFUNCTION("""COMPUTED_VALUE"""),"assimilation")</f>
        <v>assimilation</v>
      </c>
      <c r="G16" s="23" t="str">
        <f>IFERROR(__xludf.DUMMYFUNCTION("""COMPUTED_VALUE"""),"b-to-m assimilation")</f>
        <v>b-to-m assimilation</v>
      </c>
      <c r="H16" s="26" t="str">
        <f>IFERROR(__xludf.DUMMYFUNCTION("""COMPUTED_VALUE"""),"b")</f>
        <v>b</v>
      </c>
      <c r="I16" s="26" t="str">
        <f>IFERROR(__xludf.DUMMYFUNCTION("""COMPUTED_VALUE"""),"m")</f>
        <v>m</v>
      </c>
      <c r="J16" s="23" t="str">
        <f>IFERROR(__xludf.DUMMYFUNCTION("""COMPUTED_VALUE"""),"/ _ + n")</f>
        <v>/ _ + n</v>
      </c>
      <c r="K16" s="23" t="str">
        <f>IFERROR(__xludf.DUMMYFUNCTION("""COMPUTED_VALUE"""),"-")</f>
        <v>-</v>
      </c>
      <c r="L16" s="23" t="str">
        <f>IFERROR(__xludf.DUMMYFUNCTION("""COMPUTED_VALUE"""),"&gt;")</f>
        <v>&gt;</v>
      </c>
      <c r="M16" s="23"/>
      <c r="N16" s="23" t="str">
        <f>IFERROR(__xludf.DUMMYFUNCTION("""COMPUTED_VALUE"""),"‘’ &gt; ‘’")</f>
        <v>‘’ &gt; ‘’</v>
      </c>
      <c r="O16" s="23"/>
      <c r="P16" s="23" t="str">
        <f>IFERROR(__xludf.DUMMYFUNCTION("""COMPUTED_VALUE"""),"(Magomedbekova, 1971)")</f>
        <v>(Magomedbekova, 1971)</v>
      </c>
      <c r="Q16" s="23">
        <f>IFERROR(__xludf.DUMMYFUNCTION("""COMPUTED_VALUE"""),21.0)</f>
        <v>21</v>
      </c>
      <c r="R16" s="23" t="str">
        <f>IFERROR(__xludf.DUMMYFUNCTION("""COMPUTED_VALUE"""),"Karata")</f>
        <v>Karata</v>
      </c>
      <c r="S16" s="23" t="str">
        <f>IFERROR(__xludf.DUMMYFUNCTION("""COMPUTED_VALUE"""),"Karata")</f>
        <v>Karata</v>
      </c>
      <c r="T16" s="23" t="str">
        <f>IFERROR(__xludf.DUMMYFUNCTION("""COMPUTED_VALUE"""),"Karata")</f>
        <v>Karata</v>
      </c>
    </row>
    <row r="17">
      <c r="E17" s="23">
        <f>IFERROR(__xludf.DUMMYFUNCTION("""COMPUTED_VALUE"""),559.0)</f>
        <v>559</v>
      </c>
      <c r="F17" s="23" t="str">
        <f>IFERROR(__xludf.DUMMYFUNCTION("""COMPUTED_VALUE"""),"assimilation")</f>
        <v>assimilation</v>
      </c>
      <c r="G17" s="23" t="str">
        <f>IFERROR(__xludf.DUMMYFUNCTION("""COMPUTED_VALUE"""),"b-to-m assimilation")</f>
        <v>b-to-m assimilation</v>
      </c>
      <c r="H17" s="26" t="str">
        <f>IFERROR(__xludf.DUMMYFUNCTION("""COMPUTED_VALUE"""),"б")</f>
        <v>б</v>
      </c>
      <c r="I17" s="26" t="str">
        <f>IFERROR(__xludf.DUMMYFUNCTION("""COMPUTED_VALUE"""),"м")</f>
        <v>м</v>
      </c>
      <c r="J17" s="23" t="str">
        <f>IFERROR(__xludf.DUMMYFUNCTION("""COMPUTED_VALUE"""),"/ [-con; +nasal] _")</f>
        <v>/ [-con; +nasal] _</v>
      </c>
      <c r="K17" s="23" t="str">
        <f>IFERROR(__xludf.DUMMYFUNCTION("""COMPUTED_VALUE"""),"-")</f>
        <v>-</v>
      </c>
      <c r="L17" s="23" t="str">
        <f>IFERROR(__xludf.DUMMYFUNCTION("""COMPUTED_VALUE"""),"basaⁿbas:a &gt; basamas:a")</f>
        <v>basaⁿbas:a &gt; basamas:a</v>
      </c>
      <c r="M17" s="23"/>
      <c r="N17" s="23" t="str">
        <f>IFERROR(__xludf.DUMMYFUNCTION("""COMPUTED_VALUE"""),"‘’ &gt; ‘’")</f>
        <v>‘’ &gt; ‘’</v>
      </c>
      <c r="O17" s="23" t="str">
        <f>IFERROR(__xludf.DUMMYFUNCTION("""COMPUTED_VALUE"""),"on morpheme boundaries")</f>
        <v>on morpheme boundaries</v>
      </c>
      <c r="P17" s="23" t="str">
        <f>IFERROR(__xludf.DUMMYFUNCTION("""COMPUTED_VALUE"""),"(Magomedova, 2012)")</f>
        <v>(Magomedova, 2012)</v>
      </c>
      <c r="Q17" s="23">
        <f>IFERROR(__xludf.DUMMYFUNCTION("""COMPUTED_VALUE"""),58.0)</f>
        <v>58</v>
      </c>
      <c r="R17" s="23" t="str">
        <f>IFERROR(__xludf.DUMMYFUNCTION("""COMPUTED_VALUE"""),"Tindi")</f>
        <v>Tindi</v>
      </c>
      <c r="S17" s="23" t="str">
        <f>IFERROR(__xludf.DUMMYFUNCTION("""COMPUTED_VALUE"""),"Tindi")</f>
        <v>Tindi</v>
      </c>
      <c r="T17" s="23" t="str">
        <f>IFERROR(__xludf.DUMMYFUNCTION("""COMPUTED_VALUE"""),"Tindi")</f>
        <v>Tindi</v>
      </c>
    </row>
    <row r="18">
      <c r="E18" s="23">
        <f>IFERROR(__xludf.DUMMYFUNCTION("""COMPUTED_VALUE"""),572.0)</f>
        <v>572</v>
      </c>
      <c r="F18" s="23" t="str">
        <f>IFERROR(__xludf.DUMMYFUNCTION("""COMPUTED_VALUE"""),"assimilation")</f>
        <v>assimilation</v>
      </c>
      <c r="G18" s="23" t="str">
        <f>IFERROR(__xludf.DUMMYFUNCTION("""COMPUTED_VALUE"""),"b-to-m assimilation")</f>
        <v>b-to-m assimilation</v>
      </c>
      <c r="H18" s="26" t="str">
        <f>IFERROR(__xludf.DUMMYFUNCTION("""COMPUTED_VALUE"""),"б")</f>
        <v>б</v>
      </c>
      <c r="I18" s="26" t="str">
        <f>IFERROR(__xludf.DUMMYFUNCTION("""COMPUTED_VALUE"""),"м")</f>
        <v>м</v>
      </c>
      <c r="J18" s="23" t="str">
        <f>IFERROR(__xludf.DUMMYFUNCTION("""COMPUTED_VALUE"""),"/ [-con; +nasal]# + _")</f>
        <v>/ [-con; +nasal]# + _</v>
      </c>
      <c r="K18" s="23" t="str">
        <f>IFERROR(__xludf.DUMMYFUNCTION("""COMPUTED_VALUE"""),"-")</f>
        <v>-</v>
      </c>
      <c r="L18" s="23" t="str">
        <f>IFERROR(__xludf.DUMMYFUNCTION("""COMPUTED_VALUE"""),"&gt;")</f>
        <v>&gt;</v>
      </c>
      <c r="M18" s="23"/>
      <c r="N18" s="23" t="str">
        <f>IFERROR(__xludf.DUMMYFUNCTION("""COMPUTED_VALUE"""),"‘’ &gt; ‘’")</f>
        <v>‘’ &gt; ‘’</v>
      </c>
      <c r="O18" s="23"/>
      <c r="P18" s="23" t="str">
        <f>IFERROR(__xludf.DUMMYFUNCTION("""COMPUTED_VALUE"""),"(Magomedova, 1999)")</f>
        <v>(Magomedova, 1999)</v>
      </c>
      <c r="Q18" s="23">
        <f>IFERROR(__xludf.DUMMYFUNCTION("""COMPUTED_VALUE"""),414.0)</f>
        <v>414</v>
      </c>
      <c r="R18" s="23" t="str">
        <f>IFERROR(__xludf.DUMMYFUNCTION("""COMPUTED_VALUE"""),"Chamalal")</f>
        <v>Chamalal</v>
      </c>
      <c r="S18" s="23" t="str">
        <f>IFERROR(__xludf.DUMMYFUNCTION("""COMPUTED_VALUE"""),"Chamalal")</f>
        <v>Chamalal</v>
      </c>
      <c r="T18" s="23" t="str">
        <f>IFERROR(__xludf.DUMMYFUNCTION("""COMPUTED_VALUE"""),"Lower Gakvari")</f>
        <v>Lower Gakvari</v>
      </c>
    </row>
    <row r="19">
      <c r="E19" s="23">
        <f>IFERROR(__xludf.DUMMYFUNCTION("""COMPUTED_VALUE"""),596.0)</f>
        <v>596</v>
      </c>
      <c r="F19" s="23" t="str">
        <f>IFERROR(__xludf.DUMMYFUNCTION("""COMPUTED_VALUE"""),"assimilation")</f>
        <v>assimilation</v>
      </c>
      <c r="G19" s="23" t="str">
        <f>IFERROR(__xludf.DUMMYFUNCTION("""COMPUTED_VALUE"""),"b-to-m assimilation")</f>
        <v>b-to-m assimilation</v>
      </c>
      <c r="H19" s="26" t="str">
        <f>IFERROR(__xludf.DUMMYFUNCTION("""COMPUTED_VALUE"""),"b")</f>
        <v>b</v>
      </c>
      <c r="I19" s="26" t="str">
        <f>IFERROR(__xludf.DUMMYFUNCTION("""COMPUTED_VALUE"""),"m")</f>
        <v>m</v>
      </c>
      <c r="J19" s="23" t="str">
        <f>IFERROR(__xludf.DUMMYFUNCTION("""COMPUTED_VALUE"""),"/ n _")</f>
        <v>/ n _</v>
      </c>
      <c r="K19" s="23" t="str">
        <f>IFERROR(__xludf.DUMMYFUNCTION("""COMPUTED_VALUE"""),"-")</f>
        <v>-</v>
      </c>
      <c r="L19" s="23" t="str">
        <f>IFERROR(__xludf.DUMMYFUNCTION("""COMPUTED_VALUE"""),"&gt;")</f>
        <v>&gt;</v>
      </c>
      <c r="M19" s="23"/>
      <c r="N19" s="23" t="str">
        <f>IFERROR(__xludf.DUMMYFUNCTION("""COMPUTED_VALUE"""),"‘’ &gt; ‘’")</f>
        <v>‘’ &gt; ‘’</v>
      </c>
      <c r="O19" s="23"/>
      <c r="P19" s="23" t="str">
        <f>IFERROR(__xludf.DUMMYFUNCTION("""COMPUTED_VALUE"""),"(Friedman, 2021)")</f>
        <v>(Friedman, 2021)</v>
      </c>
      <c r="Q19" s="23">
        <f>IFERROR(__xludf.DUMMYFUNCTION("""COMPUTED_VALUE"""),205.0)</f>
        <v>205</v>
      </c>
      <c r="R19" s="23" t="str">
        <f>IFERROR(__xludf.DUMMYFUNCTION("""COMPUTED_VALUE"""),"Lak")</f>
        <v>Lak</v>
      </c>
      <c r="S19" s="23" t="str">
        <f>IFERROR(__xludf.DUMMYFUNCTION("""COMPUTED_VALUE"""),"Lak")</f>
        <v>Lak</v>
      </c>
      <c r="T19" s="23" t="str">
        <f>IFERROR(__xludf.DUMMYFUNCTION("""COMPUTED_VALUE"""),"Standard Lak")</f>
        <v>Standard Lak</v>
      </c>
    </row>
    <row r="20">
      <c r="E20" s="23">
        <f>IFERROR(__xludf.DUMMYFUNCTION("""COMPUTED_VALUE"""),605.0)</f>
        <v>605</v>
      </c>
      <c r="F20" s="23" t="str">
        <f>IFERROR(__xludf.DUMMYFUNCTION("""COMPUTED_VALUE"""),"assimilation")</f>
        <v>assimilation</v>
      </c>
      <c r="G20" s="23" t="str">
        <f>IFERROR(__xludf.DUMMYFUNCTION("""COMPUTED_VALUE"""),"b-to-m assimilation")</f>
        <v>b-to-m assimilation</v>
      </c>
      <c r="H20" s="26" t="str">
        <f>IFERROR(__xludf.DUMMYFUNCTION("""COMPUTED_VALUE"""),"б")</f>
        <v>б</v>
      </c>
      <c r="I20" s="26" t="str">
        <f>IFERROR(__xludf.DUMMYFUNCTION("""COMPUTED_VALUE"""),"м")</f>
        <v>м</v>
      </c>
      <c r="J20" s="23" t="str">
        <f>IFERROR(__xludf.DUMMYFUNCTION("""COMPUTED_VALUE"""),"/ н _")</f>
        <v>/ н _</v>
      </c>
      <c r="K20" s="23" t="str">
        <f>IFERROR(__xludf.DUMMYFUNCTION("""COMPUTED_VALUE"""),"-")</f>
        <v>-</v>
      </c>
      <c r="L20" s="23" t="str">
        <f>IFERROR(__xludf.DUMMYFUNCTION("""COMPUTED_VALUE"""),"&gt;")</f>
        <v>&gt;</v>
      </c>
      <c r="M20" s="23"/>
      <c r="N20" s="23" t="str">
        <f>IFERROR(__xludf.DUMMYFUNCTION("""COMPUTED_VALUE"""),"‘’ &gt; ‘’")</f>
        <v>‘’ &gt; ‘’</v>
      </c>
      <c r="O20" s="23"/>
      <c r="P20" s="23" t="str">
        <f>IFERROR(__xludf.DUMMYFUNCTION("""COMPUTED_VALUE"""),"(Žirkov, 1955)")</f>
        <v>(Žirkov, 1955)</v>
      </c>
      <c r="Q20" s="23">
        <f>IFERROR(__xludf.DUMMYFUNCTION("""COMPUTED_VALUE"""),14.0)</f>
        <v>14</v>
      </c>
      <c r="R20" s="23" t="str">
        <f>IFERROR(__xludf.DUMMYFUNCTION("""COMPUTED_VALUE"""),"Lak")</f>
        <v>Lak</v>
      </c>
      <c r="S20" s="23" t="str">
        <f>IFERROR(__xludf.DUMMYFUNCTION("""COMPUTED_VALUE"""),"Lak")</f>
        <v>Lak</v>
      </c>
      <c r="T20" s="23" t="str">
        <f>IFERROR(__xludf.DUMMYFUNCTION("""COMPUTED_VALUE"""),"Standard Lak")</f>
        <v>Standard Lak</v>
      </c>
    </row>
    <row r="21">
      <c r="E21" s="23">
        <f>IFERROR(__xludf.DUMMYFUNCTION("""COMPUTED_VALUE"""),639.0)</f>
        <v>639</v>
      </c>
      <c r="F21" s="23" t="str">
        <f>IFERROR(__xludf.DUMMYFUNCTION("""COMPUTED_VALUE"""),"assimilation")</f>
        <v>assimilation</v>
      </c>
      <c r="G21" s="23" t="str">
        <f>IFERROR(__xludf.DUMMYFUNCTION("""COMPUTED_VALUE"""),"b-to-m assimilation")</f>
        <v>b-to-m assimilation</v>
      </c>
      <c r="H21" s="26" t="str">
        <f>IFERROR(__xludf.DUMMYFUNCTION("""COMPUTED_VALUE"""),"б")</f>
        <v>б</v>
      </c>
      <c r="I21" s="26" t="str">
        <f>IFERROR(__xludf.DUMMYFUNCTION("""COMPUTED_VALUE"""),"м")</f>
        <v>м</v>
      </c>
      <c r="J21" s="23" t="str">
        <f>IFERROR(__xludf.DUMMYFUNCTION("""COMPUTED_VALUE"""),"/ _")</f>
        <v>/ _</v>
      </c>
      <c r="K21" s="23" t="str">
        <f>IFERROR(__xludf.DUMMYFUNCTION("""COMPUTED_VALUE"""),"-")</f>
        <v>-</v>
      </c>
      <c r="L21" s="23" t="str">
        <f>IFERROR(__xludf.DUMMYFUNCTION("""COMPUTED_VALUE"""),"&gt;")</f>
        <v>&gt;</v>
      </c>
      <c r="M21" s="23"/>
      <c r="N21" s="23" t="str">
        <f>IFERROR(__xludf.DUMMYFUNCTION("""COMPUTED_VALUE"""),"‘’ &gt; ‘’")</f>
        <v>‘’ &gt; ‘’</v>
      </c>
      <c r="O21" s="23"/>
      <c r="P21" s="23" t="str">
        <f>IFERROR(__xludf.DUMMYFUNCTION("""COMPUTED_VALUE"""),"(Saadiev, 1972)")</f>
        <v>(Saadiev, 1972)</v>
      </c>
      <c r="Q21" s="23">
        <f>IFERROR(__xludf.DUMMYFUNCTION("""COMPUTED_VALUE"""),15.0)</f>
        <v>15</v>
      </c>
      <c r="R21" s="23" t="str">
        <f>IFERROR(__xludf.DUMMYFUNCTION("""COMPUTED_VALUE"""),"Kryz")</f>
        <v>Kryz</v>
      </c>
      <c r="S21" s="23" t="str">
        <f>IFERROR(__xludf.DUMMYFUNCTION("""COMPUTED_VALUE"""),"Kryz")</f>
        <v>Kryz</v>
      </c>
      <c r="T21" s="23" t="str">
        <f>IFERROR(__xludf.DUMMYFUNCTION("""COMPUTED_VALUE"""),"Kryz")</f>
        <v>Kryz</v>
      </c>
    </row>
    <row r="22">
      <c r="H22" s="26"/>
      <c r="I22" s="26"/>
    </row>
    <row r="23">
      <c r="H23" s="26"/>
      <c r="I23" s="26"/>
    </row>
    <row r="24">
      <c r="E24" s="24" t="s">
        <v>1789</v>
      </c>
      <c r="H24" s="26"/>
      <c r="I24" s="26"/>
    </row>
    <row r="25">
      <c r="H25" s="26"/>
      <c r="I25" s="26"/>
    </row>
    <row r="26">
      <c r="E26" s="25" t="s">
        <v>1786</v>
      </c>
      <c r="H26" s="26"/>
      <c r="I26" s="26"/>
    </row>
    <row r="27">
      <c r="E27" s="25" t="s">
        <v>1787</v>
      </c>
      <c r="H27" s="26"/>
      <c r="I27" s="26"/>
    </row>
    <row r="28">
      <c r="H28" s="26"/>
      <c r="I28" s="26"/>
    </row>
    <row r="29">
      <c r="H29" s="26"/>
      <c r="I29" s="26"/>
    </row>
    <row r="30">
      <c r="H30" s="26"/>
      <c r="I30" s="26"/>
    </row>
    <row r="31">
      <c r="H31" s="26"/>
      <c r="I31" s="26"/>
    </row>
    <row r="32">
      <c r="H32" s="26"/>
      <c r="I32" s="26"/>
    </row>
    <row r="33">
      <c r="H33" s="26"/>
      <c r="I33" s="26"/>
    </row>
    <row r="34">
      <c r="H34" s="26"/>
      <c r="I34" s="26"/>
    </row>
    <row r="35">
      <c r="H35" s="26"/>
      <c r="I35" s="26"/>
    </row>
    <row r="36">
      <c r="H36" s="26"/>
      <c r="I36" s="26"/>
    </row>
    <row r="37">
      <c r="H37" s="26"/>
      <c r="I37" s="26"/>
    </row>
    <row r="38">
      <c r="H38" s="26"/>
      <c r="I38" s="26"/>
    </row>
    <row r="39">
      <c r="H39" s="26"/>
      <c r="I39" s="26"/>
    </row>
    <row r="40">
      <c r="H40" s="26"/>
      <c r="I40" s="26"/>
    </row>
    <row r="41">
      <c r="H41" s="26"/>
      <c r="I41" s="26"/>
    </row>
    <row r="42">
      <c r="H42" s="26"/>
      <c r="I42" s="26"/>
    </row>
    <row r="43">
      <c r="H43" s="26"/>
      <c r="I43" s="26"/>
    </row>
    <row r="44">
      <c r="H44" s="26"/>
      <c r="I44" s="26"/>
    </row>
    <row r="45">
      <c r="H45" s="26"/>
      <c r="I45" s="26"/>
    </row>
    <row r="46">
      <c r="H46" s="26"/>
      <c r="I46" s="26"/>
    </row>
    <row r="47">
      <c r="H47" s="26"/>
      <c r="I47" s="26"/>
    </row>
    <row r="48">
      <c r="H48" s="26"/>
      <c r="I48" s="26"/>
    </row>
    <row r="49">
      <c r="H49" s="26"/>
      <c r="I49" s="26"/>
    </row>
    <row r="50">
      <c r="H50" s="26"/>
      <c r="I50" s="26"/>
    </row>
    <row r="51">
      <c r="H51" s="26"/>
      <c r="I51" s="26"/>
    </row>
    <row r="52">
      <c r="H52" s="26"/>
      <c r="I52" s="26"/>
    </row>
    <row r="53">
      <c r="H53" s="26"/>
      <c r="I53" s="26"/>
    </row>
    <row r="54">
      <c r="H54" s="26"/>
      <c r="I54" s="26"/>
    </row>
    <row r="55">
      <c r="H55" s="26"/>
      <c r="I55" s="26"/>
    </row>
    <row r="56">
      <c r="H56" s="26"/>
      <c r="I56" s="26"/>
    </row>
    <row r="57">
      <c r="H57" s="26"/>
      <c r="I57" s="26"/>
    </row>
    <row r="58">
      <c r="H58" s="26"/>
      <c r="I58" s="26"/>
    </row>
    <row r="59">
      <c r="H59" s="26"/>
      <c r="I59" s="26"/>
    </row>
    <row r="60">
      <c r="H60" s="26"/>
      <c r="I60" s="26"/>
    </row>
    <row r="61">
      <c r="H61" s="26"/>
      <c r="I61" s="26"/>
    </row>
    <row r="62">
      <c r="H62" s="26"/>
      <c r="I62" s="26"/>
    </row>
    <row r="63">
      <c r="H63" s="26"/>
      <c r="I63" s="26"/>
    </row>
    <row r="64">
      <c r="H64" s="26"/>
      <c r="I64" s="26"/>
    </row>
    <row r="65">
      <c r="H65" s="26"/>
      <c r="I65" s="26"/>
    </row>
    <row r="66">
      <c r="H66" s="26"/>
      <c r="I66" s="26"/>
    </row>
    <row r="67">
      <c r="H67" s="26"/>
      <c r="I67" s="26"/>
    </row>
    <row r="68">
      <c r="H68" s="26"/>
      <c r="I68" s="26"/>
    </row>
    <row r="69">
      <c r="H69" s="26"/>
      <c r="I69" s="26"/>
    </row>
    <row r="70">
      <c r="H70" s="26"/>
      <c r="I70" s="26"/>
    </row>
    <row r="71">
      <c r="H71" s="26"/>
      <c r="I71" s="26"/>
    </row>
    <row r="72">
      <c r="H72" s="26"/>
      <c r="I72" s="26"/>
    </row>
    <row r="73">
      <c r="H73" s="26"/>
      <c r="I73" s="26"/>
    </row>
    <row r="74">
      <c r="H74" s="26"/>
      <c r="I74" s="26"/>
    </row>
    <row r="75">
      <c r="H75" s="26"/>
      <c r="I75" s="26"/>
    </row>
    <row r="76">
      <c r="H76" s="26"/>
      <c r="I76" s="26"/>
    </row>
    <row r="77">
      <c r="H77" s="26"/>
      <c r="I77" s="26"/>
    </row>
    <row r="78">
      <c r="H78" s="26"/>
      <c r="I78" s="26"/>
    </row>
    <row r="79">
      <c r="H79" s="26"/>
      <c r="I79" s="26"/>
    </row>
    <row r="80">
      <c r="H80" s="26"/>
      <c r="I80" s="26"/>
    </row>
    <row r="81">
      <c r="H81" s="26"/>
      <c r="I81" s="26"/>
    </row>
    <row r="82">
      <c r="H82" s="26"/>
      <c r="I82" s="26"/>
    </row>
    <row r="83">
      <c r="H83" s="26"/>
      <c r="I83" s="26"/>
    </row>
    <row r="84">
      <c r="H84" s="26"/>
      <c r="I84" s="26"/>
    </row>
    <row r="85">
      <c r="H85" s="26"/>
      <c r="I85" s="26"/>
    </row>
    <row r="86">
      <c r="H86" s="26"/>
      <c r="I86" s="26"/>
    </row>
    <row r="87">
      <c r="H87" s="26"/>
      <c r="I87" s="26"/>
    </row>
    <row r="88">
      <c r="H88" s="26"/>
      <c r="I88" s="26"/>
    </row>
    <row r="89">
      <c r="H89" s="26"/>
      <c r="I89" s="26"/>
    </row>
    <row r="90">
      <c r="H90" s="26"/>
      <c r="I90" s="26"/>
    </row>
    <row r="91">
      <c r="H91" s="26"/>
      <c r="I91" s="26"/>
    </row>
    <row r="92">
      <c r="H92" s="26"/>
      <c r="I92" s="26"/>
    </row>
    <row r="93">
      <c r="H93" s="26"/>
      <c r="I93" s="26"/>
    </row>
    <row r="94">
      <c r="H94" s="26"/>
      <c r="I94" s="26"/>
    </row>
    <row r="95">
      <c r="H95" s="26"/>
      <c r="I95" s="26"/>
    </row>
    <row r="96">
      <c r="H96" s="26"/>
      <c r="I96" s="26"/>
    </row>
    <row r="97">
      <c r="H97" s="26"/>
      <c r="I97" s="26"/>
    </row>
    <row r="98">
      <c r="H98" s="26"/>
      <c r="I98" s="26"/>
    </row>
    <row r="99">
      <c r="H99" s="26"/>
      <c r="I99" s="26"/>
    </row>
    <row r="100">
      <c r="H100" s="26"/>
      <c r="I100" s="26"/>
    </row>
    <row r="101">
      <c r="H101" s="26"/>
      <c r="I101" s="26"/>
    </row>
    <row r="102">
      <c r="H102" s="26"/>
      <c r="I102" s="26"/>
    </row>
    <row r="103">
      <c r="H103" s="26"/>
      <c r="I103" s="26"/>
    </row>
    <row r="104">
      <c r="H104" s="26"/>
      <c r="I104" s="26"/>
    </row>
    <row r="105">
      <c r="H105" s="26"/>
      <c r="I105" s="26"/>
    </row>
    <row r="106">
      <c r="H106" s="26"/>
      <c r="I106" s="26"/>
    </row>
    <row r="107">
      <c r="H107" s="26"/>
      <c r="I107" s="26"/>
    </row>
    <row r="108">
      <c r="H108" s="26"/>
      <c r="I108" s="26"/>
    </row>
    <row r="109">
      <c r="H109" s="26"/>
      <c r="I109" s="26"/>
    </row>
    <row r="110">
      <c r="H110" s="26"/>
      <c r="I110" s="26"/>
    </row>
    <row r="111">
      <c r="H111" s="26"/>
      <c r="I111" s="26"/>
    </row>
    <row r="112">
      <c r="H112" s="26"/>
      <c r="I112" s="26"/>
    </row>
    <row r="113">
      <c r="H113" s="26"/>
      <c r="I113" s="26"/>
    </row>
    <row r="114">
      <c r="H114" s="26"/>
      <c r="I114" s="26"/>
    </row>
    <row r="115">
      <c r="H115" s="26"/>
      <c r="I115" s="26"/>
    </row>
    <row r="116">
      <c r="H116" s="26"/>
      <c r="I116" s="26"/>
    </row>
    <row r="117">
      <c r="H117" s="26"/>
      <c r="I117" s="26"/>
    </row>
    <row r="118">
      <c r="H118" s="26"/>
      <c r="I118" s="26"/>
    </row>
    <row r="119">
      <c r="H119" s="26"/>
      <c r="I119" s="26"/>
    </row>
    <row r="120">
      <c r="H120" s="26"/>
      <c r="I120" s="26"/>
    </row>
    <row r="121">
      <c r="H121" s="26"/>
      <c r="I121" s="26"/>
    </row>
    <row r="122">
      <c r="H122" s="26"/>
      <c r="I122" s="26"/>
    </row>
    <row r="123">
      <c r="H123" s="26"/>
      <c r="I123" s="26"/>
    </row>
    <row r="124">
      <c r="H124" s="26"/>
      <c r="I124" s="26"/>
    </row>
    <row r="125">
      <c r="H125" s="26"/>
      <c r="I125" s="26"/>
    </row>
    <row r="126">
      <c r="H126" s="26"/>
      <c r="I126" s="26"/>
    </row>
    <row r="127">
      <c r="H127" s="26"/>
      <c r="I127" s="26"/>
    </row>
    <row r="128">
      <c r="H128" s="26"/>
      <c r="I128" s="26"/>
    </row>
    <row r="129">
      <c r="H129" s="26"/>
      <c r="I129" s="26"/>
    </row>
    <row r="130">
      <c r="H130" s="26"/>
      <c r="I130" s="26"/>
    </row>
    <row r="131">
      <c r="H131" s="26"/>
      <c r="I131" s="26"/>
    </row>
    <row r="132">
      <c r="H132" s="26"/>
      <c r="I132" s="26"/>
    </row>
    <row r="133">
      <c r="H133" s="26"/>
      <c r="I133" s="26"/>
    </row>
    <row r="134">
      <c r="H134" s="26"/>
      <c r="I134" s="26"/>
    </row>
    <row r="135">
      <c r="H135" s="26"/>
      <c r="I135" s="26"/>
    </row>
    <row r="136">
      <c r="H136" s="26"/>
      <c r="I136" s="26"/>
    </row>
    <row r="137">
      <c r="H137" s="26"/>
      <c r="I137" s="26"/>
    </row>
    <row r="138">
      <c r="H138" s="26"/>
      <c r="I138" s="26"/>
    </row>
    <row r="139">
      <c r="H139" s="26"/>
      <c r="I139" s="26"/>
    </row>
    <row r="140">
      <c r="H140" s="26"/>
      <c r="I140" s="26"/>
    </row>
    <row r="141">
      <c r="H141" s="26"/>
      <c r="I141" s="26"/>
    </row>
    <row r="142">
      <c r="H142" s="26"/>
      <c r="I142" s="26"/>
    </row>
    <row r="143">
      <c r="H143" s="26"/>
      <c r="I143" s="26"/>
    </row>
    <row r="144">
      <c r="H144" s="26"/>
      <c r="I144" s="26"/>
    </row>
    <row r="145">
      <c r="H145" s="26"/>
      <c r="I145" s="26"/>
    </row>
    <row r="146">
      <c r="H146" s="26"/>
      <c r="I146" s="26"/>
    </row>
    <row r="147">
      <c r="H147" s="26"/>
      <c r="I147" s="26"/>
    </row>
    <row r="148">
      <c r="H148" s="26"/>
      <c r="I148" s="26"/>
    </row>
    <row r="149">
      <c r="H149" s="26"/>
      <c r="I149" s="26"/>
    </row>
    <row r="150">
      <c r="H150" s="26"/>
      <c r="I150" s="26"/>
    </row>
    <row r="151">
      <c r="H151" s="26"/>
      <c r="I151" s="26"/>
    </row>
    <row r="152">
      <c r="H152" s="26"/>
      <c r="I152" s="26"/>
    </row>
    <row r="153">
      <c r="H153" s="26"/>
      <c r="I153" s="26"/>
    </row>
    <row r="154">
      <c r="H154" s="26"/>
      <c r="I154" s="26"/>
    </row>
    <row r="155">
      <c r="H155" s="26"/>
      <c r="I155" s="26"/>
    </row>
    <row r="156">
      <c r="H156" s="26"/>
      <c r="I156" s="26"/>
    </row>
    <row r="157">
      <c r="H157" s="26"/>
      <c r="I157" s="26"/>
    </row>
    <row r="158">
      <c r="H158" s="26"/>
      <c r="I158" s="26"/>
    </row>
    <row r="159">
      <c r="H159" s="26"/>
      <c r="I159" s="26"/>
    </row>
    <row r="160">
      <c r="H160" s="26"/>
      <c r="I160" s="26"/>
    </row>
    <row r="161">
      <c r="H161" s="26"/>
      <c r="I161" s="26"/>
    </row>
    <row r="162">
      <c r="H162" s="26"/>
      <c r="I162" s="26"/>
    </row>
    <row r="163">
      <c r="H163" s="26"/>
      <c r="I163" s="26"/>
    </row>
    <row r="164">
      <c r="H164" s="26"/>
      <c r="I164" s="26"/>
    </row>
    <row r="165">
      <c r="H165" s="26"/>
      <c r="I165" s="26"/>
    </row>
    <row r="166">
      <c r="H166" s="26"/>
      <c r="I166" s="26"/>
    </row>
    <row r="167">
      <c r="H167" s="26"/>
      <c r="I167" s="26"/>
    </row>
    <row r="168">
      <c r="H168" s="26"/>
      <c r="I168" s="26"/>
    </row>
    <row r="169">
      <c r="H169" s="26"/>
      <c r="I169" s="26"/>
    </row>
    <row r="170">
      <c r="H170" s="26"/>
      <c r="I170" s="26"/>
    </row>
    <row r="171">
      <c r="H171" s="26"/>
      <c r="I171" s="26"/>
    </row>
    <row r="172">
      <c r="H172" s="26"/>
      <c r="I172" s="26"/>
    </row>
    <row r="173">
      <c r="H173" s="26"/>
      <c r="I173" s="26"/>
    </row>
    <row r="174">
      <c r="H174" s="26"/>
      <c r="I174" s="26"/>
    </row>
    <row r="175">
      <c r="H175" s="26"/>
      <c r="I175" s="26"/>
    </row>
    <row r="176">
      <c r="H176" s="26"/>
      <c r="I176" s="26"/>
    </row>
    <row r="177">
      <c r="H177" s="26"/>
      <c r="I177" s="26"/>
    </row>
    <row r="178">
      <c r="H178" s="26"/>
      <c r="I178" s="26"/>
    </row>
    <row r="179">
      <c r="H179" s="26"/>
      <c r="I179" s="26"/>
    </row>
    <row r="180">
      <c r="H180" s="26"/>
      <c r="I180" s="26"/>
    </row>
    <row r="181">
      <c r="H181" s="26"/>
      <c r="I181" s="26"/>
    </row>
    <row r="182">
      <c r="H182" s="26"/>
      <c r="I182" s="26"/>
    </row>
    <row r="183">
      <c r="H183" s="26"/>
      <c r="I183" s="26"/>
    </row>
    <row r="184">
      <c r="H184" s="26"/>
      <c r="I184" s="26"/>
    </row>
    <row r="185">
      <c r="H185" s="26"/>
      <c r="I185" s="26"/>
    </row>
    <row r="186">
      <c r="H186" s="26"/>
      <c r="I186" s="26"/>
    </row>
    <row r="187">
      <c r="H187" s="26"/>
      <c r="I187" s="26"/>
    </row>
    <row r="188">
      <c r="H188" s="26"/>
      <c r="I188" s="26"/>
    </row>
    <row r="189">
      <c r="H189" s="26"/>
      <c r="I189" s="26"/>
    </row>
    <row r="190">
      <c r="H190" s="26"/>
      <c r="I190" s="26"/>
    </row>
    <row r="191">
      <c r="H191" s="26"/>
      <c r="I191" s="26"/>
    </row>
    <row r="192">
      <c r="H192" s="26"/>
      <c r="I192" s="26"/>
    </row>
    <row r="193">
      <c r="H193" s="26"/>
      <c r="I193" s="26"/>
    </row>
    <row r="194">
      <c r="H194" s="26"/>
      <c r="I194" s="26"/>
    </row>
    <row r="195">
      <c r="H195" s="26"/>
      <c r="I195" s="26"/>
    </row>
    <row r="196">
      <c r="H196" s="26"/>
      <c r="I196" s="26"/>
    </row>
    <row r="197">
      <c r="H197" s="26"/>
      <c r="I197" s="26"/>
    </row>
    <row r="198">
      <c r="H198" s="26"/>
      <c r="I198" s="26"/>
    </row>
    <row r="199">
      <c r="H199" s="26"/>
      <c r="I199" s="26"/>
    </row>
    <row r="200">
      <c r="H200" s="26"/>
      <c r="I200" s="26"/>
    </row>
    <row r="201">
      <c r="H201" s="26"/>
      <c r="I201" s="26"/>
    </row>
    <row r="202">
      <c r="H202" s="26"/>
      <c r="I202" s="26"/>
    </row>
    <row r="203">
      <c r="H203" s="26"/>
      <c r="I203" s="26"/>
    </row>
    <row r="204">
      <c r="H204" s="26"/>
      <c r="I204" s="26"/>
    </row>
    <row r="205">
      <c r="H205" s="26"/>
      <c r="I205" s="26"/>
    </row>
    <row r="206">
      <c r="H206" s="26"/>
      <c r="I206" s="26"/>
    </row>
    <row r="207">
      <c r="H207" s="26"/>
      <c r="I207" s="26"/>
    </row>
    <row r="208">
      <c r="H208" s="26"/>
      <c r="I208" s="26"/>
    </row>
    <row r="209">
      <c r="H209" s="26"/>
      <c r="I209" s="26"/>
    </row>
    <row r="210">
      <c r="H210" s="26"/>
      <c r="I210" s="26"/>
    </row>
    <row r="211">
      <c r="H211" s="26"/>
      <c r="I211" s="26"/>
    </row>
    <row r="212">
      <c r="H212" s="26"/>
      <c r="I212" s="26"/>
    </row>
    <row r="213">
      <c r="H213" s="26"/>
      <c r="I213" s="26"/>
    </row>
    <row r="214">
      <c r="H214" s="26"/>
      <c r="I214" s="26"/>
    </row>
    <row r="215">
      <c r="H215" s="26"/>
      <c r="I215" s="26"/>
    </row>
    <row r="216">
      <c r="H216" s="26"/>
      <c r="I216" s="26"/>
    </row>
    <row r="217">
      <c r="H217" s="26"/>
      <c r="I217" s="26"/>
    </row>
    <row r="218">
      <c r="H218" s="26"/>
      <c r="I218" s="26"/>
    </row>
    <row r="219">
      <c r="H219" s="26"/>
      <c r="I219" s="26"/>
    </row>
    <row r="220">
      <c r="H220" s="26"/>
      <c r="I220" s="26"/>
    </row>
    <row r="221">
      <c r="H221" s="26"/>
      <c r="I221" s="26"/>
    </row>
    <row r="222">
      <c r="H222" s="26"/>
      <c r="I222" s="26"/>
    </row>
    <row r="223">
      <c r="H223" s="26"/>
      <c r="I223" s="26"/>
    </row>
    <row r="224">
      <c r="H224" s="26"/>
      <c r="I224" s="26"/>
    </row>
    <row r="225">
      <c r="H225" s="26"/>
      <c r="I225" s="26"/>
    </row>
    <row r="226">
      <c r="H226" s="26"/>
      <c r="I226" s="26"/>
    </row>
    <row r="227">
      <c r="H227" s="26"/>
      <c r="I227" s="26"/>
    </row>
    <row r="228">
      <c r="H228" s="26"/>
      <c r="I228" s="26"/>
    </row>
    <row r="229">
      <c r="H229" s="26"/>
      <c r="I229" s="26"/>
    </row>
    <row r="230">
      <c r="H230" s="26"/>
      <c r="I230" s="26"/>
    </row>
    <row r="231">
      <c r="H231" s="26"/>
      <c r="I231" s="26"/>
    </row>
    <row r="232">
      <c r="H232" s="26"/>
      <c r="I232" s="26"/>
    </row>
    <row r="233">
      <c r="H233" s="26"/>
      <c r="I233" s="26"/>
    </row>
    <row r="234">
      <c r="H234" s="26"/>
      <c r="I234" s="26"/>
    </row>
    <row r="235">
      <c r="H235" s="26"/>
      <c r="I235" s="26"/>
    </row>
    <row r="236">
      <c r="H236" s="26"/>
      <c r="I236" s="26"/>
    </row>
    <row r="237">
      <c r="H237" s="26"/>
      <c r="I237" s="26"/>
    </row>
    <row r="238">
      <c r="H238" s="26"/>
      <c r="I238" s="26"/>
    </row>
    <row r="239">
      <c r="H239" s="26"/>
      <c r="I239" s="26"/>
    </row>
    <row r="240">
      <c r="H240" s="26"/>
      <c r="I240" s="26"/>
    </row>
    <row r="241">
      <c r="H241" s="26"/>
      <c r="I241" s="26"/>
    </row>
    <row r="242">
      <c r="H242" s="26"/>
      <c r="I242" s="26"/>
    </row>
    <row r="243">
      <c r="H243" s="26"/>
      <c r="I243" s="26"/>
    </row>
    <row r="244">
      <c r="H244" s="26"/>
      <c r="I244" s="26"/>
    </row>
    <row r="245">
      <c r="H245" s="26"/>
      <c r="I245" s="26"/>
    </row>
    <row r="246">
      <c r="H246" s="26"/>
      <c r="I246" s="26"/>
    </row>
    <row r="247">
      <c r="H247" s="26"/>
      <c r="I247" s="26"/>
    </row>
    <row r="248">
      <c r="H248" s="26"/>
      <c r="I248" s="26"/>
    </row>
    <row r="249">
      <c r="H249" s="26"/>
      <c r="I249" s="26"/>
    </row>
    <row r="250">
      <c r="H250" s="26"/>
      <c r="I250" s="26"/>
    </row>
    <row r="251">
      <c r="H251" s="26"/>
      <c r="I251" s="26"/>
    </row>
    <row r="252">
      <c r="H252" s="26"/>
      <c r="I252" s="26"/>
    </row>
    <row r="253">
      <c r="H253" s="26"/>
      <c r="I253" s="26"/>
    </row>
    <row r="254">
      <c r="H254" s="26"/>
      <c r="I254" s="26"/>
    </row>
    <row r="255">
      <c r="H255" s="26"/>
      <c r="I255" s="26"/>
    </row>
    <row r="256">
      <c r="H256" s="26"/>
      <c r="I256" s="26"/>
    </row>
    <row r="257">
      <c r="H257" s="26"/>
      <c r="I257" s="26"/>
    </row>
    <row r="258">
      <c r="H258" s="26"/>
      <c r="I258" s="26"/>
    </row>
    <row r="259">
      <c r="H259" s="26"/>
      <c r="I259" s="26"/>
    </row>
    <row r="260">
      <c r="H260" s="26"/>
      <c r="I260" s="26"/>
    </row>
    <row r="261">
      <c r="H261" s="26"/>
      <c r="I261" s="26"/>
    </row>
    <row r="262">
      <c r="H262" s="26"/>
      <c r="I262" s="26"/>
    </row>
    <row r="263">
      <c r="H263" s="26"/>
      <c r="I263" s="26"/>
    </row>
    <row r="264">
      <c r="H264" s="26"/>
      <c r="I264" s="26"/>
    </row>
    <row r="265">
      <c r="H265" s="26"/>
      <c r="I265" s="26"/>
    </row>
    <row r="266">
      <c r="H266" s="26"/>
      <c r="I266" s="26"/>
    </row>
    <row r="267">
      <c r="H267" s="26"/>
      <c r="I267" s="26"/>
    </row>
    <row r="268">
      <c r="H268" s="26"/>
      <c r="I268" s="26"/>
    </row>
    <row r="269">
      <c r="H269" s="26"/>
      <c r="I269" s="26"/>
    </row>
    <row r="270">
      <c r="H270" s="26"/>
      <c r="I270" s="26"/>
    </row>
    <row r="271">
      <c r="H271" s="26"/>
      <c r="I271" s="26"/>
    </row>
    <row r="272">
      <c r="H272" s="26"/>
      <c r="I272" s="26"/>
    </row>
    <row r="273">
      <c r="H273" s="26"/>
      <c r="I273" s="26"/>
    </row>
    <row r="274">
      <c r="H274" s="26"/>
      <c r="I274" s="26"/>
    </row>
    <row r="275">
      <c r="H275" s="26"/>
      <c r="I275" s="26"/>
    </row>
    <row r="276">
      <c r="H276" s="26"/>
      <c r="I276" s="26"/>
    </row>
    <row r="277">
      <c r="H277" s="26"/>
      <c r="I277" s="26"/>
    </row>
    <row r="278">
      <c r="H278" s="26"/>
      <c r="I278" s="26"/>
    </row>
    <row r="279">
      <c r="H279" s="26"/>
      <c r="I279" s="26"/>
    </row>
    <row r="280">
      <c r="H280" s="26"/>
      <c r="I280" s="26"/>
    </row>
    <row r="281">
      <c r="H281" s="26"/>
      <c r="I281" s="26"/>
    </row>
    <row r="282">
      <c r="H282" s="26"/>
      <c r="I282" s="26"/>
    </row>
    <row r="283">
      <c r="H283" s="26"/>
      <c r="I283" s="26"/>
    </row>
    <row r="284">
      <c r="H284" s="26"/>
      <c r="I284" s="26"/>
    </row>
    <row r="285">
      <c r="H285" s="26"/>
      <c r="I285" s="26"/>
    </row>
    <row r="286">
      <c r="H286" s="26"/>
      <c r="I286" s="26"/>
    </row>
    <row r="287">
      <c r="H287" s="26"/>
      <c r="I287" s="26"/>
    </row>
    <row r="288">
      <c r="H288" s="26"/>
      <c r="I288" s="26"/>
    </row>
    <row r="289">
      <c r="H289" s="26"/>
      <c r="I289" s="26"/>
    </row>
    <row r="290">
      <c r="H290" s="26"/>
      <c r="I290" s="26"/>
    </row>
    <row r="291">
      <c r="H291" s="26"/>
      <c r="I291" s="26"/>
    </row>
    <row r="292">
      <c r="H292" s="26"/>
      <c r="I292" s="26"/>
    </row>
    <row r="293">
      <c r="H293" s="26"/>
      <c r="I293" s="26"/>
    </row>
    <row r="294">
      <c r="H294" s="26"/>
      <c r="I294" s="26"/>
    </row>
    <row r="295">
      <c r="H295" s="26"/>
      <c r="I295" s="26"/>
    </row>
    <row r="296">
      <c r="H296" s="26"/>
      <c r="I296" s="26"/>
    </row>
    <row r="297">
      <c r="H297" s="26"/>
      <c r="I297" s="26"/>
    </row>
    <row r="298">
      <c r="H298" s="26"/>
      <c r="I298" s="26"/>
    </row>
    <row r="299">
      <c r="H299" s="26"/>
      <c r="I299" s="26"/>
    </row>
    <row r="300">
      <c r="H300" s="26"/>
      <c r="I300" s="26"/>
    </row>
    <row r="301">
      <c r="H301" s="26"/>
      <c r="I301" s="26"/>
    </row>
    <row r="302">
      <c r="H302" s="26"/>
      <c r="I302" s="26"/>
    </row>
    <row r="303">
      <c r="H303" s="26"/>
      <c r="I303" s="26"/>
    </row>
    <row r="304">
      <c r="H304" s="26"/>
      <c r="I304" s="26"/>
    </row>
    <row r="305">
      <c r="H305" s="26"/>
      <c r="I305" s="26"/>
    </row>
    <row r="306">
      <c r="H306" s="26"/>
      <c r="I306" s="26"/>
    </row>
    <row r="307">
      <c r="H307" s="26"/>
      <c r="I307" s="26"/>
    </row>
    <row r="308">
      <c r="H308" s="26"/>
      <c r="I308" s="26"/>
    </row>
    <row r="309">
      <c r="H309" s="26"/>
      <c r="I309" s="26"/>
    </row>
    <row r="310">
      <c r="H310" s="26"/>
      <c r="I310" s="26"/>
    </row>
    <row r="311">
      <c r="H311" s="26"/>
      <c r="I311" s="26"/>
    </row>
    <row r="312">
      <c r="H312" s="26"/>
      <c r="I312" s="26"/>
    </row>
    <row r="313">
      <c r="H313" s="26"/>
      <c r="I313" s="26"/>
    </row>
    <row r="314">
      <c r="H314" s="26"/>
      <c r="I314" s="26"/>
    </row>
    <row r="315">
      <c r="H315" s="26"/>
      <c r="I315" s="26"/>
    </row>
    <row r="316">
      <c r="H316" s="26"/>
      <c r="I316" s="26"/>
    </row>
    <row r="317">
      <c r="H317" s="26"/>
      <c r="I317" s="26"/>
    </row>
    <row r="318">
      <c r="H318" s="26"/>
      <c r="I318" s="26"/>
    </row>
    <row r="319">
      <c r="H319" s="26"/>
      <c r="I319" s="26"/>
    </row>
    <row r="320">
      <c r="H320" s="26"/>
      <c r="I320" s="26"/>
    </row>
    <row r="321">
      <c r="H321" s="26"/>
      <c r="I321" s="26"/>
    </row>
    <row r="322">
      <c r="H322" s="26"/>
      <c r="I322" s="26"/>
    </row>
    <row r="323">
      <c r="H323" s="26"/>
      <c r="I323" s="26"/>
    </row>
    <row r="324">
      <c r="H324" s="26"/>
      <c r="I324" s="26"/>
    </row>
    <row r="325">
      <c r="H325" s="26"/>
      <c r="I325" s="26"/>
    </row>
    <row r="326">
      <c r="H326" s="26"/>
      <c r="I326" s="26"/>
    </row>
    <row r="327">
      <c r="H327" s="26"/>
      <c r="I327" s="26"/>
    </row>
    <row r="328">
      <c r="H328" s="26"/>
      <c r="I328" s="26"/>
    </row>
    <row r="329">
      <c r="H329" s="26"/>
      <c r="I329" s="26"/>
    </row>
    <row r="330">
      <c r="H330" s="26"/>
      <c r="I330" s="26"/>
    </row>
    <row r="331">
      <c r="H331" s="26"/>
      <c r="I331" s="26"/>
    </row>
    <row r="332">
      <c r="H332" s="26"/>
      <c r="I332" s="26"/>
    </row>
    <row r="333">
      <c r="H333" s="26"/>
      <c r="I333" s="26"/>
    </row>
    <row r="334">
      <c r="H334" s="26"/>
      <c r="I334" s="26"/>
    </row>
    <row r="335">
      <c r="H335" s="26"/>
      <c r="I335" s="26"/>
    </row>
    <row r="336">
      <c r="H336" s="26"/>
      <c r="I336" s="26"/>
    </row>
    <row r="337">
      <c r="H337" s="26"/>
      <c r="I337" s="26"/>
    </row>
    <row r="338">
      <c r="H338" s="26"/>
      <c r="I338" s="26"/>
    </row>
    <row r="339">
      <c r="H339" s="26"/>
      <c r="I339" s="26"/>
    </row>
    <row r="340">
      <c r="H340" s="26"/>
      <c r="I340" s="26"/>
    </row>
    <row r="341">
      <c r="H341" s="26"/>
      <c r="I341" s="26"/>
    </row>
    <row r="342">
      <c r="H342" s="26"/>
      <c r="I342" s="26"/>
    </row>
    <row r="343">
      <c r="H343" s="26"/>
      <c r="I343" s="26"/>
    </row>
    <row r="344">
      <c r="H344" s="26"/>
      <c r="I344" s="26"/>
    </row>
    <row r="345">
      <c r="H345" s="26"/>
      <c r="I345" s="26"/>
    </row>
    <row r="346">
      <c r="H346" s="26"/>
      <c r="I346" s="26"/>
    </row>
    <row r="347">
      <c r="H347" s="26"/>
      <c r="I347" s="26"/>
    </row>
    <row r="348">
      <c r="H348" s="26"/>
      <c r="I348" s="26"/>
    </row>
    <row r="349">
      <c r="H349" s="26"/>
      <c r="I349" s="26"/>
    </row>
    <row r="350">
      <c r="H350" s="26"/>
      <c r="I350" s="26"/>
    </row>
    <row r="351">
      <c r="H351" s="26"/>
      <c r="I351" s="26"/>
    </row>
    <row r="352">
      <c r="H352" s="26"/>
      <c r="I352" s="26"/>
    </row>
    <row r="353">
      <c r="H353" s="26"/>
      <c r="I353" s="26"/>
    </row>
    <row r="354">
      <c r="H354" s="26"/>
      <c r="I354" s="26"/>
    </row>
    <row r="355">
      <c r="H355" s="26"/>
      <c r="I355" s="26"/>
    </row>
    <row r="356">
      <c r="H356" s="26"/>
      <c r="I356" s="26"/>
    </row>
    <row r="357">
      <c r="H357" s="26"/>
      <c r="I357" s="26"/>
    </row>
    <row r="358">
      <c r="H358" s="26"/>
      <c r="I358" s="26"/>
    </row>
    <row r="359">
      <c r="H359" s="26"/>
      <c r="I359" s="26"/>
    </row>
    <row r="360">
      <c r="H360" s="26"/>
      <c r="I360" s="26"/>
    </row>
    <row r="361">
      <c r="H361" s="26"/>
      <c r="I361" s="26"/>
    </row>
    <row r="362">
      <c r="H362" s="26"/>
      <c r="I362" s="26"/>
    </row>
    <row r="363">
      <c r="H363" s="26"/>
      <c r="I363" s="26"/>
    </row>
    <row r="364">
      <c r="H364" s="26"/>
      <c r="I364" s="26"/>
    </row>
    <row r="365">
      <c r="H365" s="26"/>
      <c r="I365" s="26"/>
    </row>
    <row r="366">
      <c r="H366" s="26"/>
      <c r="I366" s="26"/>
    </row>
    <row r="367">
      <c r="H367" s="26"/>
      <c r="I367" s="26"/>
    </row>
    <row r="368">
      <c r="H368" s="26"/>
      <c r="I368" s="26"/>
    </row>
    <row r="369">
      <c r="H369" s="26"/>
      <c r="I369" s="26"/>
    </row>
    <row r="370">
      <c r="H370" s="26"/>
      <c r="I370" s="26"/>
    </row>
    <row r="371">
      <c r="H371" s="26"/>
      <c r="I371" s="26"/>
    </row>
    <row r="372">
      <c r="H372" s="26"/>
      <c r="I372" s="26"/>
    </row>
    <row r="373">
      <c r="H373" s="26"/>
      <c r="I373" s="26"/>
    </row>
    <row r="374">
      <c r="H374" s="26"/>
      <c r="I374" s="26"/>
    </row>
    <row r="375">
      <c r="H375" s="26"/>
      <c r="I375" s="26"/>
    </row>
    <row r="376">
      <c r="H376" s="26"/>
      <c r="I376" s="26"/>
    </row>
    <row r="377">
      <c r="H377" s="26"/>
      <c r="I377" s="26"/>
    </row>
    <row r="378">
      <c r="H378" s="26"/>
      <c r="I378" s="26"/>
    </row>
    <row r="379">
      <c r="H379" s="26"/>
      <c r="I379" s="26"/>
    </row>
    <row r="380">
      <c r="H380" s="26"/>
      <c r="I380" s="26"/>
    </row>
    <row r="381">
      <c r="H381" s="26"/>
      <c r="I381" s="26"/>
    </row>
    <row r="382">
      <c r="H382" s="26"/>
      <c r="I382" s="26"/>
    </row>
    <row r="383">
      <c r="H383" s="26"/>
      <c r="I383" s="26"/>
    </row>
    <row r="384">
      <c r="H384" s="26"/>
      <c r="I384" s="26"/>
    </row>
    <row r="385">
      <c r="H385" s="26"/>
      <c r="I385" s="26"/>
    </row>
    <row r="386">
      <c r="H386" s="26"/>
      <c r="I386" s="26"/>
    </row>
    <row r="387">
      <c r="H387" s="26"/>
      <c r="I387" s="26"/>
    </row>
    <row r="388">
      <c r="H388" s="26"/>
      <c r="I388" s="26"/>
    </row>
    <row r="389">
      <c r="H389" s="26"/>
      <c r="I389" s="26"/>
    </row>
    <row r="390">
      <c r="H390" s="26"/>
      <c r="I390" s="26"/>
    </row>
    <row r="391">
      <c r="H391" s="26"/>
      <c r="I391" s="26"/>
    </row>
    <row r="392">
      <c r="H392" s="26"/>
      <c r="I392" s="26"/>
    </row>
    <row r="393">
      <c r="H393" s="26"/>
      <c r="I393" s="26"/>
    </row>
    <row r="394">
      <c r="H394" s="26"/>
      <c r="I394" s="26"/>
    </row>
    <row r="395">
      <c r="H395" s="26"/>
      <c r="I395" s="26"/>
    </row>
    <row r="396">
      <c r="H396" s="26"/>
      <c r="I396" s="26"/>
    </row>
    <row r="397">
      <c r="H397" s="26"/>
      <c r="I397" s="26"/>
    </row>
    <row r="398">
      <c r="H398" s="26"/>
      <c r="I398" s="26"/>
    </row>
    <row r="399">
      <c r="H399" s="26"/>
      <c r="I399" s="26"/>
    </row>
    <row r="400">
      <c r="H400" s="26"/>
      <c r="I400" s="26"/>
    </row>
    <row r="401">
      <c r="H401" s="26"/>
      <c r="I401" s="26"/>
    </row>
    <row r="402">
      <c r="H402" s="26"/>
      <c r="I402" s="26"/>
    </row>
    <row r="403">
      <c r="H403" s="26"/>
      <c r="I403" s="26"/>
    </row>
    <row r="404">
      <c r="H404" s="26"/>
      <c r="I404" s="26"/>
    </row>
    <row r="405">
      <c r="H405" s="26"/>
      <c r="I405" s="26"/>
    </row>
    <row r="406">
      <c r="H406" s="26"/>
      <c r="I406" s="26"/>
    </row>
    <row r="407">
      <c r="H407" s="26"/>
      <c r="I407" s="26"/>
    </row>
    <row r="408">
      <c r="H408" s="26"/>
      <c r="I408" s="26"/>
    </row>
    <row r="409">
      <c r="H409" s="26"/>
      <c r="I409" s="26"/>
    </row>
    <row r="410">
      <c r="H410" s="26"/>
      <c r="I410" s="26"/>
    </row>
    <row r="411">
      <c r="H411" s="26"/>
      <c r="I411" s="26"/>
    </row>
    <row r="412">
      <c r="H412" s="26"/>
      <c r="I412" s="26"/>
    </row>
    <row r="413">
      <c r="H413" s="26"/>
      <c r="I413" s="26"/>
    </row>
    <row r="414">
      <c r="H414" s="26"/>
      <c r="I414" s="26"/>
    </row>
    <row r="415">
      <c r="H415" s="26"/>
      <c r="I415" s="26"/>
    </row>
    <row r="416">
      <c r="H416" s="26"/>
      <c r="I416" s="26"/>
    </row>
    <row r="417">
      <c r="H417" s="26"/>
      <c r="I417" s="26"/>
    </row>
    <row r="418">
      <c r="H418" s="26"/>
      <c r="I418" s="26"/>
    </row>
    <row r="419">
      <c r="H419" s="26"/>
      <c r="I419" s="26"/>
    </row>
    <row r="420">
      <c r="H420" s="26"/>
      <c r="I420" s="26"/>
    </row>
    <row r="421">
      <c r="H421" s="26"/>
      <c r="I421" s="26"/>
    </row>
    <row r="422">
      <c r="H422" s="26"/>
      <c r="I422" s="26"/>
    </row>
    <row r="423">
      <c r="H423" s="26"/>
      <c r="I423" s="26"/>
    </row>
    <row r="424">
      <c r="H424" s="26"/>
      <c r="I424" s="26"/>
    </row>
    <row r="425">
      <c r="H425" s="26"/>
      <c r="I425" s="26"/>
    </row>
    <row r="426">
      <c r="H426" s="26"/>
      <c r="I426" s="26"/>
    </row>
    <row r="427">
      <c r="H427" s="26"/>
      <c r="I427" s="26"/>
    </row>
    <row r="428">
      <c r="H428" s="26"/>
      <c r="I428" s="26"/>
    </row>
    <row r="429">
      <c r="H429" s="26"/>
      <c r="I429" s="26"/>
    </row>
    <row r="430">
      <c r="H430" s="26"/>
      <c r="I430" s="26"/>
    </row>
    <row r="431">
      <c r="H431" s="26"/>
      <c r="I431" s="26"/>
    </row>
    <row r="432">
      <c r="H432" s="26"/>
      <c r="I432" s="26"/>
    </row>
    <row r="433">
      <c r="H433" s="26"/>
      <c r="I433" s="26"/>
    </row>
    <row r="434">
      <c r="H434" s="26"/>
      <c r="I434" s="26"/>
    </row>
    <row r="435">
      <c r="H435" s="26"/>
      <c r="I435" s="26"/>
    </row>
    <row r="436">
      <c r="H436" s="26"/>
      <c r="I436" s="26"/>
    </row>
    <row r="437">
      <c r="H437" s="26"/>
      <c r="I437" s="26"/>
    </row>
    <row r="438">
      <c r="H438" s="26"/>
      <c r="I438" s="26"/>
    </row>
    <row r="439">
      <c r="H439" s="26"/>
      <c r="I439" s="26"/>
    </row>
    <row r="440">
      <c r="H440" s="26"/>
      <c r="I440" s="26"/>
    </row>
    <row r="441">
      <c r="H441" s="26"/>
      <c r="I441" s="26"/>
    </row>
    <row r="442">
      <c r="H442" s="26"/>
      <c r="I442" s="26"/>
    </row>
    <row r="443">
      <c r="H443" s="26"/>
      <c r="I443" s="26"/>
    </row>
    <row r="444">
      <c r="H444" s="26"/>
      <c r="I444" s="26"/>
    </row>
    <row r="445">
      <c r="H445" s="26"/>
      <c r="I445" s="26"/>
    </row>
    <row r="446">
      <c r="H446" s="26"/>
      <c r="I446" s="26"/>
    </row>
    <row r="447">
      <c r="H447" s="26"/>
      <c r="I447" s="26"/>
    </row>
    <row r="448">
      <c r="H448" s="26"/>
      <c r="I448" s="26"/>
    </row>
    <row r="449">
      <c r="H449" s="26"/>
      <c r="I449" s="26"/>
    </row>
    <row r="450">
      <c r="H450" s="26"/>
      <c r="I450" s="26"/>
    </row>
    <row r="451">
      <c r="H451" s="26"/>
      <c r="I451" s="26"/>
    </row>
    <row r="452">
      <c r="H452" s="26"/>
      <c r="I452" s="26"/>
    </row>
    <row r="453">
      <c r="H453" s="26"/>
      <c r="I453" s="26"/>
    </row>
    <row r="454">
      <c r="H454" s="26"/>
      <c r="I454" s="26"/>
    </row>
    <row r="455">
      <c r="H455" s="26"/>
      <c r="I455" s="26"/>
    </row>
    <row r="456">
      <c r="H456" s="26"/>
      <c r="I456" s="26"/>
    </row>
    <row r="457">
      <c r="H457" s="26"/>
      <c r="I457" s="26"/>
    </row>
    <row r="458">
      <c r="H458" s="26"/>
      <c r="I458" s="26"/>
    </row>
    <row r="459">
      <c r="H459" s="26"/>
      <c r="I459" s="26"/>
    </row>
    <row r="460">
      <c r="H460" s="26"/>
      <c r="I460" s="26"/>
    </row>
    <row r="461">
      <c r="H461" s="26"/>
      <c r="I461" s="26"/>
    </row>
    <row r="462">
      <c r="H462" s="26"/>
      <c r="I462" s="26"/>
    </row>
    <row r="463">
      <c r="H463" s="26"/>
      <c r="I463" s="26"/>
    </row>
    <row r="464">
      <c r="H464" s="26"/>
      <c r="I464" s="26"/>
    </row>
    <row r="465">
      <c r="H465" s="26"/>
      <c r="I465" s="26"/>
    </row>
    <row r="466">
      <c r="H466" s="26"/>
      <c r="I466" s="26"/>
    </row>
    <row r="467">
      <c r="H467" s="26"/>
      <c r="I467" s="26"/>
    </row>
    <row r="468">
      <c r="H468" s="26"/>
      <c r="I468" s="26"/>
    </row>
    <row r="469">
      <c r="H469" s="26"/>
      <c r="I469" s="26"/>
    </row>
    <row r="470">
      <c r="H470" s="26"/>
      <c r="I470" s="26"/>
    </row>
    <row r="471">
      <c r="H471" s="26"/>
      <c r="I471" s="26"/>
    </row>
    <row r="472">
      <c r="H472" s="26"/>
      <c r="I472" s="26"/>
    </row>
    <row r="473">
      <c r="H473" s="26"/>
      <c r="I473" s="26"/>
    </row>
    <row r="474">
      <c r="H474" s="26"/>
      <c r="I474" s="26"/>
    </row>
    <row r="475">
      <c r="H475" s="26"/>
      <c r="I475" s="26"/>
    </row>
    <row r="476">
      <c r="H476" s="26"/>
      <c r="I476" s="26"/>
    </row>
    <row r="477">
      <c r="H477" s="26"/>
      <c r="I477" s="26"/>
    </row>
    <row r="478">
      <c r="H478" s="26"/>
      <c r="I478" s="26"/>
    </row>
    <row r="479">
      <c r="H479" s="26"/>
      <c r="I479" s="26"/>
    </row>
    <row r="480">
      <c r="H480" s="26"/>
      <c r="I480" s="26"/>
    </row>
    <row r="481">
      <c r="H481" s="26"/>
      <c r="I481" s="26"/>
    </row>
    <row r="482">
      <c r="H482" s="26"/>
      <c r="I482" s="26"/>
    </row>
    <row r="483">
      <c r="H483" s="26"/>
      <c r="I483" s="26"/>
    </row>
    <row r="484">
      <c r="H484" s="26"/>
      <c r="I484" s="26"/>
    </row>
    <row r="485">
      <c r="H485" s="26"/>
      <c r="I485" s="26"/>
    </row>
    <row r="486">
      <c r="H486" s="26"/>
      <c r="I486" s="26"/>
    </row>
    <row r="487">
      <c r="H487" s="26"/>
      <c r="I487" s="26"/>
    </row>
    <row r="488">
      <c r="H488" s="26"/>
      <c r="I488" s="26"/>
    </row>
    <row r="489">
      <c r="H489" s="26"/>
      <c r="I489" s="26"/>
    </row>
    <row r="490">
      <c r="H490" s="26"/>
      <c r="I490" s="26"/>
    </row>
    <row r="491">
      <c r="H491" s="26"/>
      <c r="I491" s="26"/>
    </row>
    <row r="492">
      <c r="H492" s="26"/>
      <c r="I492" s="26"/>
    </row>
    <row r="493">
      <c r="H493" s="26"/>
      <c r="I493" s="26"/>
    </row>
    <row r="494">
      <c r="H494" s="26"/>
      <c r="I494" s="26"/>
    </row>
    <row r="495">
      <c r="H495" s="26"/>
      <c r="I495" s="26"/>
    </row>
    <row r="496">
      <c r="H496" s="26"/>
      <c r="I496" s="26"/>
    </row>
    <row r="497">
      <c r="H497" s="26"/>
      <c r="I497" s="26"/>
    </row>
    <row r="498">
      <c r="H498" s="26"/>
      <c r="I498" s="26"/>
    </row>
    <row r="499">
      <c r="H499" s="26"/>
      <c r="I499" s="26"/>
    </row>
    <row r="500">
      <c r="H500" s="26"/>
      <c r="I500" s="26"/>
    </row>
    <row r="501">
      <c r="H501" s="26"/>
      <c r="I501" s="26"/>
    </row>
    <row r="502">
      <c r="H502" s="26"/>
      <c r="I502" s="26"/>
    </row>
    <row r="503">
      <c r="H503" s="26"/>
      <c r="I503" s="26"/>
    </row>
    <row r="504">
      <c r="H504" s="26"/>
      <c r="I504" s="26"/>
    </row>
    <row r="505">
      <c r="H505" s="26"/>
      <c r="I505" s="26"/>
    </row>
    <row r="506">
      <c r="H506" s="26"/>
      <c r="I506" s="26"/>
    </row>
    <row r="507">
      <c r="H507" s="26"/>
      <c r="I507" s="26"/>
    </row>
    <row r="508">
      <c r="H508" s="26"/>
      <c r="I508" s="26"/>
    </row>
    <row r="509">
      <c r="H509" s="26"/>
      <c r="I509" s="26"/>
    </row>
    <row r="510">
      <c r="H510" s="26"/>
      <c r="I510" s="26"/>
    </row>
    <row r="511">
      <c r="H511" s="26"/>
      <c r="I511" s="26"/>
    </row>
    <row r="512">
      <c r="H512" s="26"/>
      <c r="I512" s="26"/>
    </row>
    <row r="513">
      <c r="H513" s="26"/>
      <c r="I513" s="26"/>
    </row>
    <row r="514">
      <c r="H514" s="26"/>
      <c r="I514" s="26"/>
    </row>
    <row r="515">
      <c r="H515" s="26"/>
      <c r="I515" s="26"/>
    </row>
    <row r="516">
      <c r="H516" s="26"/>
      <c r="I516" s="26"/>
    </row>
    <row r="517">
      <c r="H517" s="26"/>
      <c r="I517" s="26"/>
    </row>
    <row r="518">
      <c r="H518" s="26"/>
      <c r="I518" s="26"/>
    </row>
    <row r="519">
      <c r="H519" s="26"/>
      <c r="I519" s="26"/>
    </row>
    <row r="520">
      <c r="H520" s="26"/>
      <c r="I520" s="26"/>
    </row>
    <row r="521">
      <c r="H521" s="26"/>
      <c r="I521" s="26"/>
    </row>
    <row r="522">
      <c r="H522" s="26"/>
      <c r="I522" s="26"/>
    </row>
    <row r="523">
      <c r="H523" s="26"/>
      <c r="I523" s="26"/>
    </row>
    <row r="524">
      <c r="H524" s="26"/>
      <c r="I524" s="26"/>
    </row>
    <row r="525">
      <c r="H525" s="26"/>
      <c r="I525" s="26"/>
    </row>
    <row r="526">
      <c r="H526" s="26"/>
      <c r="I526" s="26"/>
    </row>
    <row r="527">
      <c r="H527" s="26"/>
      <c r="I527" s="26"/>
    </row>
    <row r="528">
      <c r="H528" s="26"/>
      <c r="I528" s="26"/>
    </row>
    <row r="529">
      <c r="H529" s="26"/>
      <c r="I529" s="26"/>
    </row>
    <row r="530">
      <c r="H530" s="26"/>
      <c r="I530" s="26"/>
    </row>
    <row r="531">
      <c r="H531" s="26"/>
      <c r="I531" s="26"/>
    </row>
    <row r="532">
      <c r="H532" s="26"/>
      <c r="I532" s="26"/>
    </row>
    <row r="533">
      <c r="H533" s="26"/>
      <c r="I533" s="26"/>
    </row>
    <row r="534">
      <c r="H534" s="26"/>
      <c r="I534" s="26"/>
    </row>
    <row r="535">
      <c r="H535" s="26"/>
      <c r="I535" s="26"/>
    </row>
    <row r="536">
      <c r="H536" s="26"/>
      <c r="I536" s="26"/>
    </row>
    <row r="537">
      <c r="H537" s="26"/>
      <c r="I537" s="26"/>
    </row>
    <row r="538">
      <c r="H538" s="26"/>
      <c r="I538" s="26"/>
    </row>
    <row r="539">
      <c r="H539" s="26"/>
      <c r="I539" s="26"/>
    </row>
    <row r="540">
      <c r="H540" s="26"/>
      <c r="I540" s="26"/>
    </row>
    <row r="541">
      <c r="H541" s="26"/>
      <c r="I541" s="26"/>
    </row>
    <row r="542">
      <c r="H542" s="26"/>
      <c r="I542" s="26"/>
    </row>
    <row r="543">
      <c r="H543" s="26"/>
      <c r="I543" s="26"/>
    </row>
    <row r="544">
      <c r="H544" s="26"/>
      <c r="I544" s="26"/>
    </row>
    <row r="545">
      <c r="H545" s="26"/>
      <c r="I545" s="26"/>
    </row>
    <row r="546">
      <c r="H546" s="26"/>
      <c r="I546" s="26"/>
    </row>
    <row r="547">
      <c r="H547" s="26"/>
      <c r="I547" s="26"/>
    </row>
    <row r="548">
      <c r="H548" s="26"/>
      <c r="I548" s="26"/>
    </row>
    <row r="549">
      <c r="H549" s="26"/>
      <c r="I549" s="26"/>
    </row>
    <row r="550">
      <c r="H550" s="26"/>
      <c r="I550" s="26"/>
    </row>
    <row r="551">
      <c r="H551" s="26"/>
      <c r="I551" s="26"/>
    </row>
    <row r="552">
      <c r="H552" s="26"/>
      <c r="I552" s="26"/>
    </row>
    <row r="553">
      <c r="H553" s="26"/>
      <c r="I553" s="26"/>
    </row>
    <row r="554">
      <c r="H554" s="26"/>
      <c r="I554" s="26"/>
    </row>
    <row r="555">
      <c r="H555" s="26"/>
      <c r="I555" s="26"/>
    </row>
    <row r="556">
      <c r="H556" s="26"/>
      <c r="I556" s="26"/>
    </row>
    <row r="557">
      <c r="H557" s="26"/>
      <c r="I557" s="26"/>
    </row>
    <row r="558">
      <c r="H558" s="26"/>
      <c r="I558" s="26"/>
    </row>
    <row r="559">
      <c r="H559" s="26"/>
      <c r="I559" s="26"/>
    </row>
    <row r="560">
      <c r="H560" s="26"/>
      <c r="I560" s="26"/>
    </row>
    <row r="561">
      <c r="H561" s="26"/>
      <c r="I561" s="26"/>
    </row>
    <row r="562">
      <c r="H562" s="26"/>
      <c r="I562" s="26"/>
    </row>
    <row r="563">
      <c r="H563" s="26"/>
      <c r="I563" s="26"/>
    </row>
    <row r="564">
      <c r="H564" s="26"/>
      <c r="I564" s="26"/>
    </row>
    <row r="565">
      <c r="H565" s="26"/>
      <c r="I565" s="26"/>
    </row>
    <row r="566">
      <c r="H566" s="26"/>
      <c r="I566" s="26"/>
    </row>
    <row r="567">
      <c r="H567" s="26"/>
      <c r="I567" s="26"/>
    </row>
    <row r="568">
      <c r="H568" s="26"/>
      <c r="I568" s="26"/>
    </row>
    <row r="569">
      <c r="H569" s="26"/>
      <c r="I569" s="26"/>
    </row>
    <row r="570">
      <c r="H570" s="26"/>
      <c r="I570" s="26"/>
    </row>
    <row r="571">
      <c r="H571" s="26"/>
      <c r="I571" s="26"/>
    </row>
    <row r="572">
      <c r="H572" s="26"/>
      <c r="I572" s="26"/>
    </row>
    <row r="573">
      <c r="H573" s="26"/>
      <c r="I573" s="26"/>
    </row>
    <row r="574">
      <c r="H574" s="26"/>
      <c r="I574" s="26"/>
    </row>
    <row r="575">
      <c r="H575" s="26"/>
      <c r="I575" s="26"/>
    </row>
    <row r="576">
      <c r="H576" s="26"/>
      <c r="I576" s="26"/>
    </row>
    <row r="577">
      <c r="H577" s="26"/>
      <c r="I577" s="26"/>
    </row>
    <row r="578">
      <c r="H578" s="26"/>
      <c r="I578" s="26"/>
    </row>
    <row r="579">
      <c r="H579" s="26"/>
      <c r="I579" s="26"/>
    </row>
    <row r="580">
      <c r="H580" s="26"/>
      <c r="I580" s="26"/>
    </row>
    <row r="581">
      <c r="H581" s="26"/>
      <c r="I581" s="26"/>
    </row>
    <row r="582">
      <c r="H582" s="26"/>
      <c r="I582" s="26"/>
    </row>
    <row r="583">
      <c r="H583" s="26"/>
      <c r="I583" s="26"/>
    </row>
    <row r="584">
      <c r="H584" s="26"/>
      <c r="I584" s="26"/>
    </row>
    <row r="585">
      <c r="H585" s="26"/>
      <c r="I585" s="26"/>
    </row>
    <row r="586">
      <c r="H586" s="26"/>
      <c r="I586" s="26"/>
    </row>
    <row r="587">
      <c r="H587" s="26"/>
      <c r="I587" s="26"/>
    </row>
    <row r="588">
      <c r="H588" s="26"/>
      <c r="I588" s="26"/>
    </row>
    <row r="589">
      <c r="H589" s="26"/>
      <c r="I589" s="26"/>
    </row>
    <row r="590">
      <c r="H590" s="26"/>
      <c r="I590" s="26"/>
    </row>
    <row r="591">
      <c r="H591" s="26"/>
      <c r="I591" s="26"/>
    </row>
    <row r="592">
      <c r="H592" s="26"/>
      <c r="I592" s="26"/>
    </row>
    <row r="593">
      <c r="H593" s="26"/>
      <c r="I593" s="26"/>
    </row>
    <row r="594">
      <c r="H594" s="26"/>
      <c r="I594" s="26"/>
    </row>
    <row r="595">
      <c r="H595" s="26"/>
      <c r="I595" s="26"/>
    </row>
    <row r="596">
      <c r="H596" s="26"/>
      <c r="I596" s="26"/>
    </row>
    <row r="597">
      <c r="H597" s="26"/>
      <c r="I597" s="26"/>
    </row>
    <row r="598">
      <c r="H598" s="26"/>
      <c r="I598" s="26"/>
    </row>
    <row r="599">
      <c r="H599" s="26"/>
      <c r="I599" s="26"/>
    </row>
    <row r="600">
      <c r="H600" s="26"/>
      <c r="I600" s="26"/>
    </row>
    <row r="601">
      <c r="H601" s="26"/>
      <c r="I601" s="26"/>
    </row>
    <row r="602">
      <c r="H602" s="26"/>
      <c r="I602" s="26"/>
    </row>
    <row r="603">
      <c r="H603" s="26"/>
      <c r="I603" s="26"/>
    </row>
    <row r="604">
      <c r="H604" s="26"/>
      <c r="I604" s="26"/>
    </row>
    <row r="605">
      <c r="H605" s="26"/>
      <c r="I605" s="26"/>
    </row>
    <row r="606">
      <c r="H606" s="26"/>
      <c r="I606" s="26"/>
    </row>
    <row r="607">
      <c r="H607" s="26"/>
      <c r="I607" s="26"/>
    </row>
    <row r="608">
      <c r="H608" s="26"/>
      <c r="I608" s="26"/>
    </row>
    <row r="609">
      <c r="H609" s="26"/>
      <c r="I609" s="26"/>
    </row>
    <row r="610">
      <c r="H610" s="26"/>
      <c r="I610" s="26"/>
    </row>
    <row r="611">
      <c r="H611" s="26"/>
      <c r="I611" s="26"/>
    </row>
    <row r="612">
      <c r="H612" s="26"/>
      <c r="I612" s="26"/>
    </row>
    <row r="613">
      <c r="H613" s="26"/>
      <c r="I613" s="26"/>
    </row>
    <row r="614">
      <c r="H614" s="26"/>
      <c r="I614" s="26"/>
    </row>
    <row r="615">
      <c r="H615" s="26"/>
      <c r="I615" s="26"/>
    </row>
    <row r="616">
      <c r="H616" s="26"/>
      <c r="I616" s="26"/>
    </row>
    <row r="617">
      <c r="H617" s="26"/>
      <c r="I617" s="26"/>
    </row>
    <row r="618">
      <c r="H618" s="26"/>
      <c r="I618" s="26"/>
    </row>
    <row r="619">
      <c r="H619" s="26"/>
      <c r="I619" s="26"/>
    </row>
    <row r="620">
      <c r="H620" s="26"/>
      <c r="I620" s="26"/>
    </row>
    <row r="621">
      <c r="H621" s="26"/>
      <c r="I621" s="26"/>
    </row>
    <row r="622">
      <c r="H622" s="26"/>
      <c r="I622" s="26"/>
    </row>
    <row r="623">
      <c r="H623" s="26"/>
      <c r="I623" s="26"/>
    </row>
    <row r="624">
      <c r="H624" s="26"/>
      <c r="I624" s="26"/>
    </row>
    <row r="625">
      <c r="H625" s="26"/>
      <c r="I625" s="26"/>
    </row>
    <row r="626">
      <c r="H626" s="26"/>
      <c r="I626" s="26"/>
    </row>
    <row r="627">
      <c r="H627" s="26"/>
      <c r="I627" s="26"/>
    </row>
    <row r="628">
      <c r="H628" s="26"/>
      <c r="I628" s="26"/>
    </row>
    <row r="629">
      <c r="H629" s="26"/>
      <c r="I629" s="26"/>
    </row>
    <row r="630">
      <c r="H630" s="26"/>
      <c r="I630" s="26"/>
    </row>
    <row r="631">
      <c r="H631" s="26"/>
      <c r="I631" s="26"/>
    </row>
    <row r="632">
      <c r="H632" s="26"/>
      <c r="I632" s="26"/>
    </row>
    <row r="633">
      <c r="H633" s="26"/>
      <c r="I633" s="26"/>
    </row>
    <row r="634">
      <c r="H634" s="26"/>
      <c r="I634" s="26"/>
    </row>
    <row r="635">
      <c r="H635" s="26"/>
      <c r="I635" s="26"/>
    </row>
    <row r="636">
      <c r="H636" s="26"/>
      <c r="I636" s="26"/>
    </row>
    <row r="637">
      <c r="H637" s="26"/>
      <c r="I637" s="26"/>
    </row>
    <row r="638">
      <c r="H638" s="26"/>
      <c r="I638" s="26"/>
    </row>
    <row r="639">
      <c r="H639" s="26"/>
      <c r="I639" s="26"/>
    </row>
    <row r="640">
      <c r="H640" s="26"/>
      <c r="I640" s="26"/>
    </row>
    <row r="641">
      <c r="H641" s="26"/>
      <c r="I641" s="26"/>
    </row>
    <row r="642">
      <c r="H642" s="26"/>
      <c r="I642" s="26"/>
    </row>
    <row r="643">
      <c r="H643" s="26"/>
      <c r="I643" s="26"/>
    </row>
    <row r="644">
      <c r="H644" s="26"/>
      <c r="I644" s="26"/>
    </row>
    <row r="645">
      <c r="H645" s="26"/>
      <c r="I645" s="26"/>
    </row>
    <row r="646">
      <c r="H646" s="26"/>
      <c r="I646" s="26"/>
    </row>
    <row r="647">
      <c r="H647" s="26"/>
      <c r="I647" s="26"/>
    </row>
    <row r="648">
      <c r="H648" s="26"/>
      <c r="I648" s="26"/>
    </row>
    <row r="649">
      <c r="H649" s="26"/>
      <c r="I649" s="26"/>
    </row>
    <row r="650">
      <c r="H650" s="26"/>
      <c r="I650" s="26"/>
    </row>
    <row r="651">
      <c r="H651" s="26"/>
      <c r="I651" s="26"/>
    </row>
    <row r="652">
      <c r="H652" s="26"/>
      <c r="I652" s="26"/>
    </row>
    <row r="653">
      <c r="H653" s="26"/>
      <c r="I653" s="26"/>
    </row>
    <row r="654">
      <c r="H654" s="26"/>
      <c r="I654" s="26"/>
    </row>
    <row r="655">
      <c r="H655" s="26"/>
      <c r="I655" s="26"/>
    </row>
    <row r="656">
      <c r="H656" s="26"/>
      <c r="I656" s="26"/>
    </row>
    <row r="657">
      <c r="H657" s="26"/>
      <c r="I657" s="26"/>
    </row>
    <row r="658">
      <c r="H658" s="26"/>
      <c r="I658" s="26"/>
    </row>
    <row r="659">
      <c r="H659" s="26"/>
      <c r="I659" s="26"/>
    </row>
    <row r="660">
      <c r="H660" s="26"/>
      <c r="I660" s="26"/>
    </row>
    <row r="661">
      <c r="H661" s="26"/>
      <c r="I661" s="26"/>
    </row>
    <row r="662">
      <c r="H662" s="26"/>
      <c r="I662" s="26"/>
    </row>
    <row r="663">
      <c r="H663" s="26"/>
      <c r="I663" s="26"/>
    </row>
    <row r="664">
      <c r="H664" s="26"/>
      <c r="I664" s="26"/>
    </row>
    <row r="665">
      <c r="H665" s="26"/>
      <c r="I665" s="26"/>
    </row>
    <row r="666">
      <c r="H666" s="26"/>
      <c r="I666" s="26"/>
    </row>
    <row r="667">
      <c r="H667" s="26"/>
      <c r="I667" s="26"/>
    </row>
    <row r="668">
      <c r="H668" s="26"/>
      <c r="I668" s="26"/>
    </row>
    <row r="669">
      <c r="H669" s="26"/>
      <c r="I669" s="26"/>
    </row>
    <row r="670">
      <c r="H670" s="26"/>
      <c r="I670" s="26"/>
    </row>
    <row r="671">
      <c r="H671" s="26"/>
      <c r="I671" s="26"/>
    </row>
    <row r="672">
      <c r="H672" s="26"/>
      <c r="I672" s="26"/>
    </row>
    <row r="673">
      <c r="H673" s="26"/>
      <c r="I673" s="26"/>
    </row>
    <row r="674">
      <c r="H674" s="26"/>
      <c r="I674" s="26"/>
    </row>
    <row r="675">
      <c r="H675" s="26"/>
      <c r="I675" s="26"/>
    </row>
    <row r="676">
      <c r="H676" s="26"/>
      <c r="I676" s="26"/>
    </row>
    <row r="677">
      <c r="H677" s="26"/>
      <c r="I677" s="26"/>
    </row>
    <row r="678">
      <c r="H678" s="26"/>
      <c r="I678" s="26"/>
    </row>
    <row r="679">
      <c r="H679" s="26"/>
      <c r="I679" s="26"/>
    </row>
    <row r="680">
      <c r="H680" s="26"/>
      <c r="I680" s="26"/>
    </row>
    <row r="681">
      <c r="H681" s="26"/>
      <c r="I681" s="26"/>
    </row>
    <row r="682">
      <c r="H682" s="26"/>
      <c r="I682" s="26"/>
    </row>
    <row r="683">
      <c r="H683" s="26"/>
      <c r="I683" s="26"/>
    </row>
    <row r="684">
      <c r="H684" s="26"/>
      <c r="I684" s="26"/>
    </row>
    <row r="685">
      <c r="H685" s="26"/>
      <c r="I685" s="26"/>
    </row>
    <row r="686">
      <c r="H686" s="26"/>
      <c r="I686" s="26"/>
    </row>
    <row r="687">
      <c r="H687" s="26"/>
      <c r="I687" s="26"/>
    </row>
    <row r="688">
      <c r="H688" s="26"/>
      <c r="I688" s="26"/>
    </row>
    <row r="689">
      <c r="H689" s="26"/>
      <c r="I689" s="26"/>
    </row>
    <row r="690">
      <c r="H690" s="26"/>
      <c r="I690" s="26"/>
    </row>
    <row r="691">
      <c r="H691" s="26"/>
      <c r="I691" s="26"/>
    </row>
    <row r="692">
      <c r="H692" s="26"/>
      <c r="I692" s="26"/>
    </row>
    <row r="693">
      <c r="H693" s="26"/>
      <c r="I693" s="26"/>
    </row>
    <row r="694">
      <c r="H694" s="26"/>
      <c r="I694" s="26"/>
    </row>
    <row r="695">
      <c r="H695" s="26"/>
      <c r="I695" s="26"/>
    </row>
    <row r="696">
      <c r="H696" s="26"/>
      <c r="I696" s="26"/>
    </row>
    <row r="697">
      <c r="H697" s="26"/>
      <c r="I697" s="26"/>
    </row>
    <row r="698">
      <c r="H698" s="26"/>
      <c r="I698" s="26"/>
    </row>
    <row r="699">
      <c r="H699" s="26"/>
      <c r="I699" s="26"/>
    </row>
    <row r="700">
      <c r="H700" s="26"/>
      <c r="I700" s="26"/>
    </row>
    <row r="701">
      <c r="H701" s="26"/>
      <c r="I701" s="26"/>
    </row>
    <row r="702">
      <c r="H702" s="26"/>
      <c r="I702" s="26"/>
    </row>
    <row r="703">
      <c r="H703" s="26"/>
      <c r="I703" s="26"/>
    </row>
    <row r="704">
      <c r="H704" s="26"/>
      <c r="I704" s="26"/>
    </row>
    <row r="705">
      <c r="H705" s="26"/>
      <c r="I705" s="26"/>
    </row>
    <row r="706">
      <c r="H706" s="26"/>
      <c r="I706" s="26"/>
    </row>
    <row r="707">
      <c r="H707" s="26"/>
      <c r="I707" s="26"/>
    </row>
    <row r="708">
      <c r="H708" s="26"/>
      <c r="I708" s="26"/>
    </row>
    <row r="709">
      <c r="H709" s="26"/>
      <c r="I709" s="26"/>
    </row>
    <row r="710">
      <c r="H710" s="26"/>
      <c r="I710" s="26"/>
    </row>
    <row r="711">
      <c r="H711" s="26"/>
      <c r="I711" s="26"/>
    </row>
    <row r="712">
      <c r="H712" s="26"/>
      <c r="I712" s="26"/>
    </row>
    <row r="713">
      <c r="H713" s="26"/>
      <c r="I713" s="26"/>
    </row>
    <row r="714">
      <c r="H714" s="26"/>
      <c r="I714" s="26"/>
    </row>
    <row r="715">
      <c r="H715" s="26"/>
      <c r="I715" s="26"/>
    </row>
    <row r="716">
      <c r="H716" s="26"/>
      <c r="I716" s="26"/>
    </row>
    <row r="717">
      <c r="H717" s="26"/>
      <c r="I717" s="26"/>
    </row>
    <row r="718">
      <c r="H718" s="26"/>
      <c r="I718" s="26"/>
    </row>
    <row r="719">
      <c r="H719" s="26"/>
      <c r="I719" s="26"/>
    </row>
    <row r="720">
      <c r="H720" s="26"/>
      <c r="I720" s="26"/>
    </row>
    <row r="721">
      <c r="H721" s="26"/>
      <c r="I721" s="26"/>
    </row>
    <row r="722">
      <c r="H722" s="26"/>
      <c r="I722" s="26"/>
    </row>
    <row r="723">
      <c r="H723" s="26"/>
      <c r="I723" s="26"/>
    </row>
    <row r="724">
      <c r="H724" s="26"/>
      <c r="I724" s="26"/>
    </row>
    <row r="725">
      <c r="H725" s="26"/>
      <c r="I725" s="26"/>
    </row>
    <row r="726">
      <c r="H726" s="26"/>
      <c r="I726" s="26"/>
    </row>
    <row r="727">
      <c r="H727" s="26"/>
      <c r="I727" s="26"/>
    </row>
    <row r="728">
      <c r="H728" s="26"/>
      <c r="I728" s="26"/>
    </row>
    <row r="729">
      <c r="H729" s="26"/>
      <c r="I729" s="26"/>
    </row>
    <row r="730">
      <c r="H730" s="26"/>
      <c r="I730" s="26"/>
    </row>
    <row r="731">
      <c r="H731" s="26"/>
      <c r="I731" s="26"/>
    </row>
    <row r="732">
      <c r="H732" s="26"/>
      <c r="I732" s="26"/>
    </row>
    <row r="733">
      <c r="H733" s="26"/>
      <c r="I733" s="26"/>
    </row>
    <row r="734">
      <c r="H734" s="26"/>
      <c r="I734" s="26"/>
    </row>
    <row r="735">
      <c r="H735" s="26"/>
      <c r="I735" s="26"/>
    </row>
    <row r="736">
      <c r="H736" s="26"/>
      <c r="I736" s="26"/>
    </row>
    <row r="737">
      <c r="H737" s="26"/>
      <c r="I737" s="26"/>
    </row>
    <row r="738">
      <c r="H738" s="26"/>
      <c r="I738" s="26"/>
    </row>
    <row r="739">
      <c r="H739" s="26"/>
      <c r="I739" s="26"/>
    </row>
    <row r="740">
      <c r="H740" s="26"/>
      <c r="I740" s="26"/>
    </row>
    <row r="741">
      <c r="H741" s="26"/>
      <c r="I741" s="26"/>
    </row>
    <row r="742">
      <c r="H742" s="26"/>
      <c r="I742" s="26"/>
    </row>
    <row r="743">
      <c r="H743" s="26"/>
      <c r="I743" s="26"/>
    </row>
    <row r="744">
      <c r="H744" s="26"/>
      <c r="I744" s="26"/>
    </row>
    <row r="745">
      <c r="H745" s="26"/>
      <c r="I745" s="26"/>
    </row>
    <row r="746">
      <c r="H746" s="26"/>
      <c r="I746" s="26"/>
    </row>
    <row r="747">
      <c r="H747" s="26"/>
      <c r="I747" s="26"/>
    </row>
    <row r="748">
      <c r="H748" s="26"/>
      <c r="I748" s="26"/>
    </row>
    <row r="749">
      <c r="H749" s="26"/>
      <c r="I749" s="26"/>
    </row>
    <row r="750">
      <c r="H750" s="26"/>
      <c r="I750" s="26"/>
    </row>
    <row r="751">
      <c r="H751" s="26"/>
      <c r="I751" s="26"/>
    </row>
    <row r="752">
      <c r="H752" s="26"/>
      <c r="I752" s="26"/>
    </row>
    <row r="753">
      <c r="H753" s="26"/>
      <c r="I753" s="26"/>
    </row>
    <row r="754">
      <c r="H754" s="26"/>
      <c r="I754" s="26"/>
    </row>
    <row r="755">
      <c r="H755" s="26"/>
      <c r="I755" s="26"/>
    </row>
    <row r="756">
      <c r="H756" s="26"/>
      <c r="I756" s="26"/>
    </row>
    <row r="757">
      <c r="H757" s="26"/>
      <c r="I757" s="26"/>
    </row>
    <row r="758">
      <c r="H758" s="26"/>
      <c r="I758" s="26"/>
    </row>
    <row r="759">
      <c r="H759" s="26"/>
      <c r="I759" s="26"/>
    </row>
    <row r="760">
      <c r="H760" s="26"/>
      <c r="I760" s="26"/>
    </row>
    <row r="761">
      <c r="H761" s="26"/>
      <c r="I761" s="26"/>
    </row>
    <row r="762">
      <c r="H762" s="26"/>
      <c r="I762" s="26"/>
    </row>
    <row r="763">
      <c r="H763" s="26"/>
      <c r="I763" s="26"/>
    </row>
    <row r="764">
      <c r="H764" s="26"/>
      <c r="I764" s="26"/>
    </row>
    <row r="765">
      <c r="H765" s="26"/>
      <c r="I765" s="26"/>
    </row>
    <row r="766">
      <c r="H766" s="26"/>
      <c r="I766" s="26"/>
    </row>
    <row r="767">
      <c r="H767" s="26"/>
      <c r="I767" s="26"/>
    </row>
    <row r="768">
      <c r="H768" s="26"/>
      <c r="I768" s="26"/>
    </row>
    <row r="769">
      <c r="H769" s="26"/>
      <c r="I769" s="26"/>
    </row>
    <row r="770">
      <c r="H770" s="26"/>
      <c r="I770" s="26"/>
    </row>
    <row r="771">
      <c r="H771" s="26"/>
      <c r="I771" s="26"/>
    </row>
    <row r="772">
      <c r="H772" s="26"/>
      <c r="I772" s="26"/>
    </row>
    <row r="773">
      <c r="H773" s="26"/>
      <c r="I773" s="26"/>
    </row>
    <row r="774">
      <c r="H774" s="26"/>
      <c r="I774" s="26"/>
    </row>
    <row r="775">
      <c r="H775" s="26"/>
      <c r="I775" s="26"/>
    </row>
    <row r="776">
      <c r="H776" s="26"/>
      <c r="I776" s="26"/>
    </row>
    <row r="777">
      <c r="H777" s="26"/>
      <c r="I777" s="26"/>
    </row>
    <row r="778">
      <c r="H778" s="26"/>
      <c r="I778" s="26"/>
    </row>
    <row r="779">
      <c r="H779" s="26"/>
      <c r="I779" s="26"/>
    </row>
    <row r="780">
      <c r="H780" s="26"/>
      <c r="I780" s="26"/>
    </row>
    <row r="781">
      <c r="H781" s="26"/>
      <c r="I781" s="26"/>
    </row>
    <row r="782">
      <c r="H782" s="26"/>
      <c r="I782" s="26"/>
    </row>
    <row r="783">
      <c r="H783" s="26"/>
      <c r="I783" s="26"/>
    </row>
    <row r="784">
      <c r="H784" s="26"/>
      <c r="I784" s="26"/>
    </row>
    <row r="785">
      <c r="H785" s="26"/>
      <c r="I785" s="26"/>
    </row>
    <row r="786">
      <c r="H786" s="26"/>
      <c r="I786" s="26"/>
    </row>
    <row r="787">
      <c r="H787" s="26"/>
      <c r="I787" s="26"/>
    </row>
    <row r="788">
      <c r="H788" s="26"/>
      <c r="I788" s="26"/>
    </row>
    <row r="789">
      <c r="H789" s="26"/>
      <c r="I789" s="26"/>
    </row>
    <row r="790">
      <c r="H790" s="26"/>
      <c r="I790" s="26"/>
    </row>
    <row r="791">
      <c r="H791" s="26"/>
      <c r="I791" s="26"/>
    </row>
    <row r="792">
      <c r="H792" s="26"/>
      <c r="I792" s="26"/>
    </row>
    <row r="793">
      <c r="H793" s="26"/>
      <c r="I793" s="26"/>
    </row>
    <row r="794">
      <c r="H794" s="26"/>
      <c r="I794" s="26"/>
    </row>
    <row r="795">
      <c r="H795" s="26"/>
      <c r="I795" s="26"/>
    </row>
    <row r="796">
      <c r="H796" s="26"/>
      <c r="I796" s="26"/>
    </row>
    <row r="797">
      <c r="H797" s="26"/>
      <c r="I797" s="26"/>
    </row>
    <row r="798">
      <c r="H798" s="26"/>
      <c r="I798" s="26"/>
    </row>
    <row r="799">
      <c r="H799" s="26"/>
      <c r="I799" s="26"/>
    </row>
    <row r="800">
      <c r="H800" s="26"/>
      <c r="I800" s="26"/>
    </row>
    <row r="801">
      <c r="H801" s="26"/>
      <c r="I801" s="26"/>
    </row>
    <row r="802">
      <c r="H802" s="26"/>
      <c r="I802" s="26"/>
    </row>
    <row r="803">
      <c r="H803" s="26"/>
      <c r="I803" s="26"/>
    </row>
    <row r="804">
      <c r="H804" s="26"/>
      <c r="I804" s="26"/>
    </row>
    <row r="805">
      <c r="H805" s="26"/>
      <c r="I805" s="26"/>
    </row>
    <row r="806">
      <c r="H806" s="26"/>
      <c r="I806" s="26"/>
    </row>
    <row r="807">
      <c r="H807" s="26"/>
      <c r="I807" s="26"/>
    </row>
    <row r="808">
      <c r="H808" s="26"/>
      <c r="I808" s="26"/>
    </row>
    <row r="809">
      <c r="H809" s="26"/>
      <c r="I809" s="26"/>
    </row>
    <row r="810">
      <c r="H810" s="26"/>
      <c r="I810" s="26"/>
    </row>
    <row r="811">
      <c r="H811" s="26"/>
      <c r="I811" s="26"/>
    </row>
    <row r="812">
      <c r="H812" s="26"/>
      <c r="I812" s="26"/>
    </row>
    <row r="813">
      <c r="H813" s="26"/>
      <c r="I813" s="26"/>
    </row>
    <row r="814">
      <c r="H814" s="26"/>
      <c r="I814" s="26"/>
    </row>
    <row r="815">
      <c r="H815" s="26"/>
      <c r="I815" s="26"/>
    </row>
    <row r="816">
      <c r="H816" s="26"/>
      <c r="I816" s="26"/>
    </row>
    <row r="817">
      <c r="H817" s="26"/>
      <c r="I817" s="26"/>
    </row>
    <row r="818">
      <c r="H818" s="26"/>
      <c r="I818" s="26"/>
    </row>
    <row r="819">
      <c r="H819" s="26"/>
      <c r="I819" s="26"/>
    </row>
    <row r="820">
      <c r="H820" s="26"/>
      <c r="I820" s="26"/>
    </row>
    <row r="821">
      <c r="H821" s="26"/>
      <c r="I821" s="26"/>
    </row>
    <row r="822">
      <c r="H822" s="26"/>
      <c r="I822" s="26"/>
    </row>
    <row r="823">
      <c r="H823" s="26"/>
      <c r="I823" s="26"/>
    </row>
    <row r="824">
      <c r="H824" s="26"/>
      <c r="I824" s="26"/>
    </row>
    <row r="825">
      <c r="H825" s="26"/>
      <c r="I825" s="26"/>
    </row>
    <row r="826">
      <c r="H826" s="26"/>
      <c r="I826" s="26"/>
    </row>
    <row r="827">
      <c r="H827" s="26"/>
      <c r="I827" s="26"/>
    </row>
    <row r="828">
      <c r="H828" s="26"/>
      <c r="I828" s="26"/>
    </row>
    <row r="829">
      <c r="H829" s="26"/>
      <c r="I829" s="26"/>
    </row>
    <row r="830">
      <c r="H830" s="26"/>
      <c r="I830" s="26"/>
    </row>
    <row r="831">
      <c r="H831" s="26"/>
      <c r="I831" s="26"/>
    </row>
    <row r="832">
      <c r="H832" s="26"/>
      <c r="I832" s="26"/>
    </row>
    <row r="833">
      <c r="H833" s="26"/>
      <c r="I833" s="26"/>
    </row>
    <row r="834">
      <c r="H834" s="26"/>
      <c r="I834" s="26"/>
    </row>
    <row r="835">
      <c r="H835" s="26"/>
      <c r="I835" s="26"/>
    </row>
    <row r="836">
      <c r="H836" s="26"/>
      <c r="I836" s="26"/>
    </row>
    <row r="837">
      <c r="H837" s="26"/>
      <c r="I837" s="26"/>
    </row>
    <row r="838">
      <c r="H838" s="26"/>
      <c r="I838" s="26"/>
    </row>
    <row r="839">
      <c r="H839" s="26"/>
      <c r="I839" s="26"/>
    </row>
    <row r="840">
      <c r="H840" s="26"/>
      <c r="I840" s="26"/>
    </row>
    <row r="841">
      <c r="H841" s="26"/>
      <c r="I841" s="26"/>
    </row>
    <row r="842">
      <c r="H842" s="26"/>
      <c r="I842" s="26"/>
    </row>
    <row r="843">
      <c r="H843" s="26"/>
      <c r="I843" s="26"/>
    </row>
    <row r="844">
      <c r="H844" s="26"/>
      <c r="I844" s="26"/>
    </row>
    <row r="845">
      <c r="H845" s="26"/>
      <c r="I845" s="26"/>
    </row>
    <row r="846">
      <c r="H846" s="26"/>
      <c r="I846" s="26"/>
    </row>
    <row r="847">
      <c r="H847" s="26"/>
      <c r="I847" s="26"/>
    </row>
    <row r="848">
      <c r="H848" s="26"/>
      <c r="I848" s="26"/>
    </row>
    <row r="849">
      <c r="H849" s="26"/>
      <c r="I849" s="26"/>
    </row>
    <row r="850">
      <c r="H850" s="26"/>
      <c r="I850" s="26"/>
    </row>
    <row r="851">
      <c r="H851" s="26"/>
      <c r="I851" s="26"/>
    </row>
    <row r="852">
      <c r="H852" s="26"/>
      <c r="I852" s="26"/>
    </row>
    <row r="853">
      <c r="H853" s="26"/>
      <c r="I853" s="26"/>
    </row>
    <row r="854">
      <c r="H854" s="26"/>
      <c r="I854" s="26"/>
    </row>
    <row r="855">
      <c r="H855" s="26"/>
      <c r="I855" s="26"/>
    </row>
    <row r="856">
      <c r="H856" s="26"/>
      <c r="I856" s="26"/>
    </row>
    <row r="857">
      <c r="H857" s="26"/>
      <c r="I857" s="26"/>
    </row>
    <row r="858">
      <c r="H858" s="26"/>
      <c r="I858" s="26"/>
    </row>
    <row r="859">
      <c r="H859" s="26"/>
      <c r="I859" s="26"/>
    </row>
    <row r="860">
      <c r="H860" s="26"/>
      <c r="I860" s="26"/>
    </row>
    <row r="861">
      <c r="H861" s="26"/>
      <c r="I861" s="26"/>
    </row>
    <row r="862">
      <c r="H862" s="26"/>
      <c r="I862" s="26"/>
    </row>
    <row r="863">
      <c r="H863" s="26"/>
      <c r="I863" s="26"/>
    </row>
    <row r="864">
      <c r="H864" s="26"/>
      <c r="I864" s="26"/>
    </row>
    <row r="865">
      <c r="H865" s="26"/>
      <c r="I865" s="26"/>
    </row>
    <row r="866">
      <c r="H866" s="26"/>
      <c r="I866" s="26"/>
    </row>
    <row r="867">
      <c r="H867" s="26"/>
      <c r="I867" s="26"/>
    </row>
    <row r="868">
      <c r="H868" s="26"/>
      <c r="I868" s="26"/>
    </row>
    <row r="869">
      <c r="H869" s="26"/>
      <c r="I869" s="26"/>
    </row>
    <row r="870">
      <c r="H870" s="26"/>
      <c r="I870" s="26"/>
    </row>
    <row r="871">
      <c r="H871" s="26"/>
      <c r="I871" s="26"/>
    </row>
    <row r="872">
      <c r="H872" s="26"/>
      <c r="I872" s="26"/>
    </row>
    <row r="873">
      <c r="H873" s="26"/>
      <c r="I873" s="26"/>
    </row>
    <row r="874">
      <c r="H874" s="26"/>
      <c r="I874" s="26"/>
    </row>
    <row r="875">
      <c r="H875" s="26"/>
      <c r="I875" s="26"/>
    </row>
    <row r="876">
      <c r="H876" s="26"/>
      <c r="I876" s="26"/>
    </row>
    <row r="877">
      <c r="H877" s="26"/>
      <c r="I877" s="26"/>
    </row>
    <row r="878">
      <c r="H878" s="26"/>
      <c r="I878" s="26"/>
    </row>
    <row r="879">
      <c r="H879" s="26"/>
      <c r="I879" s="26"/>
    </row>
    <row r="880">
      <c r="H880" s="26"/>
      <c r="I880" s="26"/>
    </row>
    <row r="881">
      <c r="H881" s="26"/>
      <c r="I881" s="26"/>
    </row>
    <row r="882">
      <c r="H882" s="26"/>
      <c r="I882" s="26"/>
    </row>
    <row r="883">
      <c r="H883" s="26"/>
      <c r="I883" s="26"/>
    </row>
    <row r="884">
      <c r="H884" s="26"/>
      <c r="I884" s="26"/>
    </row>
    <row r="885">
      <c r="H885" s="26"/>
      <c r="I885" s="26"/>
    </row>
    <row r="886">
      <c r="H886" s="26"/>
      <c r="I886" s="26"/>
    </row>
    <row r="887">
      <c r="H887" s="26"/>
      <c r="I887" s="26"/>
    </row>
    <row r="888">
      <c r="H888" s="26"/>
      <c r="I888" s="26"/>
    </row>
    <row r="889">
      <c r="H889" s="26"/>
      <c r="I889" s="26"/>
    </row>
    <row r="890">
      <c r="H890" s="26"/>
      <c r="I890" s="26"/>
    </row>
    <row r="891">
      <c r="H891" s="26"/>
      <c r="I891" s="26"/>
    </row>
    <row r="892">
      <c r="H892" s="26"/>
      <c r="I892" s="26"/>
    </row>
    <row r="893">
      <c r="H893" s="26"/>
      <c r="I893" s="26"/>
    </row>
    <row r="894">
      <c r="H894" s="26"/>
      <c r="I894" s="26"/>
    </row>
    <row r="895">
      <c r="H895" s="26"/>
      <c r="I895" s="26"/>
    </row>
    <row r="896">
      <c r="H896" s="26"/>
      <c r="I896" s="26"/>
    </row>
    <row r="897">
      <c r="H897" s="26"/>
      <c r="I897" s="26"/>
    </row>
    <row r="898">
      <c r="H898" s="26"/>
      <c r="I898" s="26"/>
    </row>
    <row r="899">
      <c r="H899" s="26"/>
      <c r="I899" s="26"/>
    </row>
    <row r="900">
      <c r="H900" s="26"/>
      <c r="I900" s="26"/>
    </row>
    <row r="901">
      <c r="H901" s="26"/>
      <c r="I901" s="26"/>
    </row>
    <row r="902">
      <c r="H902" s="26"/>
      <c r="I902" s="26"/>
    </row>
    <row r="903">
      <c r="H903" s="26"/>
      <c r="I903" s="26"/>
    </row>
    <row r="904">
      <c r="H904" s="26"/>
      <c r="I904" s="26"/>
    </row>
    <row r="905">
      <c r="H905" s="26"/>
      <c r="I905" s="26"/>
    </row>
    <row r="906">
      <c r="H906" s="26"/>
      <c r="I906" s="26"/>
    </row>
    <row r="907">
      <c r="H907" s="26"/>
      <c r="I907" s="26"/>
    </row>
    <row r="908">
      <c r="H908" s="26"/>
      <c r="I908" s="26"/>
    </row>
    <row r="909">
      <c r="H909" s="26"/>
      <c r="I909" s="26"/>
    </row>
    <row r="910">
      <c r="H910" s="26"/>
      <c r="I910" s="26"/>
    </row>
    <row r="911">
      <c r="H911" s="26"/>
      <c r="I911" s="26"/>
    </row>
    <row r="912">
      <c r="H912" s="26"/>
      <c r="I912" s="26"/>
    </row>
    <row r="913">
      <c r="H913" s="26"/>
      <c r="I913" s="26"/>
    </row>
    <row r="914">
      <c r="H914" s="26"/>
      <c r="I914" s="26"/>
    </row>
    <row r="915">
      <c r="H915" s="26"/>
      <c r="I915" s="26"/>
    </row>
    <row r="916">
      <c r="H916" s="26"/>
      <c r="I916" s="26"/>
    </row>
    <row r="917">
      <c r="H917" s="26"/>
      <c r="I917" s="26"/>
    </row>
    <row r="918">
      <c r="H918" s="26"/>
      <c r="I918" s="26"/>
    </row>
    <row r="919">
      <c r="H919" s="26"/>
      <c r="I919" s="26"/>
    </row>
    <row r="920">
      <c r="H920" s="26"/>
      <c r="I920" s="26"/>
    </row>
    <row r="921">
      <c r="H921" s="26"/>
      <c r="I921" s="26"/>
    </row>
    <row r="922">
      <c r="H922" s="26"/>
      <c r="I922" s="26"/>
    </row>
    <row r="923">
      <c r="H923" s="26"/>
      <c r="I923" s="26"/>
    </row>
    <row r="924">
      <c r="H924" s="26"/>
      <c r="I924" s="26"/>
    </row>
    <row r="925">
      <c r="H925" s="26"/>
      <c r="I925" s="26"/>
    </row>
    <row r="926">
      <c r="H926" s="26"/>
      <c r="I926" s="26"/>
    </row>
    <row r="927">
      <c r="H927" s="26"/>
      <c r="I927" s="26"/>
    </row>
    <row r="928">
      <c r="H928" s="26"/>
      <c r="I928" s="26"/>
    </row>
    <row r="929">
      <c r="H929" s="26"/>
      <c r="I929" s="26"/>
    </row>
    <row r="930">
      <c r="H930" s="26"/>
      <c r="I930" s="26"/>
    </row>
    <row r="931">
      <c r="H931" s="26"/>
      <c r="I931" s="26"/>
    </row>
    <row r="932">
      <c r="H932" s="26"/>
      <c r="I932" s="26"/>
    </row>
    <row r="933">
      <c r="H933" s="26"/>
      <c r="I933" s="26"/>
    </row>
    <row r="934">
      <c r="H934" s="26"/>
      <c r="I934" s="26"/>
    </row>
    <row r="935">
      <c r="H935" s="26"/>
      <c r="I935" s="26"/>
    </row>
    <row r="936">
      <c r="H936" s="26"/>
      <c r="I936" s="26"/>
    </row>
    <row r="937">
      <c r="H937" s="26"/>
      <c r="I937" s="26"/>
    </row>
    <row r="938">
      <c r="H938" s="26"/>
      <c r="I938" s="26"/>
    </row>
    <row r="939">
      <c r="H939" s="26"/>
      <c r="I939" s="26"/>
    </row>
    <row r="940">
      <c r="H940" s="26"/>
      <c r="I940" s="26"/>
    </row>
    <row r="941">
      <c r="H941" s="26"/>
      <c r="I941" s="26"/>
    </row>
    <row r="942">
      <c r="H942" s="26"/>
      <c r="I942" s="26"/>
    </row>
    <row r="943">
      <c r="H943" s="26"/>
      <c r="I943" s="26"/>
    </row>
    <row r="944">
      <c r="H944" s="26"/>
      <c r="I944" s="26"/>
    </row>
    <row r="945">
      <c r="H945" s="26"/>
      <c r="I945" s="26"/>
    </row>
    <row r="946">
      <c r="H946" s="26"/>
      <c r="I946" s="26"/>
    </row>
    <row r="947">
      <c r="H947" s="26"/>
      <c r="I947" s="26"/>
    </row>
    <row r="948">
      <c r="H948" s="26"/>
      <c r="I948" s="26"/>
    </row>
    <row r="949">
      <c r="H949" s="26"/>
      <c r="I949" s="26"/>
    </row>
    <row r="950">
      <c r="H950" s="26"/>
      <c r="I950" s="26"/>
    </row>
    <row r="951">
      <c r="H951" s="26"/>
      <c r="I951" s="26"/>
    </row>
    <row r="952">
      <c r="H952" s="26"/>
      <c r="I952" s="26"/>
    </row>
    <row r="953">
      <c r="H953" s="26"/>
      <c r="I953" s="26"/>
    </row>
    <row r="954">
      <c r="H954" s="26"/>
      <c r="I954" s="26"/>
    </row>
    <row r="955">
      <c r="H955" s="26"/>
      <c r="I955" s="26"/>
    </row>
    <row r="956">
      <c r="H956" s="26"/>
      <c r="I956" s="26"/>
    </row>
    <row r="957">
      <c r="H957" s="26"/>
      <c r="I957" s="26"/>
    </row>
    <row r="958">
      <c r="H958" s="26"/>
      <c r="I958" s="26"/>
    </row>
    <row r="959">
      <c r="H959" s="26"/>
      <c r="I959" s="26"/>
    </row>
    <row r="960">
      <c r="H960" s="26"/>
      <c r="I960" s="26"/>
    </row>
    <row r="961">
      <c r="H961" s="26"/>
      <c r="I961" s="26"/>
    </row>
    <row r="962">
      <c r="H962" s="26"/>
      <c r="I962" s="26"/>
    </row>
    <row r="963">
      <c r="H963" s="26"/>
      <c r="I963" s="26"/>
    </row>
    <row r="964">
      <c r="H964" s="26"/>
      <c r="I964" s="26"/>
    </row>
    <row r="965">
      <c r="H965" s="26"/>
      <c r="I965" s="26"/>
    </row>
    <row r="966">
      <c r="H966" s="26"/>
      <c r="I966" s="26"/>
    </row>
    <row r="967">
      <c r="H967" s="26"/>
      <c r="I967" s="26"/>
    </row>
    <row r="968">
      <c r="H968" s="26"/>
      <c r="I968" s="26"/>
    </row>
    <row r="969">
      <c r="H969" s="26"/>
      <c r="I969" s="26"/>
    </row>
    <row r="970">
      <c r="H970" s="26"/>
      <c r="I970" s="26"/>
    </row>
    <row r="971">
      <c r="H971" s="26"/>
      <c r="I971" s="26"/>
    </row>
    <row r="972">
      <c r="H972" s="26"/>
      <c r="I972" s="26"/>
    </row>
    <row r="973">
      <c r="H973" s="26"/>
      <c r="I973" s="26"/>
    </row>
    <row r="974">
      <c r="H974" s="26"/>
      <c r="I974" s="26"/>
    </row>
    <row r="975">
      <c r="H975" s="26"/>
      <c r="I975" s="26"/>
    </row>
    <row r="976">
      <c r="H976" s="26"/>
      <c r="I976" s="26"/>
    </row>
    <row r="977">
      <c r="H977" s="26"/>
      <c r="I977" s="26"/>
    </row>
    <row r="978">
      <c r="H978" s="26"/>
      <c r="I978" s="26"/>
    </row>
    <row r="979">
      <c r="H979" s="26"/>
      <c r="I979" s="26"/>
    </row>
    <row r="980">
      <c r="H980" s="26"/>
      <c r="I980" s="26"/>
    </row>
    <row r="981">
      <c r="H981" s="26"/>
      <c r="I981" s="26"/>
    </row>
    <row r="982">
      <c r="H982" s="26"/>
      <c r="I982" s="26"/>
    </row>
    <row r="983">
      <c r="H983" s="26"/>
      <c r="I983" s="26"/>
    </row>
    <row r="984">
      <c r="H984" s="26"/>
      <c r="I984" s="26"/>
    </row>
    <row r="985">
      <c r="H985" s="26"/>
      <c r="I985" s="26"/>
    </row>
    <row r="986">
      <c r="H986" s="26"/>
      <c r="I986" s="26"/>
    </row>
    <row r="987">
      <c r="H987" s="26"/>
      <c r="I987" s="26"/>
    </row>
    <row r="988">
      <c r="H988" s="26"/>
      <c r="I988" s="26"/>
    </row>
    <row r="989">
      <c r="H989" s="26"/>
      <c r="I989" s="26"/>
    </row>
    <row r="990">
      <c r="H990" s="26"/>
      <c r="I990" s="26"/>
    </row>
    <row r="991">
      <c r="H991" s="26"/>
      <c r="I991" s="26"/>
    </row>
    <row r="992">
      <c r="H992" s="26"/>
      <c r="I992" s="26"/>
    </row>
    <row r="993">
      <c r="H993" s="26"/>
      <c r="I993" s="26"/>
    </row>
    <row r="994">
      <c r="H994" s="26"/>
      <c r="I994" s="26"/>
    </row>
    <row r="995">
      <c r="H995" s="26"/>
      <c r="I995" s="26"/>
    </row>
    <row r="996">
      <c r="H996" s="26"/>
      <c r="I996" s="26"/>
    </row>
    <row r="997">
      <c r="H997" s="26"/>
      <c r="I997" s="26"/>
    </row>
    <row r="998">
      <c r="H998" s="26"/>
      <c r="I998" s="26"/>
    </row>
    <row r="999">
      <c r="H999" s="26"/>
      <c r="I999" s="26"/>
    </row>
    <row r="1000">
      <c r="H1000" s="26"/>
      <c r="I1000" s="26"/>
    </row>
  </sheetData>
  <mergeCells count="1">
    <mergeCell ref="E24:G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63"/>
    <col customWidth="1" min="6" max="6" width="9.5"/>
    <col customWidth="1" min="7" max="7" width="8.88"/>
    <col customWidth="1" min="8" max="9" width="4.25"/>
    <col customWidth="1" min="10" max="10" width="23.13"/>
    <col customWidth="1" min="11" max="11" width="5.38"/>
    <col customWidth="1" min="12" max="12" width="20.25"/>
    <col customWidth="1" min="13" max="13" width="6.38"/>
    <col customWidth="1" min="14" max="14" width="9.63"/>
    <col customWidth="1" min="15" max="15" width="8.75"/>
    <col customWidth="1" min="16" max="16" width="17.25"/>
    <col customWidth="1" min="17" max="17" width="5.25"/>
    <col customWidth="1" min="18" max="18" width="10.0"/>
    <col customWidth="1" min="19" max="19" width="9.5"/>
  </cols>
  <sheetData>
    <row r="4">
      <c r="E4" s="2" t="s">
        <v>0</v>
      </c>
      <c r="F4" s="2" t="s">
        <v>1</v>
      </c>
      <c r="G4" s="2" t="s">
        <v>1784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languages!G3:G682=""glide vowel breaking"")"),7.0)</f>
        <v>7</v>
      </c>
      <c r="F5" s="23" t="str">
        <f>IFERROR(__xludf.DUMMYFUNCTION("""COMPUTED_VALUE"""),"epenthesis")</f>
        <v>epenthesis</v>
      </c>
      <c r="G5" s="23" t="str">
        <f>IFERROR(__xludf.DUMMYFUNCTION("""COMPUTED_VALUE"""),"glide vowel breaking")</f>
        <v>glide vowel breaking</v>
      </c>
      <c r="H5" s="23" t="str">
        <f>IFERROR(__xludf.DUMMYFUNCTION("""COMPUTED_VALUE"""),"∅")</f>
        <v>∅</v>
      </c>
      <c r="I5" s="23" t="str">
        <f>IFERROR(__xludf.DUMMYFUNCTION("""COMPUTED_VALUE"""),"j")</f>
        <v>j</v>
      </c>
      <c r="J5" s="23" t="str">
        <f>IFERROR(__xludf.DUMMYFUNCTION("""COMPUTED_VALUE"""),"/ V_ + {-al, -na, -a, =e, =el}")</f>
        <v>/ V_ + {-al, -na, -a, =e, =el}</v>
      </c>
      <c r="K5" s="23" t="str">
        <f>IFERROR(__xludf.DUMMYFUNCTION("""COMPUTED_VALUE"""),"-")</f>
        <v>-</v>
      </c>
      <c r="L5" s="23" t="str">
        <f>IFERROR(__xludf.DUMMYFUNCTION("""COMPUTED_VALUE"""),"aʁw-al vs. xu-jal
aʁw-na vs. ʡaʕ-jna
kis-n-a-b vs. tusnaqːa-ja-b
ma vs. ma-ja
čina-b=e? vs. ča=ja?
ča=jal vs. čina-b=el")</f>
        <v>aʁw-al vs. xu-jal
aʁw-na vs. ʡaʕ-jna
kis-n-a-b vs. tusnaqːa-ja-b
ma vs. ma-ja
čina-b=e? vs. ča=ja?
ča=jal vs. čina-b=el</v>
      </c>
      <c r="M5" s="23" t="str">
        <f>IFERROR(__xludf.DUMMYFUNCTION("""COMPUTED_VALUE"""),"-
-
pocket-PL-OBL.LOC-N vs. prison.OBL.PL-LOC-HPL
-
where-N=Q vs. who=Q
-")</f>
        <v>-
-
pocket-PL-OBL.LOC-N vs. prison.OBL.PL-LOC-HPL
-
where-N=Q vs. who=Q
-</v>
      </c>
      <c r="N5" s="23" t="str">
        <f>IFERROR(__xludf.DUMMYFUNCTION("""COMPUTED_VALUE"""),"‘four’ vs. 'five' 
‘four times’ vs. ‘three times’ 
‘in the pockets’ vs. ‘in the prisons’ 
‘Here, take!’ 
‘Where is it?’ vs. ‘Who?’ 
‘somebody’ vs.  ‘somewhere’")</f>
        <v>‘four’ vs. 'five' 
‘four times’ vs. ‘three times’ 
‘in the pockets’ vs. ‘in the prisons’ 
‘Here, take!’ 
‘Where is it?’ vs. ‘Who?’ 
‘somebody’ vs.  ‘somewhere’</v>
      </c>
      <c r="O5" s="23" t="str">
        <f>IFERROR(__xludf.DUMMYFUNCTION("""COMPUTED_VALUE"""),"- the derivational suffix used to form the numerals 2–10, 20, 100
- the derivational suffix ‘X-times’ for the formation of multiplicative numerals
- one of the allomorphs of the spatial case suffix of the loc-series
- optional marker for non-indicative ve"&amp;"rb forms that serves as address particle for plural addressees
- the enclitic marking content questions
- the enclitic marking embedded questions and forming specific indefinite pronouns")</f>
        <v>- the derivational suffix used to form the numerals 2–10, 20, 100
- the derivational suffix ‘X-times’ for the formation of multiplicative numerals
- one of the allomorphs of the spatial case suffix of the loc-series
- optional marker for non-indicative verb forms that serves as address particle for plural addressees
- the enclitic marking content questions
- the enclitic marking embedded questions and forming specific indefinite pronouns</v>
      </c>
      <c r="P5" s="23" t="str">
        <f>IFERROR(__xludf.DUMMYFUNCTION("""COMPUTED_VALUE"""),"(Forker, 2020a)")</f>
        <v>(Forker, 2020a)</v>
      </c>
      <c r="Q5" s="23">
        <f>IFERROR(__xludf.DUMMYFUNCTION("""COMPUTED_VALUE"""),32.0)</f>
        <v>32</v>
      </c>
      <c r="R5" s="23" t="str">
        <f>IFERROR(__xludf.DUMMYFUNCTION("""COMPUTED_VALUE"""),"Sanzhi")</f>
        <v>Sanzhi</v>
      </c>
      <c r="S5" s="23" t="str">
        <f>IFERROR(__xludf.DUMMYFUNCTION("""COMPUTED_VALUE"""),"Dargwa")</f>
        <v>Dargwa</v>
      </c>
      <c r="T5" s="23" t="str">
        <f>IFERROR(__xludf.DUMMYFUNCTION("""COMPUTED_VALUE"""),"Sanzhi")</f>
        <v>Sanzhi</v>
      </c>
    </row>
    <row r="6">
      <c r="E6" s="23">
        <f>IFERROR(__xludf.DUMMYFUNCTION("""COMPUTED_VALUE"""),159.0)</f>
        <v>159</v>
      </c>
      <c r="F6" s="23" t="str">
        <f>IFERROR(__xludf.DUMMYFUNCTION("""COMPUTED_VALUE"""),"epenthesis")</f>
        <v>epenthesis</v>
      </c>
      <c r="G6" s="23" t="str">
        <f>IFERROR(__xludf.DUMMYFUNCTION("""COMPUTED_VALUE"""),"glide vowel breaking")</f>
        <v>glide vowel breaking</v>
      </c>
      <c r="H6" s="23" t="str">
        <f>IFERROR(__xludf.DUMMYFUNCTION("""COMPUTED_VALUE"""),"∅")</f>
        <v>∅</v>
      </c>
      <c r="I6" s="23" t="str">
        <f>IFERROR(__xludf.DUMMYFUNCTION("""COMPUTED_VALUE"""),"y")</f>
        <v>y</v>
      </c>
      <c r="J6" s="23" t="str">
        <f>IFERROR(__xludf.DUMMYFUNCTION("""COMPUTED_VALUE"""),"/ V_V")</f>
        <v>/ V_V</v>
      </c>
      <c r="K6" s="23" t="str">
        <f>IFERROR(__xludf.DUMMYFUNCTION("""COMPUTED_VALUE"""),"-")</f>
        <v>-</v>
      </c>
      <c r="L6" s="23" t="str">
        <f>IFERROR(__xludf.DUMMYFUNCTION("""COMPUTED_VALUE"""),"ze &gt; ze-y-i")</f>
        <v>ze &gt; ze-y-i</v>
      </c>
      <c r="M6" s="23" t="str">
        <f>IFERROR(__xludf.DUMMYFUNCTION("""COMPUTED_VALUE"""),"bear.ABS &gt; bear-EP-ERG")</f>
        <v>bear.ABS &gt; bear-EP-ERG</v>
      </c>
      <c r="N6" s="23" t="str">
        <f>IFERROR(__xludf.DUMMYFUNCTION("""COMPUTED_VALUE"""),"‘’")</f>
        <v>‘’</v>
      </c>
      <c r="O6" s="23"/>
      <c r="P6" s="23" t="str">
        <f>IFERROR(__xludf.DUMMYFUNCTION("""COMPUTED_VALUE"""),"(Khalilova, 2009)")</f>
        <v>(Khalilova, 2009)</v>
      </c>
      <c r="Q6" s="23" t="str">
        <f>IFERROR(__xludf.DUMMYFUNCTION("""COMPUTED_VALUE"""),"37-38")</f>
        <v>37-38</v>
      </c>
      <c r="R6" s="23" t="str">
        <f>IFERROR(__xludf.DUMMYFUNCTION("""COMPUTED_VALUE"""),"Xvarshi")</f>
        <v>Xvarshi</v>
      </c>
      <c r="S6" s="23" t="str">
        <f>IFERROR(__xludf.DUMMYFUNCTION("""COMPUTED_VALUE"""),"Khwarshi")</f>
        <v>Khwarshi</v>
      </c>
      <c r="T6" s="23" t="str">
        <f>IFERROR(__xludf.DUMMYFUNCTION("""COMPUTED_VALUE"""),"Kwantlada")</f>
        <v>Kwantlada</v>
      </c>
    </row>
    <row r="7">
      <c r="E7" s="23">
        <f>IFERROR(__xludf.DUMMYFUNCTION("""COMPUTED_VALUE"""),229.0)</f>
        <v>229</v>
      </c>
      <c r="F7" s="23" t="str">
        <f>IFERROR(__xludf.DUMMYFUNCTION("""COMPUTED_VALUE"""),"epenthesis")</f>
        <v>epenthesis</v>
      </c>
      <c r="G7" s="23" t="str">
        <f>IFERROR(__xludf.DUMMYFUNCTION("""COMPUTED_VALUE"""),"glide vowel breaking")</f>
        <v>glide vowel breaking</v>
      </c>
      <c r="H7" s="23" t="str">
        <f>IFERROR(__xludf.DUMMYFUNCTION("""COMPUTED_VALUE"""),"∅")</f>
        <v>∅</v>
      </c>
      <c r="I7" s="23" t="str">
        <f>IFERROR(__xludf.DUMMYFUNCTION("""COMPUTED_VALUE"""),"й")</f>
        <v>й</v>
      </c>
      <c r="J7" s="23" t="str">
        <f>IFERROR(__xludf.DUMMYFUNCTION("""COMPUTED_VALUE"""),"/ V_V")</f>
        <v>/ V_V</v>
      </c>
      <c r="K7" s="23" t="str">
        <f>IFERROR(__xludf.DUMMYFUNCTION("""COMPUTED_VALUE"""),"-")</f>
        <v>-</v>
      </c>
      <c r="L7" s="23" t="str">
        <f>IFERROR(__xludf.DUMMYFUNCTION("""COMPUTED_VALUE"""),"чу-ал &gt; чу-й-ал")</f>
        <v>чу-ал &gt; чу-й-ал</v>
      </c>
      <c r="M7" s="23"/>
      <c r="N7" s="23" t="str">
        <f>IFERROR(__xludf.DUMMYFUNCTION("""COMPUTED_VALUE"""),"‘horses’")</f>
        <v>‘horses’</v>
      </c>
      <c r="O7" s="23"/>
      <c r="P7" s="23" t="str">
        <f>IFERROR(__xludf.DUMMYFUNCTION("""COMPUTED_VALUE"""),"(Alekseev, Ataev, Magomedov, Magomedov, Madieva, Saidova, and Samedov, 2012)")</f>
        <v>(Alekseev, Ataev, Magomedov, Magomedov, Madieva, Saidova, and Samedov, 2012)</v>
      </c>
      <c r="Q7" s="23">
        <f>IFERROR(__xludf.DUMMYFUNCTION("""COMPUTED_VALUE"""),27.0)</f>
        <v>27</v>
      </c>
      <c r="R7" s="23" t="str">
        <f>IFERROR(__xludf.DUMMYFUNCTION("""COMPUTED_VALUE"""),"Avar")</f>
        <v>Avar</v>
      </c>
      <c r="S7" s="23" t="str">
        <f>IFERROR(__xludf.DUMMYFUNCTION("""COMPUTED_VALUE"""),"Avar")</f>
        <v>Avar</v>
      </c>
      <c r="T7" s="23" t="str">
        <f>IFERROR(__xludf.DUMMYFUNCTION("""COMPUTED_VALUE"""),"Standard Avar")</f>
        <v>Standard Avar</v>
      </c>
    </row>
    <row r="8">
      <c r="E8" s="23">
        <f>IFERROR(__xludf.DUMMYFUNCTION("""COMPUTED_VALUE"""),326.0)</f>
        <v>326</v>
      </c>
      <c r="F8" s="23" t="str">
        <f>IFERROR(__xludf.DUMMYFUNCTION("""COMPUTED_VALUE"""),"epenthesis")</f>
        <v>epenthesis</v>
      </c>
      <c r="G8" s="23" t="str">
        <f>IFERROR(__xludf.DUMMYFUNCTION("""COMPUTED_VALUE"""),"glide vowel breaking")</f>
        <v>glide vowel breaking</v>
      </c>
      <c r="H8" s="23" t="str">
        <f>IFERROR(__xludf.DUMMYFUNCTION("""COMPUTED_VALUE"""),"∅")</f>
        <v>∅</v>
      </c>
      <c r="I8" s="23" t="str">
        <f>IFERROR(__xludf.DUMMYFUNCTION("""COMPUTED_VALUE"""),"j")</f>
        <v>j</v>
      </c>
      <c r="J8" s="23" t="str">
        <f>IFERROR(__xludf.DUMMYFUNCTION("""COMPUTED_VALUE"""),"/ V_V")</f>
        <v>/ V_V</v>
      </c>
      <c r="K8" s="23" t="str">
        <f>IFERROR(__xludf.DUMMYFUNCTION("""COMPUTED_VALUE"""),"-")</f>
        <v>-</v>
      </c>
      <c r="L8" s="23" t="str">
        <f>IFERROR(__xludf.DUMMYFUNCTION("""COMPUTED_VALUE"""),"he-ɫa + o: &gt; he-ɫa-jo:")</f>
        <v>he-ɫa + o: &gt; he-ɫa-jo:</v>
      </c>
      <c r="M8" s="23" t="str">
        <f>IFERROR(__xludf.DUMMYFUNCTION("""COMPUTED_VALUE"""),"what-OBL.DAT-Q")</f>
        <v>what-OBL.DAT-Q</v>
      </c>
      <c r="N8" s="23" t="str">
        <f>IFERROR(__xludf.DUMMYFUNCTION("""COMPUTED_VALUE"""),"‘to what?’")</f>
        <v>‘to what?’</v>
      </c>
      <c r="O8" s="23"/>
      <c r="P8" s="23" t="str">
        <f>IFERROR(__xludf.DUMMYFUNCTION("""COMPUTED_VALUE"""),"(Kibrik, Kazenin, Ljutikova, and Tatevosov, 2001)")</f>
        <v>(Kibrik, Kazenin, Ljutikova, and Tatevosov, 2001)</v>
      </c>
      <c r="Q8" s="23">
        <f>IFERROR(__xludf.DUMMYFUNCTION("""COMPUTED_VALUE"""),50.0)</f>
        <v>50</v>
      </c>
      <c r="R8" s="23" t="str">
        <f>IFERROR(__xludf.DUMMYFUNCTION("""COMPUTED_VALUE"""),"Kvanada-Gimerso")</f>
        <v>Kvanada-Gimerso</v>
      </c>
      <c r="S8" s="23" t="str">
        <f>IFERROR(__xludf.DUMMYFUNCTION("""COMPUTED_VALUE"""),"Bagvalal")</f>
        <v>Bagvalal</v>
      </c>
      <c r="T8" s="23" t="str">
        <f>IFERROR(__xludf.DUMMYFUNCTION("""COMPUTED_VALUE"""),"Kvanada")</f>
        <v>Kvanada</v>
      </c>
    </row>
    <row r="9">
      <c r="E9" s="23">
        <f>IFERROR(__xludf.DUMMYFUNCTION("""COMPUTED_VALUE"""),347.0)</f>
        <v>347</v>
      </c>
      <c r="F9" s="23" t="str">
        <f>IFERROR(__xludf.DUMMYFUNCTION("""COMPUTED_VALUE"""),"epenthesis")</f>
        <v>epenthesis</v>
      </c>
      <c r="G9" s="23" t="str">
        <f>IFERROR(__xludf.DUMMYFUNCTION("""COMPUTED_VALUE"""),"glide vowel breaking")</f>
        <v>glide vowel breaking</v>
      </c>
      <c r="H9" s="23" t="str">
        <f>IFERROR(__xludf.DUMMYFUNCTION("""COMPUTED_VALUE"""),"∅")</f>
        <v>∅</v>
      </c>
      <c r="I9" s="23" t="str">
        <f>IFERROR(__xludf.DUMMYFUNCTION("""COMPUTED_VALUE"""),"j")</f>
        <v>j</v>
      </c>
      <c r="J9" s="23" t="str">
        <f>IFERROR(__xludf.DUMMYFUNCTION("""COMPUTED_VALUE"""),"/ V_V")</f>
        <v>/ V_V</v>
      </c>
      <c r="K9" s="23" t="str">
        <f>IFERROR(__xludf.DUMMYFUNCTION("""COMPUTED_VALUE"""),"-")</f>
        <v>-</v>
      </c>
      <c r="L9" s="23" t="str">
        <f>IFERROR(__xludf.DUMMYFUNCTION("""COMPUTED_VALUE"""),"di-en &gt; dijeⁿ")</f>
        <v>di-en &gt; dijeⁿ</v>
      </c>
      <c r="M9" s="23"/>
      <c r="N9" s="23" t="str">
        <f>IFERROR(__xludf.DUMMYFUNCTION("""COMPUTED_VALUE"""),"‘s/he did it’")</f>
        <v>‘s/he did it’</v>
      </c>
      <c r="O9" s="23"/>
      <c r="P9" s="23" t="str">
        <f>IFERROR(__xludf.DUMMYFUNCTION("""COMPUTED_VALUE"""),"(Holisky and Gagua, 1994)")</f>
        <v>(Holisky and Gagua, 1994)</v>
      </c>
      <c r="Q9" s="23">
        <f>IFERROR(__xludf.DUMMYFUNCTION("""COMPUTED_VALUE"""),159.0)</f>
        <v>159</v>
      </c>
      <c r="R9" s="23" t="str">
        <f>IFERROR(__xludf.DUMMYFUNCTION("""COMPUTED_VALUE"""),"Bats")</f>
        <v>Bats</v>
      </c>
      <c r="S9" s="23" t="str">
        <f>IFERROR(__xludf.DUMMYFUNCTION("""COMPUTED_VALUE"""),"Tsova-Tush")</f>
        <v>Tsova-Tush</v>
      </c>
      <c r="T9" s="23" t="str">
        <f>IFERROR(__xludf.DUMMYFUNCTION("""COMPUTED_VALUE"""),"Zemo-Alvani")</f>
        <v>Zemo-Alvani</v>
      </c>
    </row>
    <row r="10">
      <c r="E10" s="23">
        <f>IFERROR(__xludf.DUMMYFUNCTION("""COMPUTED_VALUE"""),495.0)</f>
        <v>495</v>
      </c>
      <c r="F10" s="23" t="str">
        <f>IFERROR(__xludf.DUMMYFUNCTION("""COMPUTED_VALUE"""),"epenthesis")</f>
        <v>epenthesis</v>
      </c>
      <c r="G10" s="23" t="str">
        <f>IFERROR(__xludf.DUMMYFUNCTION("""COMPUTED_VALUE"""),"glide vowel breaking")</f>
        <v>glide vowel breaking</v>
      </c>
      <c r="H10" s="23" t="str">
        <f>IFERROR(__xludf.DUMMYFUNCTION("""COMPUTED_VALUE"""),"∅")</f>
        <v>∅</v>
      </c>
      <c r="I10" s="23" t="str">
        <f>IFERROR(__xludf.DUMMYFUNCTION("""COMPUTED_VALUE"""),"й")</f>
        <v>й</v>
      </c>
      <c r="J10" s="23" t="str">
        <f>IFERROR(__xludf.DUMMYFUNCTION("""COMPUTED_VALUE"""),"/ V# _ + Vsuffix")</f>
        <v>/ V# _ + Vsuffix</v>
      </c>
      <c r="K10" s="23" t="str">
        <f>IFERROR(__xludf.DUMMYFUNCTION("""COMPUTED_VALUE"""),"-")</f>
        <v>-</v>
      </c>
      <c r="L10" s="23" t="str">
        <f>IFERROR(__xludf.DUMMYFUNCTION("""COMPUTED_VALUE"""),"&gt;")</f>
        <v>&gt;</v>
      </c>
      <c r="M10" s="23"/>
      <c r="N10" s="23" t="str">
        <f>IFERROR(__xludf.DUMMYFUNCTION("""COMPUTED_VALUE"""),"‘’ &gt; ‘’")</f>
        <v>‘’ &gt; ‘’</v>
      </c>
      <c r="O10" s="23"/>
      <c r="P10" s="23" t="str">
        <f>IFERROR(__xludf.DUMMYFUNCTION("""COMPUTED_VALUE"""),"(Mobili, 2010)")</f>
        <v>(Mobili, 2010)</v>
      </c>
      <c r="Q10" s="23">
        <f>IFERROR(__xludf.DUMMYFUNCTION("""COMPUTED_VALUE"""),308.0)</f>
        <v>308</v>
      </c>
      <c r="R10" s="23" t="str">
        <f>IFERROR(__xludf.DUMMYFUNCTION("""COMPUTED_VALUE"""),"Udi")</f>
        <v>Udi</v>
      </c>
      <c r="S10" s="23" t="str">
        <f>IFERROR(__xludf.DUMMYFUNCTION("""COMPUTED_VALUE"""),"Udi")</f>
        <v>Udi</v>
      </c>
      <c r="T10" s="23" t="str">
        <f>IFERROR(__xludf.DUMMYFUNCTION("""COMPUTED_VALUE"""),"Udi")</f>
        <v>Udi</v>
      </c>
    </row>
    <row r="11">
      <c r="E11" s="23">
        <f>IFERROR(__xludf.DUMMYFUNCTION("""COMPUTED_VALUE"""),546.0)</f>
        <v>546</v>
      </c>
      <c r="F11" s="23" t="str">
        <f>IFERROR(__xludf.DUMMYFUNCTION("""COMPUTED_VALUE"""),"epenthesis")</f>
        <v>epenthesis</v>
      </c>
      <c r="G11" s="23" t="str">
        <f>IFERROR(__xludf.DUMMYFUNCTION("""COMPUTED_VALUE"""),"glide vowel breaking")</f>
        <v>glide vowel breaking</v>
      </c>
      <c r="H11" s="23" t="str">
        <f>IFERROR(__xludf.DUMMYFUNCTION("""COMPUTED_VALUE"""),"∅")</f>
        <v>∅</v>
      </c>
      <c r="I11" s="23" t="str">
        <f>IFERROR(__xludf.DUMMYFUNCTION("""COMPUTED_VALUE"""),"j")</f>
        <v>j</v>
      </c>
      <c r="J11" s="23" t="str">
        <f>IFERROR(__xludf.DUMMYFUNCTION("""COMPUTED_VALUE"""),"/ [-con; -labial] _ [-con; -labial]")</f>
        <v>/ [-con; -labial] _ [-con; -labial]</v>
      </c>
      <c r="K11" s="23" t="str">
        <f>IFERROR(__xludf.DUMMYFUNCTION("""COMPUTED_VALUE"""),"-")</f>
        <v>-</v>
      </c>
      <c r="L11" s="23" t="str">
        <f>IFERROR(__xludf.DUMMYFUNCTION("""COMPUTED_VALUE"""),"anči &gt; anči-j-a")</f>
        <v>anči &gt; anči-j-a</v>
      </c>
      <c r="M11" s="23"/>
      <c r="N11" s="23" t="str">
        <f>IFERROR(__xludf.DUMMYFUNCTION("""COMPUTED_VALUE"""),"‘’ &gt; ‘’")</f>
        <v>‘’ &gt; ‘’</v>
      </c>
      <c r="O11" s="23"/>
      <c r="P11" s="23" t="str">
        <f>IFERROR(__xludf.DUMMYFUNCTION("""COMPUTED_VALUE"""),"(Magomedbekova, 1971)")</f>
        <v>(Magomedbekova, 1971)</v>
      </c>
      <c r="Q11" s="23" t="str">
        <f>IFERROR(__xludf.DUMMYFUNCTION("""COMPUTED_VALUE"""),"24-25")</f>
        <v>24-25</v>
      </c>
      <c r="R11" s="23" t="str">
        <f>IFERROR(__xludf.DUMMYFUNCTION("""COMPUTED_VALUE"""),"Karata")</f>
        <v>Karata</v>
      </c>
      <c r="S11" s="23" t="str">
        <f>IFERROR(__xludf.DUMMYFUNCTION("""COMPUTED_VALUE"""),"Karata")</f>
        <v>Karata</v>
      </c>
      <c r="T11" s="23" t="str">
        <f>IFERROR(__xludf.DUMMYFUNCTION("""COMPUTED_VALUE"""),"Karata")</f>
        <v>Karata</v>
      </c>
    </row>
    <row r="12">
      <c r="E12" s="23">
        <f>IFERROR(__xludf.DUMMYFUNCTION("""COMPUTED_VALUE"""),547.0)</f>
        <v>547</v>
      </c>
      <c r="F12" s="23" t="str">
        <f>IFERROR(__xludf.DUMMYFUNCTION("""COMPUTED_VALUE"""),"epenthesis")</f>
        <v>epenthesis</v>
      </c>
      <c r="G12" s="23" t="str">
        <f>IFERROR(__xludf.DUMMYFUNCTION("""COMPUTED_VALUE"""),"glide vowel breaking")</f>
        <v>glide vowel breaking</v>
      </c>
      <c r="H12" s="23" t="str">
        <f>IFERROR(__xludf.DUMMYFUNCTION("""COMPUTED_VALUE"""),"∅")</f>
        <v>∅</v>
      </c>
      <c r="I12" s="23" t="str">
        <f>IFERROR(__xludf.DUMMYFUNCTION("""COMPUTED_VALUE"""),"w")</f>
        <v>w</v>
      </c>
      <c r="J12" s="23" t="str">
        <f>IFERROR(__xludf.DUMMYFUNCTION("""COMPUTED_VALUE"""),"/ [-con; +labial] _ V")</f>
        <v>/ [-con; +labial] _ V</v>
      </c>
      <c r="K12" s="23" t="str">
        <f>IFERROR(__xludf.DUMMYFUNCTION("""COMPUTED_VALUE"""),"-")</f>
        <v>-</v>
      </c>
      <c r="L12" s="23" t="str">
        <f>IFERROR(__xludf.DUMMYFUNCTION("""COMPUTED_VALUE"""),"jac:i &gt; jac:o-w-a")</f>
        <v>jac:i &gt; jac:o-w-a</v>
      </c>
      <c r="M12" s="23"/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IFERROR(__xludf.DUMMYFUNCTION("""COMPUTED_VALUE"""),"(Magomedbekova, 1971)")</f>
        <v>(Magomedbekova, 1971)</v>
      </c>
      <c r="Q12" s="23">
        <f>IFERROR(__xludf.DUMMYFUNCTION("""COMPUTED_VALUE"""),25.0)</f>
        <v>25</v>
      </c>
      <c r="R12" s="23" t="str">
        <f>IFERROR(__xludf.DUMMYFUNCTION("""COMPUTED_VALUE"""),"Karata")</f>
        <v>Karata</v>
      </c>
      <c r="S12" s="23" t="str">
        <f>IFERROR(__xludf.DUMMYFUNCTION("""COMPUTED_VALUE"""),"Karata")</f>
        <v>Karata</v>
      </c>
      <c r="T12" s="23" t="str">
        <f>IFERROR(__xludf.DUMMYFUNCTION("""COMPUTED_VALUE"""),"Karata")</f>
        <v>Karata</v>
      </c>
    </row>
    <row r="13">
      <c r="E13" s="23">
        <f>IFERROR(__xludf.DUMMYFUNCTION("""COMPUTED_VALUE"""),580.0)</f>
        <v>580</v>
      </c>
      <c r="F13" s="23" t="str">
        <f>IFERROR(__xludf.DUMMYFUNCTION("""COMPUTED_VALUE"""),"epenthesis")</f>
        <v>epenthesis</v>
      </c>
      <c r="G13" s="23" t="str">
        <f>IFERROR(__xludf.DUMMYFUNCTION("""COMPUTED_VALUE"""),"glide vowel breaking")</f>
        <v>glide vowel breaking</v>
      </c>
      <c r="H13" s="23" t="str">
        <f>IFERROR(__xludf.DUMMYFUNCTION("""COMPUTED_VALUE"""),"∅")</f>
        <v>∅</v>
      </c>
      <c r="I13" s="23" t="str">
        <f>IFERROR(__xludf.DUMMYFUNCTION("""COMPUTED_VALUE"""),"y")</f>
        <v>y</v>
      </c>
      <c r="J13" s="23" t="str">
        <f>IFERROR(__xludf.DUMMYFUNCTION("""COMPUTED_VALUE"""),"/ V# _ + [#V]suffix")</f>
        <v>/ V# _ + [#V]suffix</v>
      </c>
      <c r="K13" s="23" t="str">
        <f>IFERROR(__xludf.DUMMYFUNCTION("""COMPUTED_VALUE"""),"-")</f>
        <v>-</v>
      </c>
      <c r="L13" s="23" t="str">
        <f>IFERROR(__xludf.DUMMYFUNCTION("""COMPUTED_VALUE"""),"y-edo:-z &gt; y-edo:-yoru")</f>
        <v>y-edo:-z &gt; y-edo:-yoru</v>
      </c>
      <c r="M13" s="23" t="str">
        <f>IFERROR(__xludf.DUMMYFUNCTION("""COMPUTED_VALUE"""),"‘II-work-PURP’ &gt; ‘II-work-PTCP.PST’")</f>
        <v>‘II-work-PURP’ &gt; ‘II-work-PTCP.PST’</v>
      </c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IFERROR(__xludf.DUMMYFUNCTION("""COMPUTED_VALUE"""),"(Forker, 2013)")</f>
        <v>(Forker, 2013)</v>
      </c>
      <c r="Q13" s="23">
        <f>IFERROR(__xludf.DUMMYFUNCTION("""COMPUTED_VALUE"""),41.0)</f>
        <v>41</v>
      </c>
      <c r="R13" s="23" t="str">
        <f>IFERROR(__xludf.DUMMYFUNCTION("""COMPUTED_VALUE"""),"Hinuq")</f>
        <v>Hinuq</v>
      </c>
      <c r="S13" s="23" t="str">
        <f>IFERROR(__xludf.DUMMYFUNCTION("""COMPUTED_VALUE"""),"Hinuq")</f>
        <v>Hinuq</v>
      </c>
      <c r="T13" s="23" t="str">
        <f>IFERROR(__xludf.DUMMYFUNCTION("""COMPUTED_VALUE"""),"Hinuq")</f>
        <v>Hinuq</v>
      </c>
    </row>
    <row r="14">
      <c r="E14" s="23">
        <f>IFERROR(__xludf.DUMMYFUNCTION("""COMPUTED_VALUE"""),656.0)</f>
        <v>656</v>
      </c>
      <c r="F14" s="23" t="str">
        <f>IFERROR(__xludf.DUMMYFUNCTION("""COMPUTED_VALUE"""),"epenthesis")</f>
        <v>epenthesis</v>
      </c>
      <c r="G14" s="23" t="str">
        <f>IFERROR(__xludf.DUMMYFUNCTION("""COMPUTED_VALUE"""),"glide vowel breaking")</f>
        <v>glide vowel breaking</v>
      </c>
      <c r="H14" s="23" t="str">
        <f>IFERROR(__xludf.DUMMYFUNCTION("""COMPUTED_VALUE"""),"∅")</f>
        <v>∅</v>
      </c>
      <c r="I14" s="23" t="str">
        <f>IFERROR(__xludf.DUMMYFUNCTION("""COMPUTED_VALUE"""),"j")</f>
        <v>j</v>
      </c>
      <c r="J14" s="23" t="str">
        <f>IFERROR(__xludf.DUMMYFUNCTION("""COMPUTED_VALUE"""),"/ V_V")</f>
        <v>/ V_V</v>
      </c>
      <c r="K14" s="23" t="str">
        <f>IFERROR(__xludf.DUMMYFUNCTION("""COMPUTED_VALUE"""),"-")</f>
        <v>-</v>
      </c>
      <c r="L14" s="23" t="str">
        <f>IFERROR(__xludf.DUMMYFUNCTION("""COMPUTED_VALUE"""),"&gt;")</f>
        <v>&gt;</v>
      </c>
      <c r="M14" s="23"/>
      <c r="N14" s="23" t="str">
        <f>IFERROR(__xludf.DUMMYFUNCTION("""COMPUTED_VALUE"""),"‘’ &gt; ‘’")</f>
        <v>‘’ &gt; ‘’</v>
      </c>
      <c r="O14" s="23"/>
      <c r="P14" s="23" t="str">
        <f>IFERROR(__xludf.DUMMYFUNCTION("""COMPUTED_VALUE"""),"(Kibrik, Kodzasov, and Olovjannikova, 1972)")</f>
        <v>(Kibrik, Kodzasov, and Olovjannikova, 1972)</v>
      </c>
      <c r="Q14" s="23">
        <f>IFERROR(__xludf.DUMMYFUNCTION("""COMPUTED_VALUE"""),33.0)</f>
        <v>33</v>
      </c>
      <c r="R14" s="23" t="str">
        <f>IFERROR(__xludf.DUMMYFUNCTION("""COMPUTED_VALUE"""),"Khinalug")</f>
        <v>Khinalug</v>
      </c>
      <c r="S14" s="23" t="str">
        <f>IFERROR(__xludf.DUMMYFUNCTION("""COMPUTED_VALUE"""),"Khinalug")</f>
        <v>Khinalug</v>
      </c>
      <c r="T14" s="23" t="str">
        <f>IFERROR(__xludf.DUMMYFUNCTION("""COMPUTED_VALUE"""),"Khinalug")</f>
        <v>Khinalug</v>
      </c>
    </row>
    <row r="17">
      <c r="E17" s="24" t="s">
        <v>1790</v>
      </c>
    </row>
    <row r="19">
      <c r="E19" s="25" t="s">
        <v>1786</v>
      </c>
    </row>
    <row r="20">
      <c r="E20" s="25" t="s">
        <v>1791</v>
      </c>
    </row>
    <row r="21">
      <c r="E21" s="25" t="s">
        <v>80</v>
      </c>
    </row>
    <row r="22">
      <c r="E22" s="5"/>
    </row>
  </sheetData>
  <mergeCells count="1">
    <mergeCell ref="E17:G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38"/>
    <col customWidth="1" min="6" max="6" width="8.63"/>
    <col customWidth="1" min="7" max="7" width="8.13"/>
    <col customWidth="1" min="8" max="8" width="11.75"/>
    <col customWidth="1" min="9" max="9" width="8.13"/>
    <col customWidth="1" min="10" max="10" width="14.75"/>
    <col customWidth="1" min="11" max="11" width="3.75"/>
    <col customWidth="1" min="12" max="12" width="19.13"/>
    <col customWidth="1" min="13" max="14" width="6.63"/>
    <col customWidth="1" min="15" max="15" width="6.5"/>
    <col customWidth="1" min="16" max="16" width="17.0"/>
    <col customWidth="1" min="17" max="17" width="6.63"/>
    <col customWidth="1" min="18" max="18" width="10.63"/>
  </cols>
  <sheetData>
    <row r="1">
      <c r="H1" s="26"/>
      <c r="I1" s="26"/>
    </row>
    <row r="2">
      <c r="H2" s="26"/>
      <c r="I2" s="26"/>
    </row>
    <row r="3">
      <c r="H3" s="26"/>
      <c r="I3" s="26"/>
    </row>
    <row r="4">
      <c r="E4" s="2" t="s">
        <v>0</v>
      </c>
      <c r="F4" s="2" t="s">
        <v>1</v>
      </c>
      <c r="G4" s="2" t="s">
        <v>1784</v>
      </c>
      <c r="H4" s="27" t="s">
        <v>3</v>
      </c>
      <c r="I4" s="27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REGEXMATCH(languages!G3:G682, ""l-assimilation""))"),22.0)</f>
        <v>22</v>
      </c>
      <c r="F5" s="23" t="str">
        <f>IFERROR(__xludf.DUMMYFUNCTION("""COMPUTED_VALUE"""),"assimilation")</f>
        <v>assimilation</v>
      </c>
      <c r="G5" s="23" t="str">
        <f>IFERROR(__xludf.DUMMYFUNCTION("""COMPUTED_VALUE"""),"l-assimilation")</f>
        <v>l-assimilation</v>
      </c>
      <c r="H5" s="26" t="str">
        <f>IFERROR(__xludf.DUMMYFUNCTION("""COMPUTED_VALUE"""),"l")</f>
        <v>l</v>
      </c>
      <c r="I5" s="26" t="str">
        <f>IFERROR(__xludf.DUMMYFUNCTION("""COMPUTED_VALUE"""),"n")</f>
        <v>n</v>
      </c>
      <c r="J5" s="23" t="str">
        <f>IFERROR(__xludf.DUMMYFUNCTION("""COMPUTED_VALUE"""),"/ n_")</f>
        <v>/ n_</v>
      </c>
      <c r="K5" s="23" t="str">
        <f>IFERROR(__xludf.DUMMYFUNCTION("""COMPUTED_VALUE"""),"-")</f>
        <v>-</v>
      </c>
      <c r="L5" s="23" t="str">
        <f>IFERROR(__xludf.DUMMYFUNCTION("""COMPUTED_VALUE"""),"cin-la &gt; cinna")</f>
        <v>cin-la &gt; cinna</v>
      </c>
      <c r="M5" s="23" t="str">
        <f>IFERROR(__xludf.DUMMYFUNCTION("""COMPUTED_VALUE"""),"REFL.SG.OBL-GEN")</f>
        <v>REFL.SG.OBL-GEN</v>
      </c>
      <c r="N5" s="23" t="str">
        <f>IFERROR(__xludf.DUMMYFUNCTION("""COMPUTED_VALUE"""),"‘his/her’")</f>
        <v>‘his/her’</v>
      </c>
      <c r="O5" s="23" t="str">
        <f>IFERROR(__xludf.DUMMYFUNCTION("""COMPUTED_VALUE"""),"progressive assimilation occurs with all verbal and nominal suffixes that have initial l
partly optional")</f>
        <v>progressive assimilation occurs with all verbal and nominal suffixes that have initial l
partly optional</v>
      </c>
      <c r="P5" s="23" t="str">
        <f>IFERROR(__xludf.DUMMYFUNCTION("""COMPUTED_VALUE"""),"(Forker, 2020a)")</f>
        <v>(Forker, 2020a)</v>
      </c>
      <c r="Q5" s="23">
        <f>IFERROR(__xludf.DUMMYFUNCTION("""COMPUTED_VALUE"""),37.0)</f>
        <v>37</v>
      </c>
      <c r="R5" s="23" t="str">
        <f>IFERROR(__xludf.DUMMYFUNCTION("""COMPUTED_VALUE"""),"Sanzhi")</f>
        <v>Sanzhi</v>
      </c>
      <c r="S5" s="23" t="str">
        <f>IFERROR(__xludf.DUMMYFUNCTION("""COMPUTED_VALUE"""),"Dargwa")</f>
        <v>Dargwa</v>
      </c>
      <c r="T5" s="23" t="str">
        <f>IFERROR(__xludf.DUMMYFUNCTION("""COMPUTED_VALUE"""),"Sanzhi")</f>
        <v>Sanzhi</v>
      </c>
    </row>
    <row r="6">
      <c r="E6" s="23">
        <f>IFERROR(__xludf.DUMMYFUNCTION("""COMPUTED_VALUE"""),23.0)</f>
        <v>23</v>
      </c>
      <c r="F6" s="23" t="str">
        <f>IFERROR(__xludf.DUMMYFUNCTION("""COMPUTED_VALUE"""),"assimilation")</f>
        <v>assimilation</v>
      </c>
      <c r="G6" s="23" t="str">
        <f>IFERROR(__xludf.DUMMYFUNCTION("""COMPUTED_VALUE"""),"l-assimilation")</f>
        <v>l-assimilation</v>
      </c>
      <c r="H6" s="26" t="str">
        <f>IFERROR(__xludf.DUMMYFUNCTION("""COMPUTED_VALUE"""),"l")</f>
        <v>l</v>
      </c>
      <c r="I6" s="26" t="str">
        <f>IFERROR(__xludf.DUMMYFUNCTION("""COMPUTED_VALUE"""),"r")</f>
        <v>r</v>
      </c>
      <c r="J6" s="23" t="str">
        <f>IFERROR(__xludf.DUMMYFUNCTION("""COMPUTED_VALUE"""),"/ r_")</f>
        <v>/ r_</v>
      </c>
      <c r="K6" s="23" t="str">
        <f>IFERROR(__xludf.DUMMYFUNCTION("""COMPUTED_VALUE"""),"-")</f>
        <v>-</v>
      </c>
      <c r="L6" s="23" t="str">
        <f>IFERROR(__xludf.DUMMYFUNCTION("""COMPUTED_VALUE"""),"tuχtur-li &gt; tuχturri")</f>
        <v>tuχtur-li &gt; tuχturri</v>
      </c>
      <c r="M6" s="23" t="str">
        <f>IFERROR(__xludf.DUMMYFUNCTION("""COMPUTED_VALUE"""),"doctor-ERG")</f>
        <v>doctor-ERG</v>
      </c>
      <c r="N6" s="23" t="str">
        <f>IFERROR(__xludf.DUMMYFUNCTION("""COMPUTED_VALUE"""),"-")</f>
        <v>-</v>
      </c>
      <c r="O6" s="23" t="str">
        <f>IFERROR(__xludf.DUMMYFUNCTION("""COMPUTED_VALUE"""),"progressive assimilation occurs with all verbal and nominal suffixes that have initial l
partly optional")</f>
        <v>progressive assimilation occurs with all verbal and nominal suffixes that have initial l
partly optional</v>
      </c>
      <c r="P6" s="23" t="str">
        <f>IFERROR(__xludf.DUMMYFUNCTION("""COMPUTED_VALUE"""),"(Forker, 2020a)")</f>
        <v>(Forker, 2020a)</v>
      </c>
      <c r="Q6" s="23">
        <f>IFERROR(__xludf.DUMMYFUNCTION("""COMPUTED_VALUE"""),37.0)</f>
        <v>37</v>
      </c>
      <c r="R6" s="23" t="str">
        <f>IFERROR(__xludf.DUMMYFUNCTION("""COMPUTED_VALUE"""),"Sanzhi")</f>
        <v>Sanzhi</v>
      </c>
      <c r="S6" s="23" t="str">
        <f>IFERROR(__xludf.DUMMYFUNCTION("""COMPUTED_VALUE"""),"Dargwa")</f>
        <v>Dargwa</v>
      </c>
      <c r="T6" s="23" t="str">
        <f>IFERROR(__xludf.DUMMYFUNCTION("""COMPUTED_VALUE"""),"Sanzhi")</f>
        <v>Sanzhi</v>
      </c>
    </row>
    <row r="7">
      <c r="E7" s="23">
        <f>IFERROR(__xludf.DUMMYFUNCTION("""COMPUTED_VALUE"""),68.0)</f>
        <v>68</v>
      </c>
      <c r="F7" s="23" t="str">
        <f>IFERROR(__xludf.DUMMYFUNCTION("""COMPUTED_VALUE"""),"assimilation")</f>
        <v>assimilation</v>
      </c>
      <c r="G7" s="23" t="str">
        <f>IFERROR(__xludf.DUMMYFUNCTION("""COMPUTED_VALUE"""),"l-assimilation")</f>
        <v>l-assimilation</v>
      </c>
      <c r="H7" s="26" t="str">
        <f>IFERROR(__xludf.DUMMYFUNCTION("""COMPUTED_VALUE"""),"l")</f>
        <v>l</v>
      </c>
      <c r="I7" s="26" t="str">
        <f>IFERROR(__xludf.DUMMYFUNCTION("""COMPUTED_VALUE"""),"n")</f>
        <v>n</v>
      </c>
      <c r="J7" s="23" t="str">
        <f>IFERROR(__xludf.DUMMYFUNCTION("""COMPUTED_VALUE"""),"/ n_e")</f>
        <v>/ n_e</v>
      </c>
      <c r="K7" s="23" t="str">
        <f>IFERROR(__xludf.DUMMYFUNCTION("""COMPUTED_VALUE"""),"-")</f>
        <v>-</v>
      </c>
      <c r="L7" s="23" t="str">
        <f>IFERROR(__xludf.DUMMYFUNCTION("""COMPUTED_VALUE"""),"kalgun-le &gt; kalgunne")</f>
        <v>kalgun-le &gt; kalgunne</v>
      </c>
      <c r="M7" s="23" t="str">
        <f>IFERROR(__xludf.DUMMYFUNCTION("""COMPUTED_VALUE"""),"-")</f>
        <v>-</v>
      </c>
      <c r="N7" s="23" t="str">
        <f>IFERROR(__xludf.DUMMYFUNCTION("""COMPUTED_VALUE"""),"‘left’")</f>
        <v>‘left’</v>
      </c>
      <c r="O7" s="23"/>
      <c r="P7" s="23" t="str">
        <f>IFERROR(__xludf.DUMMYFUNCTION("""COMPUTED_VALUE"""),"(Sumbatova, Lander, 2014)")</f>
        <v>(Sumbatova, Lander, 2014)</v>
      </c>
      <c r="Q7" s="23">
        <f>IFERROR(__xludf.DUMMYFUNCTION("""COMPUTED_VALUE"""),42.0)</f>
        <v>42</v>
      </c>
      <c r="R7" s="23" t="str">
        <f>IFERROR(__xludf.DUMMYFUNCTION("""COMPUTED_VALUE"""),"Sirhwa-Tanty")</f>
        <v>Sirhwa-Tanty</v>
      </c>
      <c r="S7" s="23" t="str">
        <f>IFERROR(__xludf.DUMMYFUNCTION("""COMPUTED_VALUE"""),"Dargwa")</f>
        <v>Dargwa</v>
      </c>
      <c r="T7" s="23" t="str">
        <f>IFERROR(__xludf.DUMMYFUNCTION("""COMPUTED_VALUE"""),"Tanty")</f>
        <v>Tanty</v>
      </c>
    </row>
    <row r="8">
      <c r="E8" s="23">
        <f>IFERROR(__xludf.DUMMYFUNCTION("""COMPUTED_VALUE"""),103.0)</f>
        <v>103</v>
      </c>
      <c r="F8" s="23" t="str">
        <f>IFERROR(__xludf.DUMMYFUNCTION("""COMPUTED_VALUE"""),"assimilation")</f>
        <v>assimilation</v>
      </c>
      <c r="G8" s="23" t="str">
        <f>IFERROR(__xludf.DUMMYFUNCTION("""COMPUTED_VALUE"""),"l-assimilation")</f>
        <v>l-assimilation</v>
      </c>
      <c r="H8" s="26" t="str">
        <f>IFERROR(__xludf.DUMMYFUNCTION("""COMPUTED_VALUE"""),"l")</f>
        <v>l</v>
      </c>
      <c r="I8" s="26" t="str">
        <f>IFERROR(__xludf.DUMMYFUNCTION("""COMPUTED_VALUE"""),"n")</f>
        <v>n</v>
      </c>
      <c r="J8" s="23" t="str">
        <f>IFERROR(__xludf.DUMMYFUNCTION("""COMPUTED_VALUE"""),"/ n_")</f>
        <v>/ n_</v>
      </c>
      <c r="K8" s="23" t="str">
        <f>IFERROR(__xludf.DUMMYFUNCTION("""COMPUTED_VALUE"""),"-")</f>
        <v>-</v>
      </c>
      <c r="L8" s="23" t="str">
        <f>IFERROR(__xludf.DUMMYFUNCTION("""COMPUTED_VALUE"""),"šin-la &gt; šin-na")</f>
        <v>šin-la &gt; šin-na</v>
      </c>
      <c r="M8" s="23" t="str">
        <f>IFERROR(__xludf.DUMMYFUNCTION("""COMPUTED_VALUE"""),"water-GEN")</f>
        <v>water-GEN</v>
      </c>
      <c r="N8" s="23" t="str">
        <f>IFERROR(__xludf.DUMMYFUNCTION("""COMPUTED_VALUE"""),"‘of water’")</f>
        <v>‘of water’</v>
      </c>
      <c r="O8" s="23"/>
      <c r="P8" s="23" t="str">
        <f>IFERROR(__xludf.DUMMYFUNCTION("""COMPUTED_VALUE"""),"(Magometov, 1963)")</f>
        <v>(Magometov, 1963)</v>
      </c>
      <c r="Q8" s="23">
        <f>IFERROR(__xludf.DUMMYFUNCTION("""COMPUTED_VALUE"""),52.0)</f>
        <v>52</v>
      </c>
      <c r="R8" s="23" t="str">
        <f>IFERROR(__xludf.DUMMYFUNCTION("""COMPUTED_VALUE"""),"Kubachi")</f>
        <v>Kubachi</v>
      </c>
      <c r="S8" s="23" t="str">
        <f>IFERROR(__xludf.DUMMYFUNCTION("""COMPUTED_VALUE"""),"Dargwa")</f>
        <v>Dargwa</v>
      </c>
      <c r="T8" s="23" t="str">
        <f>IFERROR(__xludf.DUMMYFUNCTION("""COMPUTED_VALUE"""),"Kubachi")</f>
        <v>Kubachi</v>
      </c>
    </row>
    <row r="9">
      <c r="E9" s="23">
        <f>IFERROR(__xludf.DUMMYFUNCTION("""COMPUTED_VALUE"""),104.0)</f>
        <v>104</v>
      </c>
      <c r="F9" s="23" t="str">
        <f>IFERROR(__xludf.DUMMYFUNCTION("""COMPUTED_VALUE"""),"assimilation")</f>
        <v>assimilation</v>
      </c>
      <c r="G9" s="23" t="str">
        <f>IFERROR(__xludf.DUMMYFUNCTION("""COMPUTED_VALUE"""),"l-assimilation")</f>
        <v>l-assimilation</v>
      </c>
      <c r="H9" s="26" t="str">
        <f>IFERROR(__xludf.DUMMYFUNCTION("""COMPUTED_VALUE"""),"l")</f>
        <v>l</v>
      </c>
      <c r="I9" s="26" t="str">
        <f>IFERROR(__xludf.DUMMYFUNCTION("""COMPUTED_VALUE"""),"r")</f>
        <v>r</v>
      </c>
      <c r="J9" s="23" t="str">
        <f>IFERROR(__xludf.DUMMYFUNCTION("""COMPUTED_VALUE"""),"/ r_")</f>
        <v>/ r_</v>
      </c>
      <c r="K9" s="23" t="str">
        <f>IFERROR(__xludf.DUMMYFUNCTION("""COMPUTED_VALUE"""),"-")</f>
        <v>-</v>
      </c>
      <c r="L9" s="23" t="str">
        <f>IFERROR(__xludf.DUMMYFUNCTION("""COMPUTED_VALUE"""),"čar-la &gt; čar-ra")</f>
        <v>čar-la &gt; čar-ra</v>
      </c>
      <c r="M9" s="23" t="str">
        <f>IFERROR(__xludf.DUMMYFUNCTION("""COMPUTED_VALUE"""),"wheel-GEN")</f>
        <v>wheel-GEN</v>
      </c>
      <c r="N9" s="23" t="str">
        <f>IFERROR(__xludf.DUMMYFUNCTION("""COMPUTED_VALUE"""),"‘of wheel’")</f>
        <v>‘of wheel’</v>
      </c>
      <c r="O9" s="23"/>
      <c r="P9" s="23" t="str">
        <f>IFERROR(__xludf.DUMMYFUNCTION("""COMPUTED_VALUE"""),"(Magometov, 1963)")</f>
        <v>(Magometov, 1963)</v>
      </c>
      <c r="Q9" s="23">
        <f>IFERROR(__xludf.DUMMYFUNCTION("""COMPUTED_VALUE"""),52.0)</f>
        <v>52</v>
      </c>
      <c r="R9" s="23" t="str">
        <f>IFERROR(__xludf.DUMMYFUNCTION("""COMPUTED_VALUE"""),"Kubachi")</f>
        <v>Kubachi</v>
      </c>
      <c r="S9" s="23" t="str">
        <f>IFERROR(__xludf.DUMMYFUNCTION("""COMPUTED_VALUE"""),"Dargwa")</f>
        <v>Dargwa</v>
      </c>
      <c r="T9" s="23" t="str">
        <f>IFERROR(__xludf.DUMMYFUNCTION("""COMPUTED_VALUE"""),"Kubachi")</f>
        <v>Kubachi</v>
      </c>
    </row>
    <row r="10">
      <c r="E10" s="23">
        <f>IFERROR(__xludf.DUMMYFUNCTION("""COMPUTED_VALUE"""),152.0)</f>
        <v>152</v>
      </c>
      <c r="F10" s="23" t="str">
        <f>IFERROR(__xludf.DUMMYFUNCTION("""COMPUTED_VALUE"""),"assimilation")</f>
        <v>assimilation</v>
      </c>
      <c r="G10" s="23" t="str">
        <f>IFERROR(__xludf.DUMMYFUNCTION("""COMPUTED_VALUE"""),"l-assimilation")</f>
        <v>l-assimilation</v>
      </c>
      <c r="H10" s="26" t="str">
        <f>IFERROR(__xludf.DUMMYFUNCTION("""COMPUTED_VALUE"""),"l")</f>
        <v>l</v>
      </c>
      <c r="I10" s="26" t="str">
        <f>IFERROR(__xludf.DUMMYFUNCTION("""COMPUTED_VALUE"""),"n")</f>
        <v>n</v>
      </c>
      <c r="J10" s="23" t="str">
        <f>IFERROR(__xludf.DUMMYFUNCTION("""COMPUTED_VALUE"""),"/ _ [-con; +nasal]")</f>
        <v>/ _ [-con; +nasal]</v>
      </c>
      <c r="K10" s="23" t="str">
        <f>IFERROR(__xludf.DUMMYFUNCTION("""COMPUTED_VALUE"""),"-")</f>
        <v>-</v>
      </c>
      <c r="L10" s="23" t="str">
        <f>IFERROR(__xludf.DUMMYFUNCTION("""COMPUTED_VALUE"""),"-eⁿg- &gt; n-eg-a ")</f>
        <v>-eⁿg- &gt; n-eg-a </v>
      </c>
      <c r="M10" s="23" t="str">
        <f>IFERROR(__xludf.DUMMYFUNCTION("""COMPUTED_VALUE"""),"fall &gt; NHPL/IV-fall-INF")</f>
        <v>fall &gt; NHPL/IV-fall-INF</v>
      </c>
      <c r="N10" s="23" t="str">
        <f>IFERROR(__xludf.DUMMYFUNCTION("""COMPUTED_VALUE"""),"‘’")</f>
        <v>‘’</v>
      </c>
      <c r="O10" s="23" t="str">
        <f>IFERROR(__xludf.DUMMYFUNCTION("""COMPUTED_VALUE"""),"gender-number prefixes b - and l - have the allomorphs m- and n - before a verb stem beginning lexically with a nasalized vowel")</f>
        <v>gender-number prefixes b - and l - have the allomorphs m- and n - before a verb stem beginning lexically with a nasalized vowel</v>
      </c>
      <c r="P10" s="23" t="str">
        <f>IFERROR(__xludf.DUMMYFUNCTION("""COMPUTED_VALUE"""),"(Khalilova, 2009)")</f>
        <v>(Khalilova, 2009)</v>
      </c>
      <c r="Q10" s="23">
        <f>IFERROR(__xludf.DUMMYFUNCTION("""COMPUTED_VALUE"""),30.0)</f>
        <v>30</v>
      </c>
      <c r="R10" s="23" t="str">
        <f>IFERROR(__xludf.DUMMYFUNCTION("""COMPUTED_VALUE"""),"Xvarshi")</f>
        <v>Xvarshi</v>
      </c>
      <c r="S10" s="23" t="str">
        <f>IFERROR(__xludf.DUMMYFUNCTION("""COMPUTED_VALUE"""),"Khwarshi")</f>
        <v>Khwarshi</v>
      </c>
      <c r="T10" s="23" t="str">
        <f>IFERROR(__xludf.DUMMYFUNCTION("""COMPUTED_VALUE"""),"Kwantlada")</f>
        <v>Kwantlada</v>
      </c>
    </row>
    <row r="11">
      <c r="E11" s="23">
        <f>IFERROR(__xludf.DUMMYFUNCTION("""COMPUTED_VALUE"""),285.0)</f>
        <v>285</v>
      </c>
      <c r="F11" s="23" t="str">
        <f>IFERROR(__xludf.DUMMYFUNCTION("""COMPUTED_VALUE"""),"assimilation")</f>
        <v>assimilation</v>
      </c>
      <c r="G11" s="23" t="str">
        <f>IFERROR(__xludf.DUMMYFUNCTION("""COMPUTED_VALUE"""),"l-assimilation")</f>
        <v>l-assimilation</v>
      </c>
      <c r="H11" s="26" t="str">
        <f>IFERROR(__xludf.DUMMYFUNCTION("""COMPUTED_VALUE"""),"л")</f>
        <v>л</v>
      </c>
      <c r="I11" s="26" t="str">
        <f>IFERROR(__xludf.DUMMYFUNCTION("""COMPUTED_VALUE"""),"н")</f>
        <v>н</v>
      </c>
      <c r="J11" s="23" t="str">
        <f>IFERROR(__xludf.DUMMYFUNCTION("""COMPUTED_VALUE"""),"/ н_")</f>
        <v>/ н_</v>
      </c>
      <c r="K11" s="23" t="str">
        <f>IFERROR(__xludf.DUMMYFUNCTION("""COMPUTED_VALUE"""),"-")</f>
        <v>-</v>
      </c>
      <c r="L11" s="23" t="str">
        <f>IFERROR(__xludf.DUMMYFUNCTION("""COMPUTED_VALUE"""),"ден=ло &gt; ден=но ")</f>
        <v>ден=ло &gt; ден=но </v>
      </c>
      <c r="M11" s="23" t="str">
        <f>IFERROR(__xludf.DUMMYFUNCTION("""COMPUTED_VALUE"""),"I=and")</f>
        <v>I=and</v>
      </c>
      <c r="N11" s="23" t="str">
        <f>IFERROR(__xludf.DUMMYFUNCTION("""COMPUTED_VALUE"""),"‘and I’")</f>
        <v>‘and I’</v>
      </c>
      <c r="O11" s="23"/>
      <c r="P11" s="23" t="str">
        <f>IFERROR(__xludf.DUMMYFUNCTION("""COMPUTED_VALUE"""),"(Salimov, 2010)")</f>
        <v>(Salimov, 2010)</v>
      </c>
      <c r="Q11" s="23">
        <f>IFERROR(__xludf.DUMMYFUNCTION("""COMPUTED_VALUE"""),18.0)</f>
        <v>18</v>
      </c>
      <c r="R11" s="23" t="str">
        <f>IFERROR(__xludf.DUMMYFUNCTION("""COMPUTED_VALUE"""),"Gagatl")</f>
        <v>Gagatl</v>
      </c>
      <c r="S11" s="23" t="str">
        <f>IFERROR(__xludf.DUMMYFUNCTION("""COMPUTED_VALUE"""),"Andi")</f>
        <v>Andi</v>
      </c>
      <c r="T11" s="23" t="str">
        <f>IFERROR(__xludf.DUMMYFUNCTION("""COMPUTED_VALUE"""),"Gagatli")</f>
        <v>Gagatli</v>
      </c>
    </row>
    <row r="12">
      <c r="E12" s="23">
        <f>IFERROR(__xludf.DUMMYFUNCTION("""COMPUTED_VALUE"""),330.0)</f>
        <v>330</v>
      </c>
      <c r="F12" s="23" t="str">
        <f>IFERROR(__xludf.DUMMYFUNCTION("""COMPUTED_VALUE"""),"assimilation")</f>
        <v>assimilation</v>
      </c>
      <c r="G12" s="23" t="str">
        <f>IFERROR(__xludf.DUMMYFUNCTION("""COMPUTED_VALUE"""),"l-assimilation, r-assimilation")</f>
        <v>l-assimilation, r-assimilation</v>
      </c>
      <c r="H12" s="26" t="str">
        <f>IFERROR(__xludf.DUMMYFUNCTION("""COMPUTED_VALUE"""),"[+con; +liquid] ")</f>
        <v>[+con; +liquid] </v>
      </c>
      <c r="I12" s="26" t="str">
        <f>IFERROR(__xludf.DUMMYFUNCTION("""COMPUTED_VALUE"""),"n")</f>
        <v>n</v>
      </c>
      <c r="J12" s="23" t="str">
        <f>IFERROR(__xludf.DUMMYFUNCTION("""COMPUTED_VALUE"""),"/ _ + [-con; +nasal]")</f>
        <v>/ _ + [-con; +nasal]</v>
      </c>
      <c r="K12" s="23" t="str">
        <f>IFERROR(__xludf.DUMMYFUNCTION("""COMPUTED_VALUE"""),"-")</f>
        <v>-</v>
      </c>
      <c r="L12" s="23" t="str">
        <f>IFERROR(__xludf.DUMMYFUNCTION("""COMPUTED_VALUE"""),"r=itaⁿ + r=o &gt; r=ita=n=o")</f>
        <v>r=itaⁿ + r=o &gt; r=ita=n=o</v>
      </c>
      <c r="M12" s="23" t="str">
        <f>IFERROR(__xludf.DUMMYFUNCTION("""COMPUTED_VALUE"""),"NPL=be.lost=NPL=CONV")</f>
        <v>NPL=be.lost=NPL=CONV</v>
      </c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IFERROR(__xludf.DUMMYFUNCTION("""COMPUTED_VALUE"""),"(Kibrik, Kazenin, Ljutikova, and Tatevosov, 2001)")</f>
        <v>(Kibrik, Kazenin, Ljutikova, and Tatevosov, 2001)</v>
      </c>
      <c r="Q12" s="23">
        <f>IFERROR(__xludf.DUMMYFUNCTION("""COMPUTED_VALUE"""),52.0)</f>
        <v>52</v>
      </c>
      <c r="R12" s="23" t="str">
        <f>IFERROR(__xludf.DUMMYFUNCTION("""COMPUTED_VALUE"""),"Kvanada-Gimerso")</f>
        <v>Kvanada-Gimerso</v>
      </c>
      <c r="S12" s="23" t="str">
        <f>IFERROR(__xludf.DUMMYFUNCTION("""COMPUTED_VALUE"""),"Bagvalal")</f>
        <v>Bagvalal</v>
      </c>
      <c r="T12" s="23" t="str">
        <f>IFERROR(__xludf.DUMMYFUNCTION("""COMPUTED_VALUE"""),"Kvanada")</f>
        <v>Kvanada</v>
      </c>
    </row>
    <row r="13">
      <c r="E13" s="23">
        <f>IFERROR(__xludf.DUMMYFUNCTION("""COMPUTED_VALUE"""),439.0)</f>
        <v>439</v>
      </c>
      <c r="F13" s="23" t="str">
        <f>IFERROR(__xludf.DUMMYFUNCTION("""COMPUTED_VALUE"""),"assimilation")</f>
        <v>assimilation</v>
      </c>
      <c r="G13" s="23" t="str">
        <f>IFERROR(__xludf.DUMMYFUNCTION("""COMPUTED_VALUE"""),"l-assimilation")</f>
        <v>l-assimilation</v>
      </c>
      <c r="H13" s="26" t="str">
        <f>IFERROR(__xludf.DUMMYFUNCTION("""COMPUTED_VALUE"""),"л'")</f>
        <v>л'</v>
      </c>
      <c r="I13" s="26" t="str">
        <f>IFERROR(__xludf.DUMMYFUNCTION("""COMPUTED_VALUE"""),"н")</f>
        <v>н</v>
      </c>
      <c r="J13" s="23" t="str">
        <f>IFERROR(__xludf.DUMMYFUNCTION("""COMPUTED_VALUE"""),"/ _ н")</f>
        <v>/ _ н</v>
      </c>
      <c r="K13" s="23" t="str">
        <f>IFERROR(__xludf.DUMMYFUNCTION("""COMPUTED_VALUE"""),"-")</f>
        <v>-</v>
      </c>
      <c r="L13" s="23" t="str">
        <f>IFERROR(__xludf.DUMMYFUNCTION("""COMPUTED_VALUE"""),"&gt;")</f>
        <v>&gt;</v>
      </c>
      <c r="M13" s="23"/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IFERROR(__xludf.DUMMYFUNCTION("""COMPUTED_VALUE"""),"(Ibragimov and Nurmamedov, 2010)")</f>
        <v>(Ibragimov and Nurmamedov, 2010)</v>
      </c>
      <c r="Q13" s="23">
        <f>IFERROR(__xludf.DUMMYFUNCTION("""COMPUTED_VALUE"""),507.0)</f>
        <v>507</v>
      </c>
      <c r="R13" s="23" t="str">
        <f>IFERROR(__xludf.DUMMYFUNCTION("""COMPUTED_VALUE"""),"Tsakhur")</f>
        <v>Tsakhur</v>
      </c>
      <c r="S13" s="23" t="str">
        <f>IFERROR(__xludf.DUMMYFUNCTION("""COMPUTED_VALUE"""),"Tsakhur")</f>
        <v>Tsakhur</v>
      </c>
      <c r="T13" s="23" t="str">
        <f>IFERROR(__xludf.DUMMYFUNCTION("""COMPUTED_VALUE"""),"Tsakh")</f>
        <v>Tsakh</v>
      </c>
    </row>
    <row r="14">
      <c r="E14" s="23">
        <f>IFERROR(__xludf.DUMMYFUNCTION("""COMPUTED_VALUE"""),446.0)</f>
        <v>446</v>
      </c>
      <c r="F14" s="23" t="str">
        <f>IFERROR(__xludf.DUMMYFUNCTION("""COMPUTED_VALUE"""),"assimilation")</f>
        <v>assimilation</v>
      </c>
      <c r="G14" s="23" t="str">
        <f>IFERROR(__xludf.DUMMYFUNCTION("""COMPUTED_VALUE"""),"l-assimilation")</f>
        <v>l-assimilation</v>
      </c>
      <c r="H14" s="26" t="str">
        <f>IFERROR(__xludf.DUMMYFUNCTION("""COMPUTED_VALUE"""),"л")</f>
        <v>л</v>
      </c>
      <c r="I14" s="26" t="str">
        <f>IFERROR(__xludf.DUMMYFUNCTION("""COMPUTED_VALUE"""),"р")</f>
        <v>р</v>
      </c>
      <c r="J14" s="23" t="str">
        <f>IFERROR(__xludf.DUMMYFUNCTION("""COMPUTED_VALUE"""),"/ р _")</f>
        <v>/ р _</v>
      </c>
      <c r="K14" s="23" t="str">
        <f>IFERROR(__xludf.DUMMYFUNCTION("""COMPUTED_VALUE"""),"-")</f>
        <v>-</v>
      </c>
      <c r="L14" s="23" t="str">
        <f>IFERROR(__xludf.DUMMYFUNCTION("""COMPUTED_VALUE"""),"&gt;")</f>
        <v>&gt;</v>
      </c>
      <c r="M14" s="23"/>
      <c r="N14" s="23" t="str">
        <f>IFERROR(__xludf.DUMMYFUNCTION("""COMPUTED_VALUE"""),"‘’ &gt; ‘’")</f>
        <v>‘’ &gt; ‘’</v>
      </c>
      <c r="O14" s="23"/>
      <c r="P14" s="23" t="str">
        <f>IFERROR(__xludf.DUMMYFUNCTION("""COMPUTED_VALUE"""),"(Ibragimov and Nurmamedov, 2010)")</f>
        <v>(Ibragimov and Nurmamedov, 2010)</v>
      </c>
      <c r="Q14" s="23">
        <f>IFERROR(__xludf.DUMMYFUNCTION("""COMPUTED_VALUE"""),508.0)</f>
        <v>508</v>
      </c>
      <c r="R14" s="23" t="str">
        <f>IFERROR(__xludf.DUMMYFUNCTION("""COMPUTED_VALUE"""),"Tsakhur")</f>
        <v>Tsakhur</v>
      </c>
      <c r="S14" s="23" t="str">
        <f>IFERROR(__xludf.DUMMYFUNCTION("""COMPUTED_VALUE"""),"Tsakhur")</f>
        <v>Tsakhur</v>
      </c>
      <c r="T14" s="23" t="str">
        <f>IFERROR(__xludf.DUMMYFUNCTION("""COMPUTED_VALUE"""),"Tsakh")</f>
        <v>Tsakh</v>
      </c>
    </row>
    <row r="15">
      <c r="E15" s="23">
        <f>IFERROR(__xludf.DUMMYFUNCTION("""COMPUTED_VALUE"""),472.0)</f>
        <v>472</v>
      </c>
      <c r="F15" s="23" t="str">
        <f>IFERROR(__xludf.DUMMYFUNCTION("""COMPUTED_VALUE"""),"assimilation")</f>
        <v>assimilation</v>
      </c>
      <c r="G15" s="23" t="str">
        <f>IFERROR(__xludf.DUMMYFUNCTION("""COMPUTED_VALUE"""),"l-assimilation")</f>
        <v>l-assimilation</v>
      </c>
      <c r="H15" s="26" t="str">
        <f>IFERROR(__xludf.DUMMYFUNCTION("""COMPUTED_VALUE"""),"л")</f>
        <v>л</v>
      </c>
      <c r="I15" s="26" t="str">
        <f>IFERROR(__xludf.DUMMYFUNCTION("""COMPUTED_VALUE"""),"н")</f>
        <v>н</v>
      </c>
      <c r="J15" s="23" t="str">
        <f>IFERROR(__xludf.DUMMYFUNCTION("""COMPUTED_VALUE"""),"/ н _")</f>
        <v>/ н _</v>
      </c>
      <c r="K15" s="23" t="str">
        <f>IFERROR(__xludf.DUMMYFUNCTION("""COMPUTED_VALUE"""),"-")</f>
        <v>-</v>
      </c>
      <c r="L15" s="23" t="str">
        <f>IFERROR(__xludf.DUMMYFUNCTION("""COMPUTED_VALUE"""),"&gt;")</f>
        <v>&gt;</v>
      </c>
      <c r="M15" s="23"/>
      <c r="N15" s="23" t="str">
        <f>IFERROR(__xludf.DUMMYFUNCTION("""COMPUTED_VALUE"""),"‘’ &gt; ‘’")</f>
        <v>‘’ &gt; ‘’</v>
      </c>
      <c r="O15" s="23"/>
      <c r="P15" s="23" t="str">
        <f>IFERROR(__xludf.DUMMYFUNCTION("""COMPUTED_VALUE"""),"(Mikajlov, 1967)")</f>
        <v>(Mikajlov, 1967)</v>
      </c>
      <c r="Q15" s="23">
        <f>IFERROR(__xludf.DUMMYFUNCTION("""COMPUTED_VALUE"""),35.0)</f>
        <v>35</v>
      </c>
      <c r="R15" s="23" t="str">
        <f>IFERROR(__xludf.DUMMYFUNCTION("""COMPUTED_VALUE"""),"Archi")</f>
        <v>Archi</v>
      </c>
      <c r="S15" s="23" t="str">
        <f>IFERROR(__xludf.DUMMYFUNCTION("""COMPUTED_VALUE"""),"Archi")</f>
        <v>Archi</v>
      </c>
      <c r="T15" s="23" t="str">
        <f>IFERROR(__xludf.DUMMYFUNCTION("""COMPUTED_VALUE"""),"Archib")</f>
        <v>Archib</v>
      </c>
    </row>
    <row r="16">
      <c r="E16" s="23">
        <f>IFERROR(__xludf.DUMMYFUNCTION("""COMPUTED_VALUE"""),584.0)</f>
        <v>584</v>
      </c>
      <c r="F16" s="23" t="str">
        <f>IFERROR(__xludf.DUMMYFUNCTION("""COMPUTED_VALUE"""),"assimilation")</f>
        <v>assimilation</v>
      </c>
      <c r="G16" s="23" t="str">
        <f>IFERROR(__xludf.DUMMYFUNCTION("""COMPUTED_VALUE"""),"l-assimilation")</f>
        <v>l-assimilation</v>
      </c>
      <c r="H16" s="26" t="str">
        <f>IFERROR(__xludf.DUMMYFUNCTION("""COMPUTED_VALUE"""),"l")</f>
        <v>l</v>
      </c>
      <c r="I16" s="26" t="str">
        <f>IFERROR(__xludf.DUMMYFUNCTION("""COMPUTED_VALUE"""),"n")</f>
        <v>n</v>
      </c>
      <c r="J16" s="23" t="str">
        <f>IFERROR(__xludf.DUMMYFUNCTION("""COMPUTED_VALUE"""),"/ _ n")</f>
        <v>/ _ n</v>
      </c>
      <c r="K16" s="23" t="str">
        <f>IFERROR(__xludf.DUMMYFUNCTION("""COMPUTED_VALUE"""),"-")</f>
        <v>-</v>
      </c>
      <c r="L16" s="23" t="str">
        <f>IFERROR(__xludf.DUMMYFUNCTION("""COMPUTED_VALUE"""),"hil-no &gt; hinno")</f>
        <v>hil-no &gt; hinno</v>
      </c>
      <c r="M16" s="23" t="str">
        <f>IFERROR(__xludf.DUMMYFUNCTION("""COMPUTED_VALUE"""),"‘bite-UWPST’")</f>
        <v>‘bite-UWPST’</v>
      </c>
      <c r="N16" s="23" t="str">
        <f>IFERROR(__xludf.DUMMYFUNCTION("""COMPUTED_VALUE"""),"‘’ &gt; ‘’")</f>
        <v>‘’ &gt; ‘’</v>
      </c>
      <c r="O16" s="23"/>
      <c r="P16" s="23" t="str">
        <f>IFERROR(__xludf.DUMMYFUNCTION("""COMPUTED_VALUE"""),"(Forker, 2013)")</f>
        <v>(Forker, 2013)</v>
      </c>
      <c r="Q16" s="23">
        <f>IFERROR(__xludf.DUMMYFUNCTION("""COMPUTED_VALUE"""),44.0)</f>
        <v>44</v>
      </c>
      <c r="R16" s="23" t="str">
        <f>IFERROR(__xludf.DUMMYFUNCTION("""COMPUTED_VALUE"""),"Hinuq")</f>
        <v>Hinuq</v>
      </c>
      <c r="S16" s="23" t="str">
        <f>IFERROR(__xludf.DUMMYFUNCTION("""COMPUTED_VALUE"""),"Hinuq")</f>
        <v>Hinuq</v>
      </c>
      <c r="T16" s="23" t="str">
        <f>IFERROR(__xludf.DUMMYFUNCTION("""COMPUTED_VALUE"""),"Hinuq")</f>
        <v>Hinuq</v>
      </c>
    </row>
    <row r="17">
      <c r="H17" s="26"/>
      <c r="I17" s="26"/>
    </row>
    <row r="18">
      <c r="H18" s="26"/>
      <c r="I18" s="26"/>
    </row>
    <row r="19">
      <c r="H19" s="26"/>
      <c r="I19" s="26"/>
    </row>
    <row r="20">
      <c r="E20" s="28" t="s">
        <v>1792</v>
      </c>
      <c r="H20" s="26"/>
      <c r="I20" s="26"/>
    </row>
    <row r="21">
      <c r="H21" s="26"/>
      <c r="I21" s="26"/>
    </row>
    <row r="22">
      <c r="E22" s="25" t="s">
        <v>1786</v>
      </c>
      <c r="H22" s="26"/>
      <c r="I22" s="26"/>
    </row>
    <row r="23">
      <c r="E23" s="25" t="s">
        <v>1793</v>
      </c>
      <c r="H23" s="26"/>
      <c r="I23" s="26"/>
    </row>
    <row r="24">
      <c r="E24" s="25" t="s">
        <v>1794</v>
      </c>
      <c r="H24" s="26"/>
      <c r="I24" s="26"/>
    </row>
    <row r="25">
      <c r="H25" s="26"/>
      <c r="I25" s="26"/>
    </row>
    <row r="26">
      <c r="H26" s="26"/>
      <c r="I26" s="26"/>
    </row>
    <row r="27">
      <c r="H27" s="26"/>
      <c r="I27" s="26"/>
    </row>
    <row r="28">
      <c r="H28" s="26"/>
      <c r="I28" s="26"/>
    </row>
    <row r="29">
      <c r="H29" s="26"/>
      <c r="I29" s="26"/>
    </row>
    <row r="30">
      <c r="H30" s="26"/>
      <c r="I30" s="26"/>
    </row>
    <row r="31">
      <c r="H31" s="26"/>
      <c r="I31" s="26"/>
    </row>
    <row r="32">
      <c r="H32" s="26"/>
      <c r="I32" s="26"/>
    </row>
    <row r="33">
      <c r="H33" s="26"/>
      <c r="I33" s="26"/>
    </row>
    <row r="34">
      <c r="H34" s="26"/>
      <c r="I34" s="26"/>
    </row>
    <row r="35">
      <c r="H35" s="26"/>
      <c r="I35" s="26"/>
    </row>
    <row r="36">
      <c r="H36" s="26"/>
      <c r="I36" s="26"/>
    </row>
    <row r="37">
      <c r="H37" s="26"/>
      <c r="I37" s="26"/>
    </row>
    <row r="38">
      <c r="H38" s="26"/>
      <c r="I38" s="26"/>
    </row>
    <row r="39">
      <c r="H39" s="26"/>
      <c r="I39" s="26"/>
    </row>
    <row r="40">
      <c r="H40" s="26"/>
      <c r="I40" s="26"/>
    </row>
    <row r="41">
      <c r="H41" s="26"/>
      <c r="I41" s="26"/>
    </row>
    <row r="42">
      <c r="H42" s="26"/>
      <c r="I42" s="26"/>
    </row>
    <row r="43">
      <c r="H43" s="26"/>
      <c r="I43" s="26"/>
    </row>
    <row r="44">
      <c r="H44" s="26"/>
      <c r="I44" s="26"/>
    </row>
    <row r="45">
      <c r="H45" s="26"/>
      <c r="I45" s="26"/>
    </row>
    <row r="46">
      <c r="H46" s="26"/>
      <c r="I46" s="26"/>
    </row>
    <row r="47">
      <c r="H47" s="26"/>
      <c r="I47" s="26"/>
    </row>
    <row r="48">
      <c r="H48" s="26"/>
      <c r="I48" s="26"/>
    </row>
    <row r="49">
      <c r="H49" s="26"/>
      <c r="I49" s="26"/>
    </row>
    <row r="50">
      <c r="H50" s="26"/>
      <c r="I50" s="26"/>
    </row>
    <row r="51">
      <c r="H51" s="26"/>
      <c r="I51" s="26"/>
    </row>
    <row r="52">
      <c r="H52" s="26"/>
      <c r="I52" s="26"/>
    </row>
    <row r="53">
      <c r="H53" s="26"/>
      <c r="I53" s="26"/>
    </row>
    <row r="54">
      <c r="H54" s="26"/>
      <c r="I54" s="26"/>
    </row>
    <row r="55">
      <c r="H55" s="26"/>
      <c r="I55" s="26"/>
    </row>
    <row r="56">
      <c r="H56" s="26"/>
      <c r="I56" s="26"/>
    </row>
    <row r="57">
      <c r="H57" s="26"/>
      <c r="I57" s="26"/>
    </row>
    <row r="58">
      <c r="H58" s="26"/>
      <c r="I58" s="26"/>
    </row>
    <row r="59">
      <c r="H59" s="26"/>
      <c r="I59" s="26"/>
    </row>
    <row r="60">
      <c r="H60" s="26"/>
      <c r="I60" s="26"/>
    </row>
    <row r="61">
      <c r="H61" s="26"/>
      <c r="I61" s="26"/>
    </row>
    <row r="62">
      <c r="H62" s="26"/>
      <c r="I62" s="26"/>
    </row>
    <row r="63">
      <c r="H63" s="26"/>
      <c r="I63" s="26"/>
    </row>
    <row r="64">
      <c r="H64" s="26"/>
      <c r="I64" s="26"/>
    </row>
    <row r="65">
      <c r="H65" s="26"/>
      <c r="I65" s="26"/>
    </row>
    <row r="66">
      <c r="H66" s="26"/>
      <c r="I66" s="26"/>
    </row>
    <row r="67">
      <c r="H67" s="26"/>
      <c r="I67" s="26"/>
    </row>
    <row r="68">
      <c r="H68" s="26"/>
      <c r="I68" s="26"/>
    </row>
    <row r="69">
      <c r="H69" s="26"/>
      <c r="I69" s="26"/>
    </row>
    <row r="70">
      <c r="H70" s="26"/>
      <c r="I70" s="26"/>
    </row>
    <row r="71">
      <c r="H71" s="26"/>
      <c r="I71" s="26"/>
    </row>
    <row r="72">
      <c r="H72" s="26"/>
      <c r="I72" s="26"/>
    </row>
    <row r="73">
      <c r="H73" s="26"/>
      <c r="I73" s="26"/>
    </row>
    <row r="74">
      <c r="H74" s="26"/>
      <c r="I74" s="26"/>
    </row>
    <row r="75">
      <c r="H75" s="26"/>
      <c r="I75" s="26"/>
    </row>
    <row r="76">
      <c r="H76" s="26"/>
      <c r="I76" s="26"/>
    </row>
    <row r="77">
      <c r="H77" s="26"/>
      <c r="I77" s="26"/>
    </row>
    <row r="78">
      <c r="H78" s="26"/>
      <c r="I78" s="26"/>
    </row>
    <row r="79">
      <c r="H79" s="26"/>
      <c r="I79" s="26"/>
    </row>
    <row r="80">
      <c r="H80" s="26"/>
      <c r="I80" s="26"/>
    </row>
    <row r="81">
      <c r="H81" s="26"/>
      <c r="I81" s="26"/>
    </row>
    <row r="82">
      <c r="H82" s="26"/>
      <c r="I82" s="26"/>
    </row>
    <row r="83">
      <c r="H83" s="26"/>
      <c r="I83" s="26"/>
    </row>
    <row r="84">
      <c r="H84" s="26"/>
      <c r="I84" s="26"/>
    </row>
    <row r="85">
      <c r="H85" s="26"/>
      <c r="I85" s="26"/>
    </row>
    <row r="86">
      <c r="H86" s="26"/>
      <c r="I86" s="26"/>
    </row>
    <row r="87">
      <c r="H87" s="26"/>
      <c r="I87" s="26"/>
    </row>
    <row r="88">
      <c r="H88" s="26"/>
      <c r="I88" s="26"/>
    </row>
    <row r="89">
      <c r="H89" s="26"/>
      <c r="I89" s="26"/>
    </row>
    <row r="90">
      <c r="H90" s="26"/>
      <c r="I90" s="26"/>
    </row>
    <row r="91">
      <c r="H91" s="26"/>
      <c r="I91" s="26"/>
    </row>
    <row r="92">
      <c r="H92" s="26"/>
      <c r="I92" s="26"/>
    </row>
    <row r="93">
      <c r="H93" s="26"/>
      <c r="I93" s="26"/>
    </row>
    <row r="94">
      <c r="H94" s="26"/>
      <c r="I94" s="26"/>
    </row>
    <row r="95">
      <c r="H95" s="26"/>
      <c r="I95" s="26"/>
    </row>
    <row r="96">
      <c r="H96" s="26"/>
      <c r="I96" s="26"/>
    </row>
    <row r="97">
      <c r="H97" s="26"/>
      <c r="I97" s="26"/>
    </row>
    <row r="98">
      <c r="H98" s="26"/>
      <c r="I98" s="26"/>
    </row>
    <row r="99">
      <c r="H99" s="26"/>
      <c r="I99" s="26"/>
    </row>
    <row r="100">
      <c r="H100" s="26"/>
      <c r="I100" s="26"/>
    </row>
    <row r="101">
      <c r="H101" s="26"/>
      <c r="I101" s="26"/>
    </row>
    <row r="102">
      <c r="H102" s="26"/>
      <c r="I102" s="26"/>
    </row>
    <row r="103">
      <c r="H103" s="26"/>
      <c r="I103" s="26"/>
    </row>
    <row r="104">
      <c r="H104" s="26"/>
      <c r="I104" s="26"/>
    </row>
    <row r="105">
      <c r="H105" s="26"/>
      <c r="I105" s="26"/>
    </row>
    <row r="106">
      <c r="H106" s="26"/>
      <c r="I106" s="26"/>
    </row>
    <row r="107">
      <c r="H107" s="26"/>
      <c r="I107" s="26"/>
    </row>
    <row r="108">
      <c r="H108" s="26"/>
      <c r="I108" s="26"/>
    </row>
    <row r="109">
      <c r="H109" s="26"/>
      <c r="I109" s="26"/>
    </row>
    <row r="110">
      <c r="H110" s="26"/>
      <c r="I110" s="26"/>
    </row>
    <row r="111">
      <c r="H111" s="26"/>
      <c r="I111" s="26"/>
    </row>
    <row r="112">
      <c r="H112" s="26"/>
      <c r="I112" s="26"/>
    </row>
    <row r="113">
      <c r="H113" s="26"/>
      <c r="I113" s="26"/>
    </row>
    <row r="114">
      <c r="H114" s="26"/>
      <c r="I114" s="26"/>
    </row>
    <row r="115">
      <c r="H115" s="26"/>
      <c r="I115" s="26"/>
    </row>
    <row r="116">
      <c r="H116" s="26"/>
      <c r="I116" s="26"/>
    </row>
    <row r="117">
      <c r="H117" s="26"/>
      <c r="I117" s="26"/>
    </row>
    <row r="118">
      <c r="H118" s="26"/>
      <c r="I118" s="26"/>
    </row>
    <row r="119">
      <c r="H119" s="26"/>
      <c r="I119" s="26"/>
    </row>
    <row r="120">
      <c r="H120" s="26"/>
      <c r="I120" s="26"/>
    </row>
    <row r="121">
      <c r="H121" s="26"/>
      <c r="I121" s="26"/>
    </row>
    <row r="122">
      <c r="H122" s="26"/>
      <c r="I122" s="26"/>
    </row>
    <row r="123">
      <c r="H123" s="26"/>
      <c r="I123" s="26"/>
    </row>
    <row r="124">
      <c r="H124" s="26"/>
      <c r="I124" s="26"/>
    </row>
    <row r="125">
      <c r="H125" s="26"/>
      <c r="I125" s="26"/>
    </row>
    <row r="126">
      <c r="H126" s="26"/>
      <c r="I126" s="26"/>
    </row>
    <row r="127">
      <c r="H127" s="26"/>
      <c r="I127" s="26"/>
    </row>
    <row r="128">
      <c r="H128" s="26"/>
      <c r="I128" s="26"/>
    </row>
    <row r="129">
      <c r="H129" s="26"/>
      <c r="I129" s="26"/>
    </row>
    <row r="130">
      <c r="H130" s="26"/>
      <c r="I130" s="26"/>
    </row>
    <row r="131">
      <c r="H131" s="26"/>
      <c r="I131" s="26"/>
    </row>
    <row r="132">
      <c r="H132" s="26"/>
      <c r="I132" s="26"/>
    </row>
    <row r="133">
      <c r="H133" s="26"/>
      <c r="I133" s="26"/>
    </row>
    <row r="134">
      <c r="H134" s="26"/>
      <c r="I134" s="26"/>
    </row>
    <row r="135">
      <c r="H135" s="26"/>
      <c r="I135" s="26"/>
    </row>
    <row r="136">
      <c r="H136" s="26"/>
      <c r="I136" s="26"/>
    </row>
    <row r="137">
      <c r="H137" s="26"/>
      <c r="I137" s="26"/>
    </row>
    <row r="138">
      <c r="H138" s="26"/>
      <c r="I138" s="26"/>
    </row>
    <row r="139">
      <c r="H139" s="26"/>
      <c r="I139" s="26"/>
    </row>
    <row r="140">
      <c r="H140" s="26"/>
      <c r="I140" s="26"/>
    </row>
    <row r="141">
      <c r="H141" s="26"/>
      <c r="I141" s="26"/>
    </row>
    <row r="142">
      <c r="H142" s="26"/>
      <c r="I142" s="26"/>
    </row>
    <row r="143">
      <c r="H143" s="26"/>
      <c r="I143" s="26"/>
    </row>
    <row r="144">
      <c r="H144" s="26"/>
      <c r="I144" s="26"/>
    </row>
    <row r="145">
      <c r="H145" s="26"/>
      <c r="I145" s="26"/>
    </row>
    <row r="146">
      <c r="H146" s="26"/>
      <c r="I146" s="26"/>
    </row>
    <row r="147">
      <c r="H147" s="26"/>
      <c r="I147" s="26"/>
    </row>
    <row r="148">
      <c r="H148" s="26"/>
      <c r="I148" s="26"/>
    </row>
    <row r="149">
      <c r="H149" s="26"/>
      <c r="I149" s="26"/>
    </row>
    <row r="150">
      <c r="H150" s="26"/>
      <c r="I150" s="26"/>
    </row>
    <row r="151">
      <c r="H151" s="26"/>
      <c r="I151" s="26"/>
    </row>
    <row r="152">
      <c r="H152" s="26"/>
      <c r="I152" s="26"/>
    </row>
    <row r="153">
      <c r="H153" s="26"/>
      <c r="I153" s="26"/>
    </row>
    <row r="154">
      <c r="H154" s="26"/>
      <c r="I154" s="26"/>
    </row>
    <row r="155">
      <c r="H155" s="26"/>
      <c r="I155" s="26"/>
    </row>
    <row r="156">
      <c r="H156" s="26"/>
      <c r="I156" s="26"/>
    </row>
    <row r="157">
      <c r="H157" s="26"/>
      <c r="I157" s="26"/>
    </row>
    <row r="158">
      <c r="H158" s="26"/>
      <c r="I158" s="26"/>
    </row>
    <row r="159">
      <c r="H159" s="26"/>
      <c r="I159" s="26"/>
    </row>
    <row r="160">
      <c r="H160" s="26"/>
      <c r="I160" s="26"/>
    </row>
    <row r="161">
      <c r="H161" s="26"/>
      <c r="I161" s="26"/>
    </row>
    <row r="162">
      <c r="H162" s="26"/>
      <c r="I162" s="26"/>
    </row>
    <row r="163">
      <c r="H163" s="26"/>
      <c r="I163" s="26"/>
    </row>
    <row r="164">
      <c r="H164" s="26"/>
      <c r="I164" s="26"/>
    </row>
    <row r="165">
      <c r="H165" s="26"/>
      <c r="I165" s="26"/>
    </row>
    <row r="166">
      <c r="H166" s="26"/>
      <c r="I166" s="26"/>
    </row>
    <row r="167">
      <c r="H167" s="26"/>
      <c r="I167" s="26"/>
    </row>
    <row r="168">
      <c r="H168" s="26"/>
      <c r="I168" s="26"/>
    </row>
    <row r="169">
      <c r="H169" s="26"/>
      <c r="I169" s="26"/>
    </row>
    <row r="170">
      <c r="H170" s="26"/>
      <c r="I170" s="26"/>
    </row>
    <row r="171">
      <c r="H171" s="26"/>
      <c r="I171" s="26"/>
    </row>
    <row r="172">
      <c r="H172" s="26"/>
      <c r="I172" s="26"/>
    </row>
    <row r="173">
      <c r="H173" s="26"/>
      <c r="I173" s="26"/>
    </row>
    <row r="174">
      <c r="H174" s="26"/>
      <c r="I174" s="26"/>
    </row>
    <row r="175">
      <c r="H175" s="26"/>
      <c r="I175" s="26"/>
    </row>
    <row r="176">
      <c r="H176" s="26"/>
      <c r="I176" s="26"/>
    </row>
    <row r="177">
      <c r="H177" s="26"/>
      <c r="I177" s="26"/>
    </row>
    <row r="178">
      <c r="H178" s="26"/>
      <c r="I178" s="26"/>
    </row>
    <row r="179">
      <c r="H179" s="26"/>
      <c r="I179" s="26"/>
    </row>
    <row r="180">
      <c r="H180" s="26"/>
      <c r="I180" s="26"/>
    </row>
    <row r="181">
      <c r="H181" s="26"/>
      <c r="I181" s="26"/>
    </row>
    <row r="182">
      <c r="H182" s="26"/>
      <c r="I182" s="26"/>
    </row>
    <row r="183">
      <c r="H183" s="26"/>
      <c r="I183" s="26"/>
    </row>
    <row r="184">
      <c r="H184" s="26"/>
      <c r="I184" s="26"/>
    </row>
    <row r="185">
      <c r="H185" s="26"/>
      <c r="I185" s="26"/>
    </row>
    <row r="186">
      <c r="H186" s="26"/>
      <c r="I186" s="26"/>
    </row>
    <row r="187">
      <c r="H187" s="26"/>
      <c r="I187" s="26"/>
    </row>
    <row r="188">
      <c r="H188" s="26"/>
      <c r="I188" s="26"/>
    </row>
    <row r="189">
      <c r="H189" s="26"/>
      <c r="I189" s="26"/>
    </row>
    <row r="190">
      <c r="H190" s="26"/>
      <c r="I190" s="26"/>
    </row>
    <row r="191">
      <c r="H191" s="26"/>
      <c r="I191" s="26"/>
    </row>
    <row r="192">
      <c r="H192" s="26"/>
      <c r="I192" s="26"/>
    </row>
    <row r="193">
      <c r="H193" s="26"/>
      <c r="I193" s="26"/>
    </row>
    <row r="194">
      <c r="H194" s="26"/>
      <c r="I194" s="26"/>
    </row>
    <row r="195">
      <c r="H195" s="26"/>
      <c r="I195" s="26"/>
    </row>
    <row r="196">
      <c r="H196" s="26"/>
      <c r="I196" s="26"/>
    </row>
    <row r="197">
      <c r="H197" s="26"/>
      <c r="I197" s="26"/>
    </row>
    <row r="198">
      <c r="H198" s="26"/>
      <c r="I198" s="26"/>
    </row>
    <row r="199">
      <c r="H199" s="26"/>
      <c r="I199" s="26"/>
    </row>
    <row r="200">
      <c r="H200" s="26"/>
      <c r="I200" s="26"/>
    </row>
    <row r="201">
      <c r="H201" s="26"/>
      <c r="I201" s="26"/>
    </row>
    <row r="202">
      <c r="H202" s="26"/>
      <c r="I202" s="26"/>
    </row>
    <row r="203">
      <c r="H203" s="26"/>
      <c r="I203" s="26"/>
    </row>
    <row r="204">
      <c r="H204" s="26"/>
      <c r="I204" s="26"/>
    </row>
    <row r="205">
      <c r="H205" s="26"/>
      <c r="I205" s="26"/>
    </row>
    <row r="206">
      <c r="H206" s="26"/>
      <c r="I206" s="26"/>
    </row>
    <row r="207">
      <c r="H207" s="26"/>
      <c r="I207" s="26"/>
    </row>
    <row r="208">
      <c r="H208" s="26"/>
      <c r="I208" s="26"/>
    </row>
    <row r="209">
      <c r="H209" s="26"/>
      <c r="I209" s="26"/>
    </row>
    <row r="210">
      <c r="H210" s="26"/>
      <c r="I210" s="26"/>
    </row>
    <row r="211">
      <c r="H211" s="26"/>
      <c r="I211" s="26"/>
    </row>
    <row r="212">
      <c r="H212" s="26"/>
      <c r="I212" s="26"/>
    </row>
    <row r="213">
      <c r="H213" s="26"/>
      <c r="I213" s="26"/>
    </row>
    <row r="214">
      <c r="H214" s="26"/>
      <c r="I214" s="26"/>
    </row>
    <row r="215">
      <c r="H215" s="26"/>
      <c r="I215" s="26"/>
    </row>
    <row r="216">
      <c r="H216" s="26"/>
      <c r="I216" s="26"/>
    </row>
    <row r="217">
      <c r="H217" s="26"/>
      <c r="I217" s="26"/>
    </row>
    <row r="218">
      <c r="H218" s="26"/>
      <c r="I218" s="26"/>
    </row>
    <row r="219">
      <c r="H219" s="26"/>
      <c r="I219" s="26"/>
    </row>
    <row r="220">
      <c r="H220" s="26"/>
      <c r="I220" s="26"/>
    </row>
    <row r="221">
      <c r="H221" s="26"/>
      <c r="I221" s="26"/>
    </row>
    <row r="222">
      <c r="H222" s="26"/>
      <c r="I222" s="26"/>
    </row>
    <row r="223">
      <c r="H223" s="26"/>
      <c r="I223" s="26"/>
    </row>
    <row r="224">
      <c r="H224" s="26"/>
      <c r="I224" s="26"/>
    </row>
    <row r="225">
      <c r="H225" s="26"/>
      <c r="I225" s="26"/>
    </row>
    <row r="226">
      <c r="H226" s="26"/>
      <c r="I226" s="26"/>
    </row>
    <row r="227">
      <c r="H227" s="26"/>
      <c r="I227" s="26"/>
    </row>
    <row r="228">
      <c r="H228" s="26"/>
      <c r="I228" s="26"/>
    </row>
    <row r="229">
      <c r="H229" s="26"/>
      <c r="I229" s="26"/>
    </row>
    <row r="230">
      <c r="H230" s="26"/>
      <c r="I230" s="26"/>
    </row>
    <row r="231">
      <c r="H231" s="26"/>
      <c r="I231" s="26"/>
    </row>
    <row r="232">
      <c r="H232" s="26"/>
      <c r="I232" s="26"/>
    </row>
    <row r="233">
      <c r="H233" s="26"/>
      <c r="I233" s="26"/>
    </row>
    <row r="234">
      <c r="H234" s="26"/>
      <c r="I234" s="26"/>
    </row>
    <row r="235">
      <c r="H235" s="26"/>
      <c r="I235" s="26"/>
    </row>
    <row r="236">
      <c r="H236" s="26"/>
      <c r="I236" s="26"/>
    </row>
    <row r="237">
      <c r="H237" s="26"/>
      <c r="I237" s="26"/>
    </row>
    <row r="238">
      <c r="H238" s="26"/>
      <c r="I238" s="26"/>
    </row>
    <row r="239">
      <c r="H239" s="26"/>
      <c r="I239" s="26"/>
    </row>
    <row r="240">
      <c r="H240" s="26"/>
      <c r="I240" s="26"/>
    </row>
    <row r="241">
      <c r="H241" s="26"/>
      <c r="I241" s="26"/>
    </row>
    <row r="242">
      <c r="H242" s="26"/>
      <c r="I242" s="26"/>
    </row>
    <row r="243">
      <c r="H243" s="26"/>
      <c r="I243" s="26"/>
    </row>
    <row r="244">
      <c r="H244" s="26"/>
      <c r="I244" s="26"/>
    </row>
    <row r="245">
      <c r="H245" s="26"/>
      <c r="I245" s="26"/>
    </row>
    <row r="246">
      <c r="H246" s="26"/>
      <c r="I246" s="26"/>
    </row>
    <row r="247">
      <c r="H247" s="26"/>
      <c r="I247" s="26"/>
    </row>
    <row r="248">
      <c r="H248" s="26"/>
      <c r="I248" s="26"/>
    </row>
    <row r="249">
      <c r="H249" s="26"/>
      <c r="I249" s="26"/>
    </row>
    <row r="250">
      <c r="H250" s="26"/>
      <c r="I250" s="26"/>
    </row>
    <row r="251">
      <c r="H251" s="26"/>
      <c r="I251" s="26"/>
    </row>
    <row r="252">
      <c r="H252" s="26"/>
      <c r="I252" s="26"/>
    </row>
    <row r="253">
      <c r="H253" s="26"/>
      <c r="I253" s="26"/>
    </row>
    <row r="254">
      <c r="H254" s="26"/>
      <c r="I254" s="26"/>
    </row>
    <row r="255">
      <c r="H255" s="26"/>
      <c r="I255" s="26"/>
    </row>
    <row r="256">
      <c r="H256" s="26"/>
      <c r="I256" s="26"/>
    </row>
    <row r="257">
      <c r="H257" s="26"/>
      <c r="I257" s="26"/>
    </row>
    <row r="258">
      <c r="H258" s="26"/>
      <c r="I258" s="26"/>
    </row>
    <row r="259">
      <c r="H259" s="26"/>
      <c r="I259" s="26"/>
    </row>
    <row r="260">
      <c r="H260" s="26"/>
      <c r="I260" s="26"/>
    </row>
    <row r="261">
      <c r="H261" s="26"/>
      <c r="I261" s="26"/>
    </row>
    <row r="262">
      <c r="H262" s="26"/>
      <c r="I262" s="26"/>
    </row>
    <row r="263">
      <c r="H263" s="26"/>
      <c r="I263" s="26"/>
    </row>
    <row r="264">
      <c r="H264" s="26"/>
      <c r="I264" s="26"/>
    </row>
    <row r="265">
      <c r="H265" s="26"/>
      <c r="I265" s="26"/>
    </row>
    <row r="266">
      <c r="H266" s="26"/>
      <c r="I266" s="26"/>
    </row>
    <row r="267">
      <c r="H267" s="26"/>
      <c r="I267" s="26"/>
    </row>
    <row r="268">
      <c r="H268" s="26"/>
      <c r="I268" s="26"/>
    </row>
    <row r="269">
      <c r="H269" s="26"/>
      <c r="I269" s="26"/>
    </row>
    <row r="270">
      <c r="H270" s="26"/>
      <c r="I270" s="26"/>
    </row>
    <row r="271">
      <c r="H271" s="26"/>
      <c r="I271" s="26"/>
    </row>
    <row r="272">
      <c r="H272" s="26"/>
      <c r="I272" s="26"/>
    </row>
    <row r="273">
      <c r="H273" s="26"/>
      <c r="I273" s="26"/>
    </row>
    <row r="274">
      <c r="H274" s="26"/>
      <c r="I274" s="26"/>
    </row>
    <row r="275">
      <c r="H275" s="26"/>
      <c r="I275" s="26"/>
    </row>
    <row r="276">
      <c r="H276" s="26"/>
      <c r="I276" s="26"/>
    </row>
    <row r="277">
      <c r="H277" s="26"/>
      <c r="I277" s="26"/>
    </row>
    <row r="278">
      <c r="H278" s="26"/>
      <c r="I278" s="26"/>
    </row>
    <row r="279">
      <c r="H279" s="26"/>
      <c r="I279" s="26"/>
    </row>
    <row r="280">
      <c r="H280" s="26"/>
      <c r="I280" s="26"/>
    </row>
    <row r="281">
      <c r="H281" s="26"/>
      <c r="I281" s="26"/>
    </row>
    <row r="282">
      <c r="H282" s="26"/>
      <c r="I282" s="26"/>
    </row>
    <row r="283">
      <c r="H283" s="26"/>
      <c r="I283" s="26"/>
    </row>
    <row r="284">
      <c r="H284" s="26"/>
      <c r="I284" s="26"/>
    </row>
    <row r="285">
      <c r="H285" s="26"/>
      <c r="I285" s="26"/>
    </row>
    <row r="286">
      <c r="H286" s="26"/>
      <c r="I286" s="26"/>
    </row>
    <row r="287">
      <c r="H287" s="26"/>
      <c r="I287" s="26"/>
    </row>
    <row r="288">
      <c r="H288" s="26"/>
      <c r="I288" s="26"/>
    </row>
    <row r="289">
      <c r="H289" s="26"/>
      <c r="I289" s="26"/>
    </row>
    <row r="290">
      <c r="H290" s="26"/>
      <c r="I290" s="26"/>
    </row>
    <row r="291">
      <c r="H291" s="26"/>
      <c r="I291" s="26"/>
    </row>
    <row r="292">
      <c r="H292" s="26"/>
      <c r="I292" s="26"/>
    </row>
    <row r="293">
      <c r="H293" s="26"/>
      <c r="I293" s="26"/>
    </row>
    <row r="294">
      <c r="H294" s="26"/>
      <c r="I294" s="26"/>
    </row>
    <row r="295">
      <c r="H295" s="26"/>
      <c r="I295" s="26"/>
    </row>
    <row r="296">
      <c r="H296" s="26"/>
      <c r="I296" s="26"/>
    </row>
    <row r="297">
      <c r="H297" s="26"/>
      <c r="I297" s="26"/>
    </row>
    <row r="298">
      <c r="H298" s="26"/>
      <c r="I298" s="26"/>
    </row>
    <row r="299">
      <c r="H299" s="26"/>
      <c r="I299" s="26"/>
    </row>
    <row r="300">
      <c r="H300" s="26"/>
      <c r="I300" s="26"/>
    </row>
    <row r="301">
      <c r="H301" s="26"/>
      <c r="I301" s="26"/>
    </row>
    <row r="302">
      <c r="H302" s="26"/>
      <c r="I302" s="26"/>
    </row>
    <row r="303">
      <c r="H303" s="26"/>
      <c r="I303" s="26"/>
    </row>
    <row r="304">
      <c r="H304" s="26"/>
      <c r="I304" s="26"/>
    </row>
    <row r="305">
      <c r="H305" s="26"/>
      <c r="I305" s="26"/>
    </row>
    <row r="306">
      <c r="H306" s="26"/>
      <c r="I306" s="26"/>
    </row>
    <row r="307">
      <c r="H307" s="26"/>
      <c r="I307" s="26"/>
    </row>
    <row r="308">
      <c r="H308" s="26"/>
      <c r="I308" s="26"/>
    </row>
    <row r="309">
      <c r="H309" s="26"/>
      <c r="I309" s="26"/>
    </row>
    <row r="310">
      <c r="H310" s="26"/>
      <c r="I310" s="26"/>
    </row>
    <row r="311">
      <c r="H311" s="26"/>
      <c r="I311" s="26"/>
    </row>
    <row r="312">
      <c r="H312" s="26"/>
      <c r="I312" s="26"/>
    </row>
    <row r="313">
      <c r="H313" s="26"/>
      <c r="I313" s="26"/>
    </row>
    <row r="314">
      <c r="H314" s="26"/>
      <c r="I314" s="26"/>
    </row>
    <row r="315">
      <c r="H315" s="26"/>
      <c r="I315" s="26"/>
    </row>
    <row r="316">
      <c r="H316" s="26"/>
      <c r="I316" s="26"/>
    </row>
    <row r="317">
      <c r="H317" s="26"/>
      <c r="I317" s="26"/>
    </row>
    <row r="318">
      <c r="H318" s="26"/>
      <c r="I318" s="26"/>
    </row>
    <row r="319">
      <c r="H319" s="26"/>
      <c r="I319" s="26"/>
    </row>
    <row r="320">
      <c r="H320" s="26"/>
      <c r="I320" s="26"/>
    </row>
    <row r="321">
      <c r="H321" s="26"/>
      <c r="I321" s="26"/>
    </row>
    <row r="322">
      <c r="H322" s="26"/>
      <c r="I322" s="26"/>
    </row>
    <row r="323">
      <c r="H323" s="26"/>
      <c r="I323" s="26"/>
    </row>
    <row r="324">
      <c r="H324" s="26"/>
      <c r="I324" s="26"/>
    </row>
    <row r="325">
      <c r="H325" s="26"/>
      <c r="I325" s="26"/>
    </row>
    <row r="326">
      <c r="H326" s="26"/>
      <c r="I326" s="26"/>
    </row>
    <row r="327">
      <c r="H327" s="26"/>
      <c r="I327" s="26"/>
    </row>
    <row r="328">
      <c r="H328" s="26"/>
      <c r="I328" s="26"/>
    </row>
    <row r="329">
      <c r="H329" s="26"/>
      <c r="I329" s="26"/>
    </row>
    <row r="330">
      <c r="H330" s="26"/>
      <c r="I330" s="26"/>
    </row>
    <row r="331">
      <c r="H331" s="26"/>
      <c r="I331" s="26"/>
    </row>
    <row r="332">
      <c r="H332" s="26"/>
      <c r="I332" s="26"/>
    </row>
    <row r="333">
      <c r="H333" s="26"/>
      <c r="I333" s="26"/>
    </row>
    <row r="334">
      <c r="H334" s="26"/>
      <c r="I334" s="26"/>
    </row>
    <row r="335">
      <c r="H335" s="26"/>
      <c r="I335" s="26"/>
    </row>
    <row r="336">
      <c r="H336" s="26"/>
      <c r="I336" s="26"/>
    </row>
    <row r="337">
      <c r="H337" s="26"/>
      <c r="I337" s="26"/>
    </row>
    <row r="338">
      <c r="H338" s="26"/>
      <c r="I338" s="26"/>
    </row>
    <row r="339">
      <c r="H339" s="26"/>
      <c r="I339" s="26"/>
    </row>
    <row r="340">
      <c r="H340" s="26"/>
      <c r="I340" s="26"/>
    </row>
    <row r="341">
      <c r="H341" s="26"/>
      <c r="I341" s="26"/>
    </row>
    <row r="342">
      <c r="H342" s="26"/>
      <c r="I342" s="26"/>
    </row>
    <row r="343">
      <c r="H343" s="26"/>
      <c r="I343" s="26"/>
    </row>
    <row r="344">
      <c r="H344" s="26"/>
      <c r="I344" s="26"/>
    </row>
    <row r="345">
      <c r="H345" s="26"/>
      <c r="I345" s="26"/>
    </row>
    <row r="346">
      <c r="H346" s="26"/>
      <c r="I346" s="26"/>
    </row>
    <row r="347">
      <c r="H347" s="26"/>
      <c r="I347" s="26"/>
    </row>
    <row r="348">
      <c r="H348" s="26"/>
      <c r="I348" s="26"/>
    </row>
    <row r="349">
      <c r="H349" s="26"/>
      <c r="I349" s="26"/>
    </row>
    <row r="350">
      <c r="H350" s="26"/>
      <c r="I350" s="26"/>
    </row>
    <row r="351">
      <c r="H351" s="26"/>
      <c r="I351" s="26"/>
    </row>
    <row r="352">
      <c r="H352" s="26"/>
      <c r="I352" s="26"/>
    </row>
    <row r="353">
      <c r="H353" s="26"/>
      <c r="I353" s="26"/>
    </row>
    <row r="354">
      <c r="H354" s="26"/>
      <c r="I354" s="26"/>
    </row>
    <row r="355">
      <c r="H355" s="26"/>
      <c r="I355" s="26"/>
    </row>
    <row r="356">
      <c r="H356" s="26"/>
      <c r="I356" s="26"/>
    </row>
    <row r="357">
      <c r="H357" s="26"/>
      <c r="I357" s="26"/>
    </row>
    <row r="358">
      <c r="H358" s="26"/>
      <c r="I358" s="26"/>
    </row>
    <row r="359">
      <c r="H359" s="26"/>
      <c r="I359" s="26"/>
    </row>
    <row r="360">
      <c r="H360" s="26"/>
      <c r="I360" s="26"/>
    </row>
    <row r="361">
      <c r="H361" s="26"/>
      <c r="I361" s="26"/>
    </row>
    <row r="362">
      <c r="H362" s="26"/>
      <c r="I362" s="26"/>
    </row>
    <row r="363">
      <c r="H363" s="26"/>
      <c r="I363" s="26"/>
    </row>
    <row r="364">
      <c r="H364" s="26"/>
      <c r="I364" s="26"/>
    </row>
    <row r="365">
      <c r="H365" s="26"/>
      <c r="I365" s="26"/>
    </row>
    <row r="366">
      <c r="H366" s="26"/>
      <c r="I366" s="26"/>
    </row>
    <row r="367">
      <c r="H367" s="26"/>
      <c r="I367" s="26"/>
    </row>
    <row r="368">
      <c r="H368" s="26"/>
      <c r="I368" s="26"/>
    </row>
    <row r="369">
      <c r="H369" s="26"/>
      <c r="I369" s="26"/>
    </row>
    <row r="370">
      <c r="H370" s="26"/>
      <c r="I370" s="26"/>
    </row>
    <row r="371">
      <c r="H371" s="26"/>
      <c r="I371" s="26"/>
    </row>
    <row r="372">
      <c r="H372" s="26"/>
      <c r="I372" s="26"/>
    </row>
    <row r="373">
      <c r="H373" s="26"/>
      <c r="I373" s="26"/>
    </row>
    <row r="374">
      <c r="H374" s="26"/>
      <c r="I374" s="26"/>
    </row>
    <row r="375">
      <c r="H375" s="26"/>
      <c r="I375" s="26"/>
    </row>
    <row r="376">
      <c r="H376" s="26"/>
      <c r="I376" s="26"/>
    </row>
    <row r="377">
      <c r="H377" s="26"/>
      <c r="I377" s="26"/>
    </row>
    <row r="378">
      <c r="H378" s="26"/>
      <c r="I378" s="26"/>
    </row>
    <row r="379">
      <c r="H379" s="26"/>
      <c r="I379" s="26"/>
    </row>
    <row r="380">
      <c r="H380" s="26"/>
      <c r="I380" s="26"/>
    </row>
    <row r="381">
      <c r="H381" s="26"/>
      <c r="I381" s="26"/>
    </row>
    <row r="382">
      <c r="H382" s="26"/>
      <c r="I382" s="26"/>
    </row>
    <row r="383">
      <c r="H383" s="26"/>
      <c r="I383" s="26"/>
    </row>
    <row r="384">
      <c r="H384" s="26"/>
      <c r="I384" s="26"/>
    </row>
    <row r="385">
      <c r="H385" s="26"/>
      <c r="I385" s="26"/>
    </row>
    <row r="386">
      <c r="H386" s="26"/>
      <c r="I386" s="26"/>
    </row>
    <row r="387">
      <c r="H387" s="26"/>
      <c r="I387" s="26"/>
    </row>
    <row r="388">
      <c r="H388" s="26"/>
      <c r="I388" s="26"/>
    </row>
    <row r="389">
      <c r="H389" s="26"/>
      <c r="I389" s="26"/>
    </row>
    <row r="390">
      <c r="H390" s="26"/>
      <c r="I390" s="26"/>
    </row>
    <row r="391">
      <c r="H391" s="26"/>
      <c r="I391" s="26"/>
    </row>
    <row r="392">
      <c r="H392" s="26"/>
      <c r="I392" s="26"/>
    </row>
    <row r="393">
      <c r="H393" s="26"/>
      <c r="I393" s="26"/>
    </row>
    <row r="394">
      <c r="H394" s="26"/>
      <c r="I394" s="26"/>
    </row>
    <row r="395">
      <c r="H395" s="26"/>
      <c r="I395" s="26"/>
    </row>
    <row r="396">
      <c r="H396" s="26"/>
      <c r="I396" s="26"/>
    </row>
    <row r="397">
      <c r="H397" s="26"/>
      <c r="I397" s="26"/>
    </row>
    <row r="398">
      <c r="H398" s="26"/>
      <c r="I398" s="26"/>
    </row>
    <row r="399">
      <c r="H399" s="26"/>
      <c r="I399" s="26"/>
    </row>
    <row r="400">
      <c r="H400" s="26"/>
      <c r="I400" s="26"/>
    </row>
    <row r="401">
      <c r="H401" s="26"/>
      <c r="I401" s="26"/>
    </row>
    <row r="402">
      <c r="H402" s="26"/>
      <c r="I402" s="26"/>
    </row>
    <row r="403">
      <c r="H403" s="26"/>
      <c r="I403" s="26"/>
    </row>
    <row r="404">
      <c r="H404" s="26"/>
      <c r="I404" s="26"/>
    </row>
    <row r="405">
      <c r="H405" s="26"/>
      <c r="I405" s="26"/>
    </row>
    <row r="406">
      <c r="H406" s="26"/>
      <c r="I406" s="26"/>
    </row>
    <row r="407">
      <c r="H407" s="26"/>
      <c r="I407" s="26"/>
    </row>
    <row r="408">
      <c r="H408" s="26"/>
      <c r="I408" s="26"/>
    </row>
    <row r="409">
      <c r="H409" s="26"/>
      <c r="I409" s="26"/>
    </row>
    <row r="410">
      <c r="H410" s="26"/>
      <c r="I410" s="26"/>
    </row>
    <row r="411">
      <c r="H411" s="26"/>
      <c r="I411" s="26"/>
    </row>
    <row r="412">
      <c r="H412" s="26"/>
      <c r="I412" s="26"/>
    </row>
    <row r="413">
      <c r="H413" s="26"/>
      <c r="I413" s="26"/>
    </row>
    <row r="414">
      <c r="H414" s="26"/>
      <c r="I414" s="26"/>
    </row>
    <row r="415">
      <c r="H415" s="26"/>
      <c r="I415" s="26"/>
    </row>
    <row r="416">
      <c r="H416" s="26"/>
      <c r="I416" s="26"/>
    </row>
    <row r="417">
      <c r="H417" s="26"/>
      <c r="I417" s="26"/>
    </row>
    <row r="418">
      <c r="H418" s="26"/>
      <c r="I418" s="26"/>
    </row>
    <row r="419">
      <c r="H419" s="26"/>
      <c r="I419" s="26"/>
    </row>
    <row r="420">
      <c r="H420" s="26"/>
      <c r="I420" s="26"/>
    </row>
    <row r="421">
      <c r="H421" s="26"/>
      <c r="I421" s="26"/>
    </row>
    <row r="422">
      <c r="H422" s="26"/>
      <c r="I422" s="26"/>
    </row>
    <row r="423">
      <c r="H423" s="26"/>
      <c r="I423" s="26"/>
    </row>
    <row r="424">
      <c r="H424" s="26"/>
      <c r="I424" s="26"/>
    </row>
    <row r="425">
      <c r="H425" s="26"/>
      <c r="I425" s="26"/>
    </row>
    <row r="426">
      <c r="H426" s="26"/>
      <c r="I426" s="26"/>
    </row>
    <row r="427">
      <c r="H427" s="26"/>
      <c r="I427" s="26"/>
    </row>
    <row r="428">
      <c r="H428" s="26"/>
      <c r="I428" s="26"/>
    </row>
    <row r="429">
      <c r="H429" s="26"/>
      <c r="I429" s="26"/>
    </row>
    <row r="430">
      <c r="H430" s="26"/>
      <c r="I430" s="26"/>
    </row>
    <row r="431">
      <c r="H431" s="26"/>
      <c r="I431" s="26"/>
    </row>
    <row r="432">
      <c r="H432" s="26"/>
      <c r="I432" s="26"/>
    </row>
    <row r="433">
      <c r="H433" s="26"/>
      <c r="I433" s="26"/>
    </row>
    <row r="434">
      <c r="H434" s="26"/>
      <c r="I434" s="26"/>
    </row>
    <row r="435">
      <c r="H435" s="26"/>
      <c r="I435" s="26"/>
    </row>
    <row r="436">
      <c r="H436" s="26"/>
      <c r="I436" s="26"/>
    </row>
    <row r="437">
      <c r="H437" s="26"/>
      <c r="I437" s="26"/>
    </row>
    <row r="438">
      <c r="H438" s="26"/>
      <c r="I438" s="26"/>
    </row>
    <row r="439">
      <c r="H439" s="26"/>
      <c r="I439" s="26"/>
    </row>
    <row r="440">
      <c r="H440" s="26"/>
      <c r="I440" s="26"/>
    </row>
    <row r="441">
      <c r="H441" s="26"/>
      <c r="I441" s="26"/>
    </row>
    <row r="442">
      <c r="H442" s="26"/>
      <c r="I442" s="26"/>
    </row>
    <row r="443">
      <c r="H443" s="26"/>
      <c r="I443" s="26"/>
    </row>
    <row r="444">
      <c r="H444" s="26"/>
      <c r="I444" s="26"/>
    </row>
    <row r="445">
      <c r="H445" s="26"/>
      <c r="I445" s="26"/>
    </row>
    <row r="446">
      <c r="H446" s="26"/>
      <c r="I446" s="26"/>
    </row>
    <row r="447">
      <c r="H447" s="26"/>
      <c r="I447" s="26"/>
    </row>
    <row r="448">
      <c r="H448" s="26"/>
      <c r="I448" s="26"/>
    </row>
    <row r="449">
      <c r="H449" s="26"/>
      <c r="I449" s="26"/>
    </row>
    <row r="450">
      <c r="H450" s="26"/>
      <c r="I450" s="26"/>
    </row>
    <row r="451">
      <c r="H451" s="26"/>
      <c r="I451" s="26"/>
    </row>
    <row r="452">
      <c r="H452" s="26"/>
      <c r="I452" s="26"/>
    </row>
    <row r="453">
      <c r="H453" s="26"/>
      <c r="I453" s="26"/>
    </row>
    <row r="454">
      <c r="H454" s="26"/>
      <c r="I454" s="26"/>
    </row>
    <row r="455">
      <c r="H455" s="26"/>
      <c r="I455" s="26"/>
    </row>
    <row r="456">
      <c r="H456" s="26"/>
      <c r="I456" s="26"/>
    </row>
    <row r="457">
      <c r="H457" s="26"/>
      <c r="I457" s="26"/>
    </row>
    <row r="458">
      <c r="H458" s="26"/>
      <c r="I458" s="26"/>
    </row>
    <row r="459">
      <c r="H459" s="26"/>
      <c r="I459" s="26"/>
    </row>
    <row r="460">
      <c r="H460" s="26"/>
      <c r="I460" s="26"/>
    </row>
    <row r="461">
      <c r="H461" s="26"/>
      <c r="I461" s="26"/>
    </row>
    <row r="462">
      <c r="H462" s="26"/>
      <c r="I462" s="26"/>
    </row>
    <row r="463">
      <c r="H463" s="26"/>
      <c r="I463" s="26"/>
    </row>
    <row r="464">
      <c r="H464" s="26"/>
      <c r="I464" s="26"/>
    </row>
    <row r="465">
      <c r="H465" s="26"/>
      <c r="I465" s="26"/>
    </row>
    <row r="466">
      <c r="H466" s="26"/>
      <c r="I466" s="26"/>
    </row>
    <row r="467">
      <c r="H467" s="26"/>
      <c r="I467" s="26"/>
    </row>
    <row r="468">
      <c r="H468" s="26"/>
      <c r="I468" s="26"/>
    </row>
    <row r="469">
      <c r="H469" s="26"/>
      <c r="I469" s="26"/>
    </row>
    <row r="470">
      <c r="H470" s="26"/>
      <c r="I470" s="26"/>
    </row>
    <row r="471">
      <c r="H471" s="26"/>
      <c r="I471" s="26"/>
    </row>
    <row r="472">
      <c r="H472" s="26"/>
      <c r="I472" s="26"/>
    </row>
    <row r="473">
      <c r="H473" s="26"/>
      <c r="I473" s="26"/>
    </row>
    <row r="474">
      <c r="H474" s="26"/>
      <c r="I474" s="26"/>
    </row>
    <row r="475">
      <c r="H475" s="26"/>
      <c r="I475" s="26"/>
    </row>
    <row r="476">
      <c r="H476" s="26"/>
      <c r="I476" s="26"/>
    </row>
    <row r="477">
      <c r="H477" s="26"/>
      <c r="I477" s="26"/>
    </row>
    <row r="478">
      <c r="H478" s="26"/>
      <c r="I478" s="26"/>
    </row>
    <row r="479">
      <c r="H479" s="26"/>
      <c r="I479" s="26"/>
    </row>
    <row r="480">
      <c r="H480" s="26"/>
      <c r="I480" s="26"/>
    </row>
    <row r="481">
      <c r="H481" s="26"/>
      <c r="I481" s="26"/>
    </row>
    <row r="482">
      <c r="H482" s="26"/>
      <c r="I482" s="26"/>
    </row>
    <row r="483">
      <c r="H483" s="26"/>
      <c r="I483" s="26"/>
    </row>
    <row r="484">
      <c r="H484" s="26"/>
      <c r="I484" s="26"/>
    </row>
    <row r="485">
      <c r="H485" s="26"/>
      <c r="I485" s="26"/>
    </row>
    <row r="486">
      <c r="H486" s="26"/>
      <c r="I486" s="26"/>
    </row>
    <row r="487">
      <c r="H487" s="26"/>
      <c r="I487" s="26"/>
    </row>
    <row r="488">
      <c r="H488" s="26"/>
      <c r="I488" s="26"/>
    </row>
    <row r="489">
      <c r="H489" s="26"/>
      <c r="I489" s="26"/>
    </row>
    <row r="490">
      <c r="H490" s="26"/>
      <c r="I490" s="26"/>
    </row>
    <row r="491">
      <c r="H491" s="26"/>
      <c r="I491" s="26"/>
    </row>
    <row r="492">
      <c r="H492" s="26"/>
      <c r="I492" s="26"/>
    </row>
    <row r="493">
      <c r="H493" s="26"/>
      <c r="I493" s="26"/>
    </row>
    <row r="494">
      <c r="H494" s="26"/>
      <c r="I494" s="26"/>
    </row>
    <row r="495">
      <c r="H495" s="26"/>
      <c r="I495" s="26"/>
    </row>
    <row r="496">
      <c r="H496" s="26"/>
      <c r="I496" s="26"/>
    </row>
    <row r="497">
      <c r="H497" s="26"/>
      <c r="I497" s="26"/>
    </row>
    <row r="498">
      <c r="H498" s="26"/>
      <c r="I498" s="26"/>
    </row>
    <row r="499">
      <c r="H499" s="26"/>
      <c r="I499" s="26"/>
    </row>
    <row r="500">
      <c r="H500" s="26"/>
      <c r="I500" s="26"/>
    </row>
    <row r="501">
      <c r="H501" s="26"/>
      <c r="I501" s="26"/>
    </row>
    <row r="502">
      <c r="H502" s="26"/>
      <c r="I502" s="26"/>
    </row>
    <row r="503">
      <c r="H503" s="26"/>
      <c r="I503" s="26"/>
    </row>
    <row r="504">
      <c r="H504" s="26"/>
      <c r="I504" s="26"/>
    </row>
    <row r="505">
      <c r="H505" s="26"/>
      <c r="I505" s="26"/>
    </row>
    <row r="506">
      <c r="H506" s="26"/>
      <c r="I506" s="26"/>
    </row>
    <row r="507">
      <c r="H507" s="26"/>
      <c r="I507" s="26"/>
    </row>
    <row r="508">
      <c r="H508" s="26"/>
      <c r="I508" s="26"/>
    </row>
    <row r="509">
      <c r="H509" s="26"/>
      <c r="I509" s="26"/>
    </row>
    <row r="510">
      <c r="H510" s="26"/>
      <c r="I510" s="26"/>
    </row>
    <row r="511">
      <c r="H511" s="26"/>
      <c r="I511" s="26"/>
    </row>
    <row r="512">
      <c r="H512" s="26"/>
      <c r="I512" s="26"/>
    </row>
    <row r="513">
      <c r="H513" s="26"/>
      <c r="I513" s="26"/>
    </row>
    <row r="514">
      <c r="H514" s="26"/>
      <c r="I514" s="26"/>
    </row>
    <row r="515">
      <c r="H515" s="26"/>
      <c r="I515" s="26"/>
    </row>
    <row r="516">
      <c r="H516" s="26"/>
      <c r="I516" s="26"/>
    </row>
    <row r="517">
      <c r="H517" s="26"/>
      <c r="I517" s="26"/>
    </row>
    <row r="518">
      <c r="H518" s="26"/>
      <c r="I518" s="26"/>
    </row>
    <row r="519">
      <c r="H519" s="26"/>
      <c r="I519" s="26"/>
    </row>
    <row r="520">
      <c r="H520" s="26"/>
      <c r="I520" s="26"/>
    </row>
    <row r="521">
      <c r="H521" s="26"/>
      <c r="I521" s="26"/>
    </row>
    <row r="522">
      <c r="H522" s="26"/>
      <c r="I522" s="26"/>
    </row>
    <row r="523">
      <c r="H523" s="26"/>
      <c r="I523" s="26"/>
    </row>
    <row r="524">
      <c r="H524" s="26"/>
      <c r="I524" s="26"/>
    </row>
    <row r="525">
      <c r="H525" s="26"/>
      <c r="I525" s="26"/>
    </row>
    <row r="526">
      <c r="H526" s="26"/>
      <c r="I526" s="26"/>
    </row>
    <row r="527">
      <c r="H527" s="26"/>
      <c r="I527" s="26"/>
    </row>
    <row r="528">
      <c r="H528" s="26"/>
      <c r="I528" s="26"/>
    </row>
    <row r="529">
      <c r="H529" s="26"/>
      <c r="I529" s="26"/>
    </row>
    <row r="530">
      <c r="H530" s="26"/>
      <c r="I530" s="26"/>
    </row>
    <row r="531">
      <c r="H531" s="26"/>
      <c r="I531" s="26"/>
    </row>
    <row r="532">
      <c r="H532" s="26"/>
      <c r="I532" s="26"/>
    </row>
    <row r="533">
      <c r="H533" s="26"/>
      <c r="I533" s="26"/>
    </row>
    <row r="534">
      <c r="H534" s="26"/>
      <c r="I534" s="26"/>
    </row>
    <row r="535">
      <c r="H535" s="26"/>
      <c r="I535" s="26"/>
    </row>
    <row r="536">
      <c r="H536" s="26"/>
      <c r="I536" s="26"/>
    </row>
    <row r="537">
      <c r="H537" s="26"/>
      <c r="I537" s="26"/>
    </row>
    <row r="538">
      <c r="H538" s="26"/>
      <c r="I538" s="26"/>
    </row>
    <row r="539">
      <c r="H539" s="26"/>
      <c r="I539" s="26"/>
    </row>
    <row r="540">
      <c r="H540" s="26"/>
      <c r="I540" s="26"/>
    </row>
    <row r="541">
      <c r="H541" s="26"/>
      <c r="I541" s="26"/>
    </row>
    <row r="542">
      <c r="H542" s="26"/>
      <c r="I542" s="26"/>
    </row>
    <row r="543">
      <c r="H543" s="26"/>
      <c r="I543" s="26"/>
    </row>
    <row r="544">
      <c r="H544" s="26"/>
      <c r="I544" s="26"/>
    </row>
    <row r="545">
      <c r="H545" s="26"/>
      <c r="I545" s="26"/>
    </row>
    <row r="546">
      <c r="H546" s="26"/>
      <c r="I546" s="26"/>
    </row>
    <row r="547">
      <c r="H547" s="26"/>
      <c r="I547" s="26"/>
    </row>
    <row r="548">
      <c r="H548" s="26"/>
      <c r="I548" s="26"/>
    </row>
    <row r="549">
      <c r="H549" s="26"/>
      <c r="I549" s="26"/>
    </row>
    <row r="550">
      <c r="H550" s="26"/>
      <c r="I550" s="26"/>
    </row>
    <row r="551">
      <c r="H551" s="26"/>
      <c r="I551" s="26"/>
    </row>
    <row r="552">
      <c r="H552" s="26"/>
      <c r="I552" s="26"/>
    </row>
    <row r="553">
      <c r="H553" s="26"/>
      <c r="I553" s="26"/>
    </row>
    <row r="554">
      <c r="H554" s="26"/>
      <c r="I554" s="26"/>
    </row>
    <row r="555">
      <c r="H555" s="26"/>
      <c r="I555" s="26"/>
    </row>
    <row r="556">
      <c r="H556" s="26"/>
      <c r="I556" s="26"/>
    </row>
    <row r="557">
      <c r="H557" s="26"/>
      <c r="I557" s="26"/>
    </row>
    <row r="558">
      <c r="H558" s="26"/>
      <c r="I558" s="26"/>
    </row>
    <row r="559">
      <c r="H559" s="26"/>
      <c r="I559" s="26"/>
    </row>
    <row r="560">
      <c r="H560" s="26"/>
      <c r="I560" s="26"/>
    </row>
    <row r="561">
      <c r="H561" s="26"/>
      <c r="I561" s="26"/>
    </row>
    <row r="562">
      <c r="H562" s="26"/>
      <c r="I562" s="26"/>
    </row>
    <row r="563">
      <c r="H563" s="26"/>
      <c r="I563" s="26"/>
    </row>
    <row r="564">
      <c r="H564" s="26"/>
      <c r="I564" s="26"/>
    </row>
    <row r="565">
      <c r="H565" s="26"/>
      <c r="I565" s="26"/>
    </row>
    <row r="566">
      <c r="H566" s="26"/>
      <c r="I566" s="26"/>
    </row>
    <row r="567">
      <c r="H567" s="26"/>
      <c r="I567" s="26"/>
    </row>
    <row r="568">
      <c r="H568" s="26"/>
      <c r="I568" s="26"/>
    </row>
    <row r="569">
      <c r="H569" s="26"/>
      <c r="I569" s="26"/>
    </row>
    <row r="570">
      <c r="H570" s="26"/>
      <c r="I570" s="26"/>
    </row>
    <row r="571">
      <c r="H571" s="26"/>
      <c r="I571" s="26"/>
    </row>
    <row r="572">
      <c r="H572" s="26"/>
      <c r="I572" s="26"/>
    </row>
    <row r="573">
      <c r="H573" s="26"/>
      <c r="I573" s="26"/>
    </row>
    <row r="574">
      <c r="H574" s="26"/>
      <c r="I574" s="26"/>
    </row>
    <row r="575">
      <c r="H575" s="26"/>
      <c r="I575" s="26"/>
    </row>
    <row r="576">
      <c r="H576" s="26"/>
      <c r="I576" s="26"/>
    </row>
    <row r="577">
      <c r="H577" s="26"/>
      <c r="I577" s="26"/>
    </row>
    <row r="578">
      <c r="H578" s="26"/>
      <c r="I578" s="26"/>
    </row>
    <row r="579">
      <c r="H579" s="26"/>
      <c r="I579" s="26"/>
    </row>
    <row r="580">
      <c r="H580" s="26"/>
      <c r="I580" s="26"/>
    </row>
    <row r="581">
      <c r="H581" s="26"/>
      <c r="I581" s="26"/>
    </row>
    <row r="582">
      <c r="H582" s="26"/>
      <c r="I582" s="26"/>
    </row>
    <row r="583">
      <c r="H583" s="26"/>
      <c r="I583" s="26"/>
    </row>
    <row r="584">
      <c r="H584" s="26"/>
      <c r="I584" s="26"/>
    </row>
    <row r="585">
      <c r="H585" s="26"/>
      <c r="I585" s="26"/>
    </row>
    <row r="586">
      <c r="H586" s="26"/>
      <c r="I586" s="26"/>
    </row>
    <row r="587">
      <c r="H587" s="26"/>
      <c r="I587" s="26"/>
    </row>
    <row r="588">
      <c r="H588" s="26"/>
      <c r="I588" s="26"/>
    </row>
    <row r="589">
      <c r="H589" s="26"/>
      <c r="I589" s="26"/>
    </row>
    <row r="590">
      <c r="H590" s="26"/>
      <c r="I590" s="26"/>
    </row>
    <row r="591">
      <c r="H591" s="26"/>
      <c r="I591" s="26"/>
    </row>
    <row r="592">
      <c r="H592" s="26"/>
      <c r="I592" s="26"/>
    </row>
    <row r="593">
      <c r="H593" s="26"/>
      <c r="I593" s="26"/>
    </row>
    <row r="594">
      <c r="H594" s="26"/>
      <c r="I594" s="26"/>
    </row>
    <row r="595">
      <c r="H595" s="26"/>
      <c r="I595" s="26"/>
    </row>
    <row r="596">
      <c r="H596" s="26"/>
      <c r="I596" s="26"/>
    </row>
    <row r="597">
      <c r="H597" s="26"/>
      <c r="I597" s="26"/>
    </row>
    <row r="598">
      <c r="H598" s="26"/>
      <c r="I598" s="26"/>
    </row>
    <row r="599">
      <c r="H599" s="26"/>
      <c r="I599" s="26"/>
    </row>
    <row r="600">
      <c r="H600" s="26"/>
      <c r="I600" s="26"/>
    </row>
    <row r="601">
      <c r="H601" s="26"/>
      <c r="I601" s="26"/>
    </row>
    <row r="602">
      <c r="H602" s="26"/>
      <c r="I602" s="26"/>
    </row>
    <row r="603">
      <c r="H603" s="26"/>
      <c r="I603" s="26"/>
    </row>
    <row r="604">
      <c r="H604" s="26"/>
      <c r="I604" s="26"/>
    </row>
    <row r="605">
      <c r="H605" s="26"/>
      <c r="I605" s="26"/>
    </row>
    <row r="606">
      <c r="H606" s="26"/>
      <c r="I606" s="26"/>
    </row>
    <row r="607">
      <c r="H607" s="26"/>
      <c r="I607" s="26"/>
    </row>
    <row r="608">
      <c r="H608" s="26"/>
      <c r="I608" s="26"/>
    </row>
    <row r="609">
      <c r="H609" s="26"/>
      <c r="I609" s="26"/>
    </row>
    <row r="610">
      <c r="H610" s="26"/>
      <c r="I610" s="26"/>
    </row>
    <row r="611">
      <c r="H611" s="26"/>
      <c r="I611" s="26"/>
    </row>
    <row r="612">
      <c r="H612" s="26"/>
      <c r="I612" s="26"/>
    </row>
    <row r="613">
      <c r="H613" s="26"/>
      <c r="I613" s="26"/>
    </row>
    <row r="614">
      <c r="H614" s="26"/>
      <c r="I614" s="26"/>
    </row>
    <row r="615">
      <c r="H615" s="26"/>
      <c r="I615" s="26"/>
    </row>
    <row r="616">
      <c r="H616" s="26"/>
      <c r="I616" s="26"/>
    </row>
    <row r="617">
      <c r="H617" s="26"/>
      <c r="I617" s="26"/>
    </row>
    <row r="618">
      <c r="H618" s="26"/>
      <c r="I618" s="26"/>
    </row>
    <row r="619">
      <c r="H619" s="26"/>
      <c r="I619" s="26"/>
    </row>
    <row r="620">
      <c r="H620" s="26"/>
      <c r="I620" s="26"/>
    </row>
    <row r="621">
      <c r="H621" s="26"/>
      <c r="I621" s="26"/>
    </row>
    <row r="622">
      <c r="H622" s="26"/>
      <c r="I622" s="26"/>
    </row>
    <row r="623">
      <c r="H623" s="26"/>
      <c r="I623" s="26"/>
    </row>
    <row r="624">
      <c r="H624" s="26"/>
      <c r="I624" s="26"/>
    </row>
    <row r="625">
      <c r="H625" s="26"/>
      <c r="I625" s="26"/>
    </row>
    <row r="626">
      <c r="H626" s="26"/>
      <c r="I626" s="26"/>
    </row>
    <row r="627">
      <c r="H627" s="26"/>
      <c r="I627" s="26"/>
    </row>
    <row r="628">
      <c r="H628" s="26"/>
      <c r="I628" s="26"/>
    </row>
    <row r="629">
      <c r="H629" s="26"/>
      <c r="I629" s="26"/>
    </row>
    <row r="630">
      <c r="H630" s="26"/>
      <c r="I630" s="26"/>
    </row>
    <row r="631">
      <c r="H631" s="26"/>
      <c r="I631" s="26"/>
    </row>
    <row r="632">
      <c r="H632" s="26"/>
      <c r="I632" s="26"/>
    </row>
    <row r="633">
      <c r="H633" s="26"/>
      <c r="I633" s="26"/>
    </row>
    <row r="634">
      <c r="H634" s="26"/>
      <c r="I634" s="26"/>
    </row>
    <row r="635">
      <c r="H635" s="26"/>
      <c r="I635" s="26"/>
    </row>
    <row r="636">
      <c r="H636" s="26"/>
      <c r="I636" s="26"/>
    </row>
    <row r="637">
      <c r="H637" s="26"/>
      <c r="I637" s="26"/>
    </row>
    <row r="638">
      <c r="H638" s="26"/>
      <c r="I638" s="26"/>
    </row>
    <row r="639">
      <c r="H639" s="26"/>
      <c r="I639" s="26"/>
    </row>
    <row r="640">
      <c r="H640" s="26"/>
      <c r="I640" s="26"/>
    </row>
    <row r="641">
      <c r="H641" s="26"/>
      <c r="I641" s="26"/>
    </row>
    <row r="642">
      <c r="H642" s="26"/>
      <c r="I642" s="26"/>
    </row>
    <row r="643">
      <c r="H643" s="26"/>
      <c r="I643" s="26"/>
    </row>
    <row r="644">
      <c r="H644" s="26"/>
      <c r="I644" s="26"/>
    </row>
    <row r="645">
      <c r="H645" s="26"/>
      <c r="I645" s="26"/>
    </row>
    <row r="646">
      <c r="H646" s="26"/>
      <c r="I646" s="26"/>
    </row>
    <row r="647">
      <c r="H647" s="26"/>
      <c r="I647" s="26"/>
    </row>
    <row r="648">
      <c r="H648" s="26"/>
      <c r="I648" s="26"/>
    </row>
    <row r="649">
      <c r="H649" s="26"/>
      <c r="I649" s="26"/>
    </row>
    <row r="650">
      <c r="H650" s="26"/>
      <c r="I650" s="26"/>
    </row>
    <row r="651">
      <c r="H651" s="26"/>
      <c r="I651" s="26"/>
    </row>
    <row r="652">
      <c r="H652" s="26"/>
      <c r="I652" s="26"/>
    </row>
    <row r="653">
      <c r="H653" s="26"/>
      <c r="I653" s="26"/>
    </row>
    <row r="654">
      <c r="H654" s="26"/>
      <c r="I654" s="26"/>
    </row>
    <row r="655">
      <c r="H655" s="26"/>
      <c r="I655" s="26"/>
    </row>
    <row r="656">
      <c r="H656" s="26"/>
      <c r="I656" s="26"/>
    </row>
    <row r="657">
      <c r="H657" s="26"/>
      <c r="I657" s="26"/>
    </row>
    <row r="658">
      <c r="H658" s="26"/>
      <c r="I658" s="26"/>
    </row>
    <row r="659">
      <c r="H659" s="26"/>
      <c r="I659" s="26"/>
    </row>
    <row r="660">
      <c r="H660" s="26"/>
      <c r="I660" s="26"/>
    </row>
    <row r="661">
      <c r="H661" s="26"/>
      <c r="I661" s="26"/>
    </row>
    <row r="662">
      <c r="H662" s="26"/>
      <c r="I662" s="26"/>
    </row>
    <row r="663">
      <c r="H663" s="26"/>
      <c r="I663" s="26"/>
    </row>
    <row r="664">
      <c r="H664" s="26"/>
      <c r="I664" s="26"/>
    </row>
    <row r="665">
      <c r="H665" s="26"/>
      <c r="I665" s="26"/>
    </row>
    <row r="666">
      <c r="H666" s="26"/>
      <c r="I666" s="26"/>
    </row>
    <row r="667">
      <c r="H667" s="26"/>
      <c r="I667" s="26"/>
    </row>
    <row r="668">
      <c r="H668" s="26"/>
      <c r="I668" s="26"/>
    </row>
    <row r="669">
      <c r="H669" s="26"/>
      <c r="I669" s="26"/>
    </row>
    <row r="670">
      <c r="H670" s="26"/>
      <c r="I670" s="26"/>
    </row>
    <row r="671">
      <c r="H671" s="26"/>
      <c r="I671" s="26"/>
    </row>
    <row r="672">
      <c r="H672" s="26"/>
      <c r="I672" s="26"/>
    </row>
    <row r="673">
      <c r="H673" s="26"/>
      <c r="I673" s="26"/>
    </row>
    <row r="674">
      <c r="H674" s="26"/>
      <c r="I674" s="26"/>
    </row>
    <row r="675">
      <c r="H675" s="26"/>
      <c r="I675" s="26"/>
    </row>
    <row r="676">
      <c r="H676" s="26"/>
      <c r="I676" s="26"/>
    </row>
    <row r="677">
      <c r="H677" s="26"/>
      <c r="I677" s="26"/>
    </row>
    <row r="678">
      <c r="H678" s="26"/>
      <c r="I678" s="26"/>
    </row>
    <row r="679">
      <c r="H679" s="26"/>
      <c r="I679" s="26"/>
    </row>
    <row r="680">
      <c r="H680" s="26"/>
      <c r="I680" s="26"/>
    </row>
    <row r="681">
      <c r="H681" s="26"/>
      <c r="I681" s="26"/>
    </row>
    <row r="682">
      <c r="H682" s="26"/>
      <c r="I682" s="26"/>
    </row>
    <row r="683">
      <c r="H683" s="26"/>
      <c r="I683" s="26"/>
    </row>
    <row r="684">
      <c r="H684" s="26"/>
      <c r="I684" s="26"/>
    </row>
    <row r="685">
      <c r="H685" s="26"/>
      <c r="I685" s="26"/>
    </row>
    <row r="686">
      <c r="H686" s="26"/>
      <c r="I686" s="26"/>
    </row>
    <row r="687">
      <c r="H687" s="26"/>
      <c r="I687" s="26"/>
    </row>
    <row r="688">
      <c r="H688" s="26"/>
      <c r="I688" s="26"/>
    </row>
    <row r="689">
      <c r="H689" s="26"/>
      <c r="I689" s="26"/>
    </row>
    <row r="690">
      <c r="H690" s="26"/>
      <c r="I690" s="26"/>
    </row>
    <row r="691">
      <c r="H691" s="26"/>
      <c r="I691" s="26"/>
    </row>
    <row r="692">
      <c r="H692" s="26"/>
      <c r="I692" s="26"/>
    </row>
    <row r="693">
      <c r="H693" s="26"/>
      <c r="I693" s="26"/>
    </row>
    <row r="694">
      <c r="H694" s="26"/>
      <c r="I694" s="26"/>
    </row>
    <row r="695">
      <c r="H695" s="26"/>
      <c r="I695" s="26"/>
    </row>
    <row r="696">
      <c r="H696" s="26"/>
      <c r="I696" s="26"/>
    </row>
    <row r="697">
      <c r="H697" s="26"/>
      <c r="I697" s="26"/>
    </row>
    <row r="698">
      <c r="H698" s="26"/>
      <c r="I698" s="26"/>
    </row>
    <row r="699">
      <c r="H699" s="26"/>
      <c r="I699" s="26"/>
    </row>
    <row r="700">
      <c r="H700" s="26"/>
      <c r="I700" s="26"/>
    </row>
    <row r="701">
      <c r="H701" s="26"/>
      <c r="I701" s="26"/>
    </row>
    <row r="702">
      <c r="H702" s="26"/>
      <c r="I702" s="26"/>
    </row>
    <row r="703">
      <c r="H703" s="26"/>
      <c r="I703" s="26"/>
    </row>
    <row r="704">
      <c r="H704" s="26"/>
      <c r="I704" s="26"/>
    </row>
    <row r="705">
      <c r="H705" s="26"/>
      <c r="I705" s="26"/>
    </row>
    <row r="706">
      <c r="H706" s="26"/>
      <c r="I706" s="26"/>
    </row>
    <row r="707">
      <c r="H707" s="26"/>
      <c r="I707" s="26"/>
    </row>
    <row r="708">
      <c r="H708" s="26"/>
      <c r="I708" s="26"/>
    </row>
    <row r="709">
      <c r="H709" s="26"/>
      <c r="I709" s="26"/>
    </row>
    <row r="710">
      <c r="H710" s="26"/>
      <c r="I710" s="26"/>
    </row>
    <row r="711">
      <c r="H711" s="26"/>
      <c r="I711" s="26"/>
    </row>
    <row r="712">
      <c r="H712" s="26"/>
      <c r="I712" s="26"/>
    </row>
    <row r="713">
      <c r="H713" s="26"/>
      <c r="I713" s="26"/>
    </row>
    <row r="714">
      <c r="H714" s="26"/>
      <c r="I714" s="26"/>
    </row>
    <row r="715">
      <c r="H715" s="26"/>
      <c r="I715" s="26"/>
    </row>
    <row r="716">
      <c r="H716" s="26"/>
      <c r="I716" s="26"/>
    </row>
    <row r="717">
      <c r="H717" s="26"/>
      <c r="I717" s="26"/>
    </row>
    <row r="718">
      <c r="H718" s="26"/>
      <c r="I718" s="26"/>
    </row>
    <row r="719">
      <c r="H719" s="26"/>
      <c r="I719" s="26"/>
    </row>
    <row r="720">
      <c r="H720" s="26"/>
      <c r="I720" s="26"/>
    </row>
    <row r="721">
      <c r="H721" s="26"/>
      <c r="I721" s="26"/>
    </row>
    <row r="722">
      <c r="H722" s="26"/>
      <c r="I722" s="26"/>
    </row>
    <row r="723">
      <c r="H723" s="26"/>
      <c r="I723" s="26"/>
    </row>
    <row r="724">
      <c r="H724" s="26"/>
      <c r="I724" s="26"/>
    </row>
    <row r="725">
      <c r="H725" s="26"/>
      <c r="I725" s="26"/>
    </row>
    <row r="726">
      <c r="H726" s="26"/>
      <c r="I726" s="26"/>
    </row>
    <row r="727">
      <c r="H727" s="26"/>
      <c r="I727" s="26"/>
    </row>
    <row r="728">
      <c r="H728" s="26"/>
      <c r="I728" s="26"/>
    </row>
    <row r="729">
      <c r="H729" s="26"/>
      <c r="I729" s="26"/>
    </row>
    <row r="730">
      <c r="H730" s="26"/>
      <c r="I730" s="26"/>
    </row>
    <row r="731">
      <c r="H731" s="26"/>
      <c r="I731" s="26"/>
    </row>
    <row r="732">
      <c r="H732" s="26"/>
      <c r="I732" s="26"/>
    </row>
    <row r="733">
      <c r="H733" s="26"/>
      <c r="I733" s="26"/>
    </row>
    <row r="734">
      <c r="H734" s="26"/>
      <c r="I734" s="26"/>
    </row>
    <row r="735">
      <c r="H735" s="26"/>
      <c r="I735" s="26"/>
    </row>
    <row r="736">
      <c r="H736" s="26"/>
      <c r="I736" s="26"/>
    </row>
    <row r="737">
      <c r="H737" s="26"/>
      <c r="I737" s="26"/>
    </row>
    <row r="738">
      <c r="H738" s="26"/>
      <c r="I738" s="26"/>
    </row>
    <row r="739">
      <c r="H739" s="26"/>
      <c r="I739" s="26"/>
    </row>
    <row r="740">
      <c r="H740" s="26"/>
      <c r="I740" s="26"/>
    </row>
    <row r="741">
      <c r="H741" s="26"/>
      <c r="I741" s="26"/>
    </row>
    <row r="742">
      <c r="H742" s="26"/>
      <c r="I742" s="26"/>
    </row>
    <row r="743">
      <c r="H743" s="26"/>
      <c r="I743" s="26"/>
    </row>
    <row r="744">
      <c r="H744" s="26"/>
      <c r="I744" s="26"/>
    </row>
    <row r="745">
      <c r="H745" s="26"/>
      <c r="I745" s="26"/>
    </row>
    <row r="746">
      <c r="H746" s="26"/>
      <c r="I746" s="26"/>
    </row>
    <row r="747">
      <c r="H747" s="26"/>
      <c r="I747" s="26"/>
    </row>
    <row r="748">
      <c r="H748" s="26"/>
      <c r="I748" s="26"/>
    </row>
    <row r="749">
      <c r="H749" s="26"/>
      <c r="I749" s="26"/>
    </row>
    <row r="750">
      <c r="H750" s="26"/>
      <c r="I750" s="26"/>
    </row>
    <row r="751">
      <c r="H751" s="26"/>
      <c r="I751" s="26"/>
    </row>
    <row r="752">
      <c r="H752" s="26"/>
      <c r="I752" s="26"/>
    </row>
    <row r="753">
      <c r="H753" s="26"/>
      <c r="I753" s="26"/>
    </row>
    <row r="754">
      <c r="H754" s="26"/>
      <c r="I754" s="26"/>
    </row>
    <row r="755">
      <c r="H755" s="26"/>
      <c r="I755" s="26"/>
    </row>
    <row r="756">
      <c r="H756" s="26"/>
      <c r="I756" s="26"/>
    </row>
    <row r="757">
      <c r="H757" s="26"/>
      <c r="I757" s="26"/>
    </row>
    <row r="758">
      <c r="H758" s="26"/>
      <c r="I758" s="26"/>
    </row>
    <row r="759">
      <c r="H759" s="26"/>
      <c r="I759" s="26"/>
    </row>
    <row r="760">
      <c r="H760" s="26"/>
      <c r="I760" s="26"/>
    </row>
    <row r="761">
      <c r="H761" s="26"/>
      <c r="I761" s="26"/>
    </row>
    <row r="762">
      <c r="H762" s="26"/>
      <c r="I762" s="26"/>
    </row>
    <row r="763">
      <c r="H763" s="26"/>
      <c r="I763" s="26"/>
    </row>
    <row r="764">
      <c r="H764" s="26"/>
      <c r="I764" s="26"/>
    </row>
    <row r="765">
      <c r="H765" s="26"/>
      <c r="I765" s="26"/>
    </row>
    <row r="766">
      <c r="H766" s="26"/>
      <c r="I766" s="26"/>
    </row>
    <row r="767">
      <c r="H767" s="26"/>
      <c r="I767" s="26"/>
    </row>
    <row r="768">
      <c r="H768" s="26"/>
      <c r="I768" s="26"/>
    </row>
    <row r="769">
      <c r="H769" s="26"/>
      <c r="I769" s="26"/>
    </row>
    <row r="770">
      <c r="H770" s="26"/>
      <c r="I770" s="26"/>
    </row>
    <row r="771">
      <c r="H771" s="26"/>
      <c r="I771" s="26"/>
    </row>
    <row r="772">
      <c r="H772" s="26"/>
      <c r="I772" s="26"/>
    </row>
    <row r="773">
      <c r="H773" s="26"/>
      <c r="I773" s="26"/>
    </row>
    <row r="774">
      <c r="H774" s="26"/>
      <c r="I774" s="26"/>
    </row>
    <row r="775">
      <c r="H775" s="26"/>
      <c r="I775" s="26"/>
    </row>
    <row r="776">
      <c r="H776" s="26"/>
      <c r="I776" s="26"/>
    </row>
    <row r="777">
      <c r="H777" s="26"/>
      <c r="I777" s="26"/>
    </row>
    <row r="778">
      <c r="H778" s="26"/>
      <c r="I778" s="26"/>
    </row>
    <row r="779">
      <c r="H779" s="26"/>
      <c r="I779" s="26"/>
    </row>
    <row r="780">
      <c r="H780" s="26"/>
      <c r="I780" s="26"/>
    </row>
    <row r="781">
      <c r="H781" s="26"/>
      <c r="I781" s="26"/>
    </row>
    <row r="782">
      <c r="H782" s="26"/>
      <c r="I782" s="26"/>
    </row>
    <row r="783">
      <c r="H783" s="26"/>
      <c r="I783" s="26"/>
    </row>
    <row r="784">
      <c r="H784" s="26"/>
      <c r="I784" s="26"/>
    </row>
    <row r="785">
      <c r="H785" s="26"/>
      <c r="I785" s="26"/>
    </row>
    <row r="786">
      <c r="H786" s="26"/>
      <c r="I786" s="26"/>
    </row>
    <row r="787">
      <c r="H787" s="26"/>
      <c r="I787" s="26"/>
    </row>
    <row r="788">
      <c r="H788" s="26"/>
      <c r="I788" s="26"/>
    </row>
    <row r="789">
      <c r="H789" s="26"/>
      <c r="I789" s="26"/>
    </row>
    <row r="790">
      <c r="H790" s="26"/>
      <c r="I790" s="26"/>
    </row>
    <row r="791">
      <c r="H791" s="26"/>
      <c r="I791" s="26"/>
    </row>
    <row r="792">
      <c r="H792" s="26"/>
      <c r="I792" s="26"/>
    </row>
    <row r="793">
      <c r="H793" s="26"/>
      <c r="I793" s="26"/>
    </row>
    <row r="794">
      <c r="H794" s="26"/>
      <c r="I794" s="26"/>
    </row>
    <row r="795">
      <c r="H795" s="26"/>
      <c r="I795" s="26"/>
    </row>
    <row r="796">
      <c r="H796" s="26"/>
      <c r="I796" s="26"/>
    </row>
    <row r="797">
      <c r="H797" s="26"/>
      <c r="I797" s="26"/>
    </row>
    <row r="798">
      <c r="H798" s="26"/>
      <c r="I798" s="26"/>
    </row>
    <row r="799">
      <c r="H799" s="26"/>
      <c r="I799" s="26"/>
    </row>
    <row r="800">
      <c r="H800" s="26"/>
      <c r="I800" s="26"/>
    </row>
    <row r="801">
      <c r="H801" s="26"/>
      <c r="I801" s="26"/>
    </row>
    <row r="802">
      <c r="H802" s="26"/>
      <c r="I802" s="26"/>
    </row>
    <row r="803">
      <c r="H803" s="26"/>
      <c r="I803" s="26"/>
    </row>
    <row r="804">
      <c r="H804" s="26"/>
      <c r="I804" s="26"/>
    </row>
    <row r="805">
      <c r="H805" s="26"/>
      <c r="I805" s="26"/>
    </row>
    <row r="806">
      <c r="H806" s="26"/>
      <c r="I806" s="26"/>
    </row>
    <row r="807">
      <c r="H807" s="26"/>
      <c r="I807" s="26"/>
    </row>
    <row r="808">
      <c r="H808" s="26"/>
      <c r="I808" s="26"/>
    </row>
    <row r="809">
      <c r="H809" s="26"/>
      <c r="I809" s="26"/>
    </row>
    <row r="810">
      <c r="H810" s="26"/>
      <c r="I810" s="26"/>
    </row>
    <row r="811">
      <c r="H811" s="26"/>
      <c r="I811" s="26"/>
    </row>
    <row r="812">
      <c r="H812" s="26"/>
      <c r="I812" s="26"/>
    </row>
    <row r="813">
      <c r="H813" s="26"/>
      <c r="I813" s="26"/>
    </row>
    <row r="814">
      <c r="H814" s="26"/>
      <c r="I814" s="26"/>
    </row>
    <row r="815">
      <c r="H815" s="26"/>
      <c r="I815" s="26"/>
    </row>
    <row r="816">
      <c r="H816" s="26"/>
      <c r="I816" s="26"/>
    </row>
    <row r="817">
      <c r="H817" s="26"/>
      <c r="I817" s="26"/>
    </row>
    <row r="818">
      <c r="H818" s="26"/>
      <c r="I818" s="26"/>
    </row>
    <row r="819">
      <c r="H819" s="26"/>
      <c r="I819" s="26"/>
    </row>
    <row r="820">
      <c r="H820" s="26"/>
      <c r="I820" s="26"/>
    </row>
    <row r="821">
      <c r="H821" s="26"/>
      <c r="I821" s="26"/>
    </row>
    <row r="822">
      <c r="H822" s="26"/>
      <c r="I822" s="26"/>
    </row>
    <row r="823">
      <c r="H823" s="26"/>
      <c r="I823" s="26"/>
    </row>
    <row r="824">
      <c r="H824" s="26"/>
      <c r="I824" s="26"/>
    </row>
    <row r="825">
      <c r="H825" s="26"/>
      <c r="I825" s="26"/>
    </row>
    <row r="826">
      <c r="H826" s="26"/>
      <c r="I826" s="26"/>
    </row>
    <row r="827">
      <c r="H827" s="26"/>
      <c r="I827" s="26"/>
    </row>
    <row r="828">
      <c r="H828" s="26"/>
      <c r="I828" s="26"/>
    </row>
    <row r="829">
      <c r="H829" s="26"/>
      <c r="I829" s="26"/>
    </row>
    <row r="830">
      <c r="H830" s="26"/>
      <c r="I830" s="26"/>
    </row>
    <row r="831">
      <c r="H831" s="26"/>
      <c r="I831" s="26"/>
    </row>
    <row r="832">
      <c r="H832" s="26"/>
      <c r="I832" s="26"/>
    </row>
    <row r="833">
      <c r="H833" s="26"/>
      <c r="I833" s="26"/>
    </row>
    <row r="834">
      <c r="H834" s="26"/>
      <c r="I834" s="26"/>
    </row>
    <row r="835">
      <c r="H835" s="26"/>
      <c r="I835" s="26"/>
    </row>
    <row r="836">
      <c r="H836" s="26"/>
      <c r="I836" s="26"/>
    </row>
    <row r="837">
      <c r="H837" s="26"/>
      <c r="I837" s="26"/>
    </row>
    <row r="838">
      <c r="H838" s="26"/>
      <c r="I838" s="26"/>
    </row>
    <row r="839">
      <c r="H839" s="26"/>
      <c r="I839" s="26"/>
    </row>
    <row r="840">
      <c r="H840" s="26"/>
      <c r="I840" s="26"/>
    </row>
    <row r="841">
      <c r="H841" s="26"/>
      <c r="I841" s="26"/>
    </row>
    <row r="842">
      <c r="H842" s="26"/>
      <c r="I842" s="26"/>
    </row>
    <row r="843">
      <c r="H843" s="26"/>
      <c r="I843" s="26"/>
    </row>
    <row r="844">
      <c r="H844" s="26"/>
      <c r="I844" s="26"/>
    </row>
    <row r="845">
      <c r="H845" s="26"/>
      <c r="I845" s="26"/>
    </row>
    <row r="846">
      <c r="H846" s="26"/>
      <c r="I846" s="26"/>
    </row>
    <row r="847">
      <c r="H847" s="26"/>
      <c r="I847" s="26"/>
    </row>
    <row r="848">
      <c r="H848" s="26"/>
      <c r="I848" s="26"/>
    </row>
    <row r="849">
      <c r="H849" s="26"/>
      <c r="I849" s="26"/>
    </row>
    <row r="850">
      <c r="H850" s="26"/>
      <c r="I850" s="26"/>
    </row>
    <row r="851">
      <c r="H851" s="26"/>
      <c r="I851" s="26"/>
    </row>
    <row r="852">
      <c r="H852" s="26"/>
      <c r="I852" s="26"/>
    </row>
    <row r="853">
      <c r="H853" s="26"/>
      <c r="I853" s="26"/>
    </row>
    <row r="854">
      <c r="H854" s="26"/>
      <c r="I854" s="26"/>
    </row>
    <row r="855">
      <c r="H855" s="26"/>
      <c r="I855" s="26"/>
    </row>
    <row r="856">
      <c r="H856" s="26"/>
      <c r="I856" s="26"/>
    </row>
    <row r="857">
      <c r="H857" s="26"/>
      <c r="I857" s="26"/>
    </row>
    <row r="858">
      <c r="H858" s="26"/>
      <c r="I858" s="26"/>
    </row>
    <row r="859">
      <c r="H859" s="26"/>
      <c r="I859" s="26"/>
    </row>
    <row r="860">
      <c r="H860" s="26"/>
      <c r="I860" s="26"/>
    </row>
    <row r="861">
      <c r="H861" s="26"/>
      <c r="I861" s="26"/>
    </row>
    <row r="862">
      <c r="H862" s="26"/>
      <c r="I862" s="26"/>
    </row>
    <row r="863">
      <c r="H863" s="26"/>
      <c r="I863" s="26"/>
    </row>
    <row r="864">
      <c r="H864" s="26"/>
      <c r="I864" s="26"/>
    </row>
    <row r="865">
      <c r="H865" s="26"/>
      <c r="I865" s="26"/>
    </row>
    <row r="866">
      <c r="H866" s="26"/>
      <c r="I866" s="26"/>
    </row>
    <row r="867">
      <c r="H867" s="26"/>
      <c r="I867" s="26"/>
    </row>
    <row r="868">
      <c r="H868" s="26"/>
      <c r="I868" s="26"/>
    </row>
    <row r="869">
      <c r="H869" s="26"/>
      <c r="I869" s="26"/>
    </row>
    <row r="870">
      <c r="H870" s="26"/>
      <c r="I870" s="26"/>
    </row>
    <row r="871">
      <c r="H871" s="26"/>
      <c r="I871" s="26"/>
    </row>
    <row r="872">
      <c r="H872" s="26"/>
      <c r="I872" s="26"/>
    </row>
    <row r="873">
      <c r="H873" s="26"/>
      <c r="I873" s="26"/>
    </row>
    <row r="874">
      <c r="H874" s="26"/>
      <c r="I874" s="26"/>
    </row>
    <row r="875">
      <c r="H875" s="26"/>
      <c r="I875" s="26"/>
    </row>
    <row r="876">
      <c r="H876" s="26"/>
      <c r="I876" s="26"/>
    </row>
    <row r="877">
      <c r="H877" s="26"/>
      <c r="I877" s="26"/>
    </row>
    <row r="878">
      <c r="H878" s="26"/>
      <c r="I878" s="26"/>
    </row>
    <row r="879">
      <c r="H879" s="26"/>
      <c r="I879" s="26"/>
    </row>
    <row r="880">
      <c r="H880" s="26"/>
      <c r="I880" s="26"/>
    </row>
    <row r="881">
      <c r="H881" s="26"/>
      <c r="I881" s="26"/>
    </row>
    <row r="882">
      <c r="H882" s="26"/>
      <c r="I882" s="26"/>
    </row>
    <row r="883">
      <c r="H883" s="26"/>
      <c r="I883" s="26"/>
    </row>
    <row r="884">
      <c r="H884" s="26"/>
      <c r="I884" s="26"/>
    </row>
    <row r="885">
      <c r="H885" s="26"/>
      <c r="I885" s="26"/>
    </row>
    <row r="886">
      <c r="H886" s="26"/>
      <c r="I886" s="26"/>
    </row>
    <row r="887">
      <c r="H887" s="26"/>
      <c r="I887" s="26"/>
    </row>
    <row r="888">
      <c r="H888" s="26"/>
      <c r="I888" s="26"/>
    </row>
    <row r="889">
      <c r="H889" s="26"/>
      <c r="I889" s="26"/>
    </row>
    <row r="890">
      <c r="H890" s="26"/>
      <c r="I890" s="26"/>
    </row>
    <row r="891">
      <c r="H891" s="26"/>
      <c r="I891" s="26"/>
    </row>
    <row r="892">
      <c r="H892" s="26"/>
      <c r="I892" s="26"/>
    </row>
    <row r="893">
      <c r="H893" s="26"/>
      <c r="I893" s="26"/>
    </row>
    <row r="894">
      <c r="H894" s="26"/>
      <c r="I894" s="26"/>
    </row>
    <row r="895">
      <c r="H895" s="26"/>
      <c r="I895" s="26"/>
    </row>
    <row r="896">
      <c r="H896" s="26"/>
      <c r="I896" s="26"/>
    </row>
    <row r="897">
      <c r="H897" s="26"/>
      <c r="I897" s="26"/>
    </row>
    <row r="898">
      <c r="H898" s="26"/>
      <c r="I898" s="26"/>
    </row>
    <row r="899">
      <c r="H899" s="26"/>
      <c r="I899" s="26"/>
    </row>
    <row r="900">
      <c r="H900" s="26"/>
      <c r="I900" s="26"/>
    </row>
    <row r="901">
      <c r="H901" s="26"/>
      <c r="I901" s="26"/>
    </row>
    <row r="902">
      <c r="H902" s="26"/>
      <c r="I902" s="26"/>
    </row>
    <row r="903">
      <c r="H903" s="26"/>
      <c r="I903" s="26"/>
    </row>
    <row r="904">
      <c r="H904" s="26"/>
      <c r="I904" s="26"/>
    </row>
    <row r="905">
      <c r="H905" s="26"/>
      <c r="I905" s="26"/>
    </row>
    <row r="906">
      <c r="H906" s="26"/>
      <c r="I906" s="26"/>
    </row>
    <row r="907">
      <c r="H907" s="26"/>
      <c r="I907" s="26"/>
    </row>
    <row r="908">
      <c r="H908" s="26"/>
      <c r="I908" s="26"/>
    </row>
    <row r="909">
      <c r="H909" s="26"/>
      <c r="I909" s="26"/>
    </row>
    <row r="910">
      <c r="H910" s="26"/>
      <c r="I910" s="26"/>
    </row>
    <row r="911">
      <c r="H911" s="26"/>
      <c r="I911" s="26"/>
    </row>
    <row r="912">
      <c r="H912" s="26"/>
      <c r="I912" s="26"/>
    </row>
    <row r="913">
      <c r="H913" s="26"/>
      <c r="I913" s="26"/>
    </row>
    <row r="914">
      <c r="H914" s="26"/>
      <c r="I914" s="26"/>
    </row>
    <row r="915">
      <c r="H915" s="26"/>
      <c r="I915" s="26"/>
    </row>
    <row r="916">
      <c r="H916" s="26"/>
      <c r="I916" s="26"/>
    </row>
    <row r="917">
      <c r="H917" s="26"/>
      <c r="I917" s="26"/>
    </row>
    <row r="918">
      <c r="H918" s="26"/>
      <c r="I918" s="26"/>
    </row>
    <row r="919">
      <c r="H919" s="26"/>
      <c r="I919" s="26"/>
    </row>
    <row r="920">
      <c r="H920" s="26"/>
      <c r="I920" s="26"/>
    </row>
    <row r="921">
      <c r="H921" s="26"/>
      <c r="I921" s="26"/>
    </row>
    <row r="922">
      <c r="H922" s="26"/>
      <c r="I922" s="26"/>
    </row>
    <row r="923">
      <c r="H923" s="26"/>
      <c r="I923" s="26"/>
    </row>
    <row r="924">
      <c r="H924" s="26"/>
      <c r="I924" s="26"/>
    </row>
    <row r="925">
      <c r="H925" s="26"/>
      <c r="I925" s="26"/>
    </row>
    <row r="926">
      <c r="H926" s="26"/>
      <c r="I926" s="26"/>
    </row>
    <row r="927">
      <c r="H927" s="26"/>
      <c r="I927" s="26"/>
    </row>
    <row r="928">
      <c r="H928" s="26"/>
      <c r="I928" s="26"/>
    </row>
    <row r="929">
      <c r="H929" s="26"/>
      <c r="I929" s="26"/>
    </row>
    <row r="930">
      <c r="H930" s="26"/>
      <c r="I930" s="26"/>
    </row>
    <row r="931">
      <c r="H931" s="26"/>
      <c r="I931" s="26"/>
    </row>
    <row r="932">
      <c r="H932" s="26"/>
      <c r="I932" s="26"/>
    </row>
    <row r="933">
      <c r="H933" s="26"/>
      <c r="I933" s="26"/>
    </row>
    <row r="934">
      <c r="H934" s="26"/>
      <c r="I934" s="26"/>
    </row>
    <row r="935">
      <c r="H935" s="26"/>
      <c r="I935" s="26"/>
    </row>
    <row r="936">
      <c r="H936" s="26"/>
      <c r="I936" s="26"/>
    </row>
    <row r="937">
      <c r="H937" s="26"/>
      <c r="I937" s="26"/>
    </row>
    <row r="938">
      <c r="H938" s="26"/>
      <c r="I938" s="26"/>
    </row>
    <row r="939">
      <c r="H939" s="26"/>
      <c r="I939" s="26"/>
    </row>
    <row r="940">
      <c r="H940" s="26"/>
      <c r="I940" s="26"/>
    </row>
    <row r="941">
      <c r="H941" s="26"/>
      <c r="I941" s="26"/>
    </row>
    <row r="942">
      <c r="H942" s="26"/>
      <c r="I942" s="26"/>
    </row>
    <row r="943">
      <c r="H943" s="26"/>
      <c r="I943" s="26"/>
    </row>
    <row r="944">
      <c r="H944" s="26"/>
      <c r="I944" s="26"/>
    </row>
    <row r="945">
      <c r="H945" s="26"/>
      <c r="I945" s="26"/>
    </row>
    <row r="946">
      <c r="H946" s="26"/>
      <c r="I946" s="26"/>
    </row>
    <row r="947">
      <c r="H947" s="26"/>
      <c r="I947" s="26"/>
    </row>
    <row r="948">
      <c r="H948" s="26"/>
      <c r="I948" s="26"/>
    </row>
    <row r="949">
      <c r="H949" s="26"/>
      <c r="I949" s="26"/>
    </row>
    <row r="950">
      <c r="H950" s="26"/>
      <c r="I950" s="26"/>
    </row>
    <row r="951">
      <c r="H951" s="26"/>
      <c r="I951" s="26"/>
    </row>
    <row r="952">
      <c r="H952" s="26"/>
      <c r="I952" s="26"/>
    </row>
    <row r="953">
      <c r="H953" s="26"/>
      <c r="I953" s="26"/>
    </row>
    <row r="954">
      <c r="H954" s="26"/>
      <c r="I954" s="26"/>
    </row>
    <row r="955">
      <c r="H955" s="26"/>
      <c r="I955" s="26"/>
    </row>
    <row r="956">
      <c r="H956" s="26"/>
      <c r="I956" s="26"/>
    </row>
    <row r="957">
      <c r="H957" s="26"/>
      <c r="I957" s="26"/>
    </row>
    <row r="958">
      <c r="H958" s="26"/>
      <c r="I958" s="26"/>
    </row>
    <row r="959">
      <c r="H959" s="26"/>
      <c r="I959" s="26"/>
    </row>
    <row r="960">
      <c r="H960" s="26"/>
      <c r="I960" s="26"/>
    </row>
    <row r="961">
      <c r="H961" s="26"/>
      <c r="I961" s="26"/>
    </row>
    <row r="962">
      <c r="H962" s="26"/>
      <c r="I962" s="26"/>
    </row>
    <row r="963">
      <c r="H963" s="26"/>
      <c r="I963" s="26"/>
    </row>
    <row r="964">
      <c r="H964" s="26"/>
      <c r="I964" s="26"/>
    </row>
    <row r="965">
      <c r="H965" s="26"/>
      <c r="I965" s="26"/>
    </row>
    <row r="966">
      <c r="H966" s="26"/>
      <c r="I966" s="26"/>
    </row>
    <row r="967">
      <c r="H967" s="26"/>
      <c r="I967" s="26"/>
    </row>
    <row r="968">
      <c r="H968" s="26"/>
      <c r="I968" s="26"/>
    </row>
    <row r="969">
      <c r="H969" s="26"/>
      <c r="I969" s="26"/>
    </row>
    <row r="970">
      <c r="H970" s="26"/>
      <c r="I970" s="26"/>
    </row>
    <row r="971">
      <c r="H971" s="26"/>
      <c r="I971" s="26"/>
    </row>
    <row r="972">
      <c r="H972" s="26"/>
      <c r="I972" s="26"/>
    </row>
    <row r="973">
      <c r="H973" s="26"/>
      <c r="I973" s="26"/>
    </row>
    <row r="974">
      <c r="H974" s="26"/>
      <c r="I974" s="26"/>
    </row>
    <row r="975">
      <c r="H975" s="26"/>
      <c r="I975" s="26"/>
    </row>
    <row r="976">
      <c r="H976" s="26"/>
      <c r="I976" s="26"/>
    </row>
    <row r="977">
      <c r="H977" s="26"/>
      <c r="I977" s="26"/>
    </row>
    <row r="978">
      <c r="H978" s="26"/>
      <c r="I978" s="26"/>
    </row>
    <row r="979">
      <c r="H979" s="26"/>
      <c r="I979" s="26"/>
    </row>
    <row r="980">
      <c r="H980" s="26"/>
      <c r="I980" s="26"/>
    </row>
    <row r="981">
      <c r="H981" s="26"/>
      <c r="I981" s="26"/>
    </row>
    <row r="982">
      <c r="H982" s="26"/>
      <c r="I982" s="26"/>
    </row>
    <row r="983">
      <c r="H983" s="26"/>
      <c r="I983" s="26"/>
    </row>
    <row r="984">
      <c r="H984" s="26"/>
      <c r="I984" s="26"/>
    </row>
    <row r="985">
      <c r="H985" s="26"/>
      <c r="I985" s="26"/>
    </row>
    <row r="986">
      <c r="H986" s="26"/>
      <c r="I986" s="26"/>
    </row>
    <row r="987">
      <c r="H987" s="26"/>
      <c r="I987" s="26"/>
    </row>
    <row r="988">
      <c r="H988" s="26"/>
      <c r="I988" s="26"/>
    </row>
    <row r="989">
      <c r="H989" s="26"/>
      <c r="I989" s="26"/>
    </row>
    <row r="990">
      <c r="H990" s="26"/>
      <c r="I990" s="26"/>
    </row>
    <row r="991">
      <c r="H991" s="26"/>
      <c r="I991" s="26"/>
    </row>
    <row r="992">
      <c r="H992" s="26"/>
      <c r="I992" s="26"/>
    </row>
    <row r="993">
      <c r="H993" s="26"/>
      <c r="I993" s="26"/>
    </row>
    <row r="994">
      <c r="H994" s="26"/>
      <c r="I994" s="26"/>
    </row>
    <row r="995">
      <c r="H995" s="26"/>
      <c r="I995" s="26"/>
    </row>
    <row r="996">
      <c r="H996" s="26"/>
      <c r="I996" s="26"/>
    </row>
    <row r="997">
      <c r="H997" s="26"/>
      <c r="I997" s="26"/>
    </row>
    <row r="998">
      <c r="H998" s="26"/>
      <c r="I998" s="26"/>
    </row>
    <row r="999">
      <c r="H999" s="26"/>
      <c r="I999" s="26"/>
    </row>
    <row r="1000">
      <c r="H1000" s="26"/>
      <c r="I1000" s="26"/>
    </row>
  </sheetData>
  <mergeCells count="1">
    <mergeCell ref="E20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25"/>
    <col customWidth="1" min="6" max="6" width="6.88"/>
    <col customWidth="1" min="7" max="7" width="8.5"/>
    <col customWidth="1" min="8" max="9" width="8.75"/>
    <col customWidth="1" min="10" max="10" width="14.75"/>
    <col customWidth="1" min="11" max="11" width="6.75"/>
    <col customWidth="1" min="12" max="12" width="17.88"/>
    <col customWidth="1" min="13" max="13" width="8.5"/>
    <col customWidth="1" min="14" max="14" width="5.13"/>
    <col customWidth="1" min="15" max="15" width="5.38"/>
    <col customWidth="1" min="16" max="16" width="21.75"/>
    <col customWidth="1" min="17" max="17" width="7.38"/>
    <col customWidth="1" min="18" max="18" width="10.75"/>
    <col customWidth="1" min="19" max="19" width="8.63"/>
    <col customWidth="1" min="20" max="20" width="11.63"/>
  </cols>
  <sheetData>
    <row r="1">
      <c r="H1" s="26"/>
      <c r="I1" s="26"/>
    </row>
    <row r="2">
      <c r="H2" s="26"/>
      <c r="I2" s="26"/>
    </row>
    <row r="3">
      <c r="H3" s="26"/>
      <c r="I3" s="26"/>
    </row>
    <row r="4">
      <c r="E4" s="2" t="s">
        <v>0</v>
      </c>
      <c r="F4" s="2" t="s">
        <v>1</v>
      </c>
      <c r="G4" s="2" t="s">
        <v>1784</v>
      </c>
      <c r="H4" s="27" t="s">
        <v>3</v>
      </c>
      <c r="I4" s="27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REGEXMATCH(languages!G3:G682, ""r-assimilation""))"),99.0)</f>
        <v>99</v>
      </c>
      <c r="F5" s="23" t="str">
        <f>IFERROR(__xludf.DUMMYFUNCTION("""COMPUTED_VALUE"""),"assimilation")</f>
        <v>assimilation</v>
      </c>
      <c r="G5" s="23" t="str">
        <f>IFERROR(__xludf.DUMMYFUNCTION("""COMPUTED_VALUE"""),"r-assimilation")</f>
        <v>r-assimilation</v>
      </c>
      <c r="H5" s="26" t="str">
        <f>IFERROR(__xludf.DUMMYFUNCTION("""COMPUTED_VALUE"""),"r")</f>
        <v>r</v>
      </c>
      <c r="I5" s="26" t="str">
        <f>IFERROR(__xludf.DUMMYFUNCTION("""COMPUTED_VALUE"""),"n")</f>
        <v>n</v>
      </c>
      <c r="J5" s="23" t="str">
        <f>IFERROR(__xludf.DUMMYFUNCTION("""COMPUTED_VALUE"""),"/ n_")</f>
        <v>/ n_</v>
      </c>
      <c r="K5" s="23" t="str">
        <f>IFERROR(__xludf.DUMMYFUNCTION("""COMPUTED_VALUE"""),"after 88-95")</f>
        <v>after 88-95</v>
      </c>
      <c r="L5" s="23" t="str">
        <f>IFERROR(__xludf.DUMMYFUNCTION("""COMPUTED_VALUE"""),"b-elč’-un-ra &gt; belč’unna")</f>
        <v>b-elč’-un-ra &gt; belč’unna</v>
      </c>
      <c r="M5" s="23" t="str">
        <f>IFERROR(__xludf.DUMMYFUNCTION("""COMPUTED_VALUE"""),"M-read:PFV-AOR-EGO")</f>
        <v>M-read:PFV-AOR-EGO</v>
      </c>
      <c r="N5" s="23" t="str">
        <f>IFERROR(__xludf.DUMMYFUNCTION("""COMPUTED_VALUE"""),"‘I’ve read’")</f>
        <v>‘I’ve read’</v>
      </c>
      <c r="O5" s="23" t="str">
        <f>IFERROR(__xludf.DUMMYFUNCTION("""COMPUTED_VALUE"""),"in some cases, this assimilation is optional")</f>
        <v>in some cases, this assimilation is optional</v>
      </c>
      <c r="P5" s="23" t="str">
        <f>IFERROR(__xludf.DUMMYFUNCTION("""COMPUTED_VALUE"""),"(Daniel, Dobrushina, and Ganenkov, 2019)")</f>
        <v>(Daniel, Dobrushina, and Ganenkov, 2019)</v>
      </c>
      <c r="Q5" s="23">
        <f>IFERROR(__xludf.DUMMYFUNCTION("""COMPUTED_VALUE"""),31.0)</f>
        <v>31</v>
      </c>
      <c r="R5" s="23" t="str">
        <f>IFERROR(__xludf.DUMMYFUNCTION("""COMPUTED_VALUE"""),"Megeb")</f>
        <v>Megeb</v>
      </c>
      <c r="S5" s="23" t="str">
        <f>IFERROR(__xludf.DUMMYFUNCTION("""COMPUTED_VALUE"""),"Dargwa")</f>
        <v>Dargwa</v>
      </c>
      <c r="T5" s="23" t="str">
        <f>IFERROR(__xludf.DUMMYFUNCTION("""COMPUTED_VALUE"""),"Mehweb")</f>
        <v>Mehweb</v>
      </c>
    </row>
    <row r="6">
      <c r="E6" s="23">
        <f>IFERROR(__xludf.DUMMYFUNCTION("""COMPUTED_VALUE"""),100.0)</f>
        <v>100</v>
      </c>
      <c r="F6" s="23" t="str">
        <f>IFERROR(__xludf.DUMMYFUNCTION("""COMPUTED_VALUE"""),"assimilation")</f>
        <v>assimilation</v>
      </c>
      <c r="G6" s="23" t="str">
        <f>IFERROR(__xludf.DUMMYFUNCTION("""COMPUTED_VALUE"""),"r-assimilation")</f>
        <v>r-assimilation</v>
      </c>
      <c r="H6" s="26" t="str">
        <f>IFERROR(__xludf.DUMMYFUNCTION("""COMPUTED_VALUE"""),"r")</f>
        <v>r</v>
      </c>
      <c r="I6" s="26" t="str">
        <f>IFERROR(__xludf.DUMMYFUNCTION("""COMPUTED_VALUE"""),"l")</f>
        <v>l</v>
      </c>
      <c r="J6" s="23" t="str">
        <f>IFERROR(__xludf.DUMMYFUNCTION("""COMPUTED_VALUE"""),"/ _l")</f>
        <v>/ _l</v>
      </c>
      <c r="K6" s="23" t="str">
        <f>IFERROR(__xludf.DUMMYFUNCTION("""COMPUTED_VALUE"""),"after 88-95")</f>
        <v>after 88-95</v>
      </c>
      <c r="L6" s="23" t="str">
        <f>IFERROR(__xludf.DUMMYFUNCTION("""COMPUTED_VALUE"""),"qar-li-ze &gt; qallize")</f>
        <v>qar-li-ze &gt; qallize</v>
      </c>
      <c r="M6" s="23" t="str">
        <f>IFERROR(__xludf.DUMMYFUNCTION("""COMPUTED_VALUE"""),"sheepskin.coat-OBL-INTER[LAT]")</f>
        <v>sheepskin.coat-OBL-INTER[LAT]</v>
      </c>
      <c r="N6" s="23" t="str">
        <f>IFERROR(__xludf.DUMMYFUNCTION("""COMPUTED_VALUE"""),"‘through sheepskin coat’")</f>
        <v>‘through sheepskin coat’</v>
      </c>
      <c r="O6" s="23" t="str">
        <f>IFERROR(__xludf.DUMMYFUNCTION("""COMPUTED_VALUE"""),"in some cases, this assimilation is optional")</f>
        <v>in some cases, this assimilation is optional</v>
      </c>
      <c r="P6" s="23" t="str">
        <f>IFERROR(__xludf.DUMMYFUNCTION("""COMPUTED_VALUE"""),"(Daniel, Dobrushina, and Ganenkov, 2019)")</f>
        <v>(Daniel, Dobrushina, and Ganenkov, 2019)</v>
      </c>
      <c r="Q6" s="23">
        <f>IFERROR(__xludf.DUMMYFUNCTION("""COMPUTED_VALUE"""),31.0)</f>
        <v>31</v>
      </c>
      <c r="R6" s="23" t="str">
        <f>IFERROR(__xludf.DUMMYFUNCTION("""COMPUTED_VALUE"""),"Megeb")</f>
        <v>Megeb</v>
      </c>
      <c r="S6" s="23" t="str">
        <f>IFERROR(__xludf.DUMMYFUNCTION("""COMPUTED_VALUE"""),"Dargwa")</f>
        <v>Dargwa</v>
      </c>
      <c r="T6" s="23" t="str">
        <f>IFERROR(__xludf.DUMMYFUNCTION("""COMPUTED_VALUE"""),"Mehweb")</f>
        <v>Mehweb</v>
      </c>
    </row>
    <row r="7">
      <c r="E7" s="23">
        <f>IFERROR(__xludf.DUMMYFUNCTION("""COMPUTED_VALUE"""),183.0)</f>
        <v>183</v>
      </c>
      <c r="F7" s="23" t="str">
        <f>IFERROR(__xludf.DUMMYFUNCTION("""COMPUTED_VALUE"""),"assimilation, fortition")</f>
        <v>assimilation, fortition</v>
      </c>
      <c r="G7" s="23" t="str">
        <f>IFERROR(__xludf.DUMMYFUNCTION("""COMPUTED_VALUE"""),"r-assimilation")</f>
        <v>r-assimilation</v>
      </c>
      <c r="H7" s="26" t="str">
        <f>IFERROR(__xludf.DUMMYFUNCTION("""COMPUTED_VALUE"""),"р ")</f>
        <v>р </v>
      </c>
      <c r="I7" s="26" t="str">
        <f>IFERROR(__xludf.DUMMYFUNCTION("""COMPUTED_VALUE"""),"л")</f>
        <v>л</v>
      </c>
      <c r="J7" s="23" t="str">
        <f>IFERROR(__xludf.DUMMYFUNCTION("""COMPUTED_VALUE"""),"/ _ + л")</f>
        <v>/ _ + л</v>
      </c>
      <c r="K7" s="23" t="str">
        <f>IFERROR(__xludf.DUMMYFUNCTION("""COMPUTED_VALUE"""),"-")</f>
        <v>-</v>
      </c>
      <c r="L7" s="23" t="str">
        <f>IFERROR(__xludf.DUMMYFUNCTION("""COMPUTED_VALUE"""),"хор-ла &gt; хол-ла")</f>
        <v>хор-ла &gt; хол-ла</v>
      </c>
      <c r="M7" s="23" t="str">
        <f>IFERROR(__xludf.DUMMYFUNCTION("""COMPUTED_VALUE"""),"sheep-PL")</f>
        <v>sheep-PL</v>
      </c>
      <c r="N7" s="23" t="str">
        <f>IFERROR(__xludf.DUMMYFUNCTION("""COMPUTED_VALUE"""),"‘sheep’")</f>
        <v>‘sheep’</v>
      </c>
      <c r="O7" s="23"/>
      <c r="P7" s="23" t="str">
        <f>IFERROR(__xludf.DUMMYFUNCTION("""COMPUTED_VALUE"""),"(Isakov and Xalilov, 2012)")</f>
        <v>(Isakov and Xalilov, 2012)</v>
      </c>
      <c r="Q7" s="23">
        <f>IFERROR(__xludf.DUMMYFUNCTION("""COMPUTED_VALUE"""),67.0)</f>
        <v>67</v>
      </c>
      <c r="R7" s="23" t="str">
        <f>IFERROR(__xludf.DUMMYFUNCTION("""COMPUTED_VALUE"""),"Hunzib")</f>
        <v>Hunzib</v>
      </c>
      <c r="S7" s="23" t="str">
        <f>IFERROR(__xludf.DUMMYFUNCTION("""COMPUTED_VALUE"""),"Hunzib")</f>
        <v>Hunzib</v>
      </c>
      <c r="T7" s="23" t="str">
        <f>IFERROR(__xludf.DUMMYFUNCTION("""COMPUTED_VALUE"""),"Hunzib")</f>
        <v>Hunzib</v>
      </c>
    </row>
    <row r="8">
      <c r="E8" s="23">
        <f>IFERROR(__xludf.DUMMYFUNCTION("""COMPUTED_VALUE"""),276.0)</f>
        <v>276</v>
      </c>
      <c r="F8" s="23" t="str">
        <f>IFERROR(__xludf.DUMMYFUNCTION("""COMPUTED_VALUE"""),"assimilation")</f>
        <v>assimilation</v>
      </c>
      <c r="G8" s="23" t="str">
        <f>IFERROR(__xludf.DUMMYFUNCTION("""COMPUTED_VALUE"""),"r-assimilation")</f>
        <v>r-assimilation</v>
      </c>
      <c r="H8" s="26" t="str">
        <f>IFERROR(__xludf.DUMMYFUNCTION("""COMPUTED_VALUE"""),"р")</f>
        <v>р</v>
      </c>
      <c r="I8" s="26" t="str">
        <f>IFERROR(__xludf.DUMMYFUNCTION("""COMPUTED_VALUE"""),"н")</f>
        <v>н</v>
      </c>
      <c r="J8" s="23" t="str">
        <f>IFERROR(__xludf.DUMMYFUNCTION("""COMPUTED_VALUE"""),"/ _н")</f>
        <v>/ _н</v>
      </c>
      <c r="K8" s="23" t="str">
        <f>IFERROR(__xludf.DUMMYFUNCTION("""COMPUTED_VALUE"""),"-")</f>
        <v>-</v>
      </c>
      <c r="L8" s="23" t="str">
        <f>IFERROR(__xludf.DUMMYFUNCTION("""COMPUTED_VALUE"""),"эгирно &gt; эгинно")</f>
        <v>эгирно &gt; эгинно</v>
      </c>
      <c r="M8" s="23"/>
      <c r="N8" s="23" t="str">
        <f>IFERROR(__xludf.DUMMYFUNCTION("""COMPUTED_VALUE"""),"‘sent’")</f>
        <v>‘sent’</v>
      </c>
      <c r="O8" s="23"/>
      <c r="P8" s="23" t="str">
        <f>IFERROR(__xludf.DUMMYFUNCTION("""COMPUTED_VALUE"""),"(Abdulaev, Khalilov, 2023)")</f>
        <v>(Abdulaev, Khalilov, 2023)</v>
      </c>
      <c r="Q8" s="23">
        <f>IFERROR(__xludf.DUMMYFUNCTION("""COMPUTED_VALUE"""),430.0)</f>
        <v>430</v>
      </c>
      <c r="R8" s="23" t="str">
        <f>IFERROR(__xludf.DUMMYFUNCTION("""COMPUTED_VALUE"""),"Tsez")</f>
        <v>Tsez</v>
      </c>
      <c r="S8" s="23" t="str">
        <f>IFERROR(__xludf.DUMMYFUNCTION("""COMPUTED_VALUE"""),"Tsez")</f>
        <v>Tsez</v>
      </c>
      <c r="T8" s="23" t="str">
        <f>IFERROR(__xludf.DUMMYFUNCTION("""COMPUTED_VALUE"""),"Tsez")</f>
        <v>Tsez</v>
      </c>
    </row>
    <row r="9">
      <c r="E9" s="23">
        <f>IFERROR(__xludf.DUMMYFUNCTION("""COMPUTED_VALUE"""),286.0)</f>
        <v>286</v>
      </c>
      <c r="F9" s="23" t="str">
        <f>IFERROR(__xludf.DUMMYFUNCTION("""COMPUTED_VALUE"""),"assimilation")</f>
        <v>assimilation</v>
      </c>
      <c r="G9" s="23" t="str">
        <f>IFERROR(__xludf.DUMMYFUNCTION("""COMPUTED_VALUE"""),"r-assimilation")</f>
        <v>r-assimilation</v>
      </c>
      <c r="H9" s="26" t="str">
        <f>IFERROR(__xludf.DUMMYFUNCTION("""COMPUTED_VALUE"""),"р")</f>
        <v>р</v>
      </c>
      <c r="I9" s="26" t="str">
        <f>IFERROR(__xludf.DUMMYFUNCTION("""COMPUTED_VALUE"""),"л")</f>
        <v>л</v>
      </c>
      <c r="J9" s="23" t="str">
        <f>IFERROR(__xludf.DUMMYFUNCTION("""COMPUTED_VALUE"""),"/ _л")</f>
        <v>/ _л</v>
      </c>
      <c r="K9" s="23" t="str">
        <f>IFERROR(__xludf.DUMMYFUNCTION("""COMPUTED_VALUE"""),"-")</f>
        <v>-</v>
      </c>
      <c r="L9" s="23" t="str">
        <f>IFERROR(__xludf.DUMMYFUNCTION("""COMPUTED_VALUE"""),"базар-ла &gt; базал-ла")</f>
        <v>базар-ла &gt; базал-ла</v>
      </c>
      <c r="M9" s="23" t="str">
        <f>IFERROR(__xludf.DUMMYFUNCTION("""COMPUTED_VALUE"""),"market-LOC")</f>
        <v>market-LOC</v>
      </c>
      <c r="N9" s="23" t="str">
        <f>IFERROR(__xludf.DUMMYFUNCTION("""COMPUTED_VALUE"""),"‘on the market’")</f>
        <v>‘on the market’</v>
      </c>
      <c r="O9" s="23"/>
      <c r="P9" s="23" t="str">
        <f>IFERROR(__xludf.DUMMYFUNCTION("""COMPUTED_VALUE"""),"(Salimov, 2010)")</f>
        <v>(Salimov, 2010)</v>
      </c>
      <c r="Q9" s="23">
        <f>IFERROR(__xludf.DUMMYFUNCTION("""COMPUTED_VALUE"""),18.0)</f>
        <v>18</v>
      </c>
      <c r="R9" s="23" t="str">
        <f>IFERROR(__xludf.DUMMYFUNCTION("""COMPUTED_VALUE"""),"Gagatl")</f>
        <v>Gagatl</v>
      </c>
      <c r="S9" s="23" t="str">
        <f>IFERROR(__xludf.DUMMYFUNCTION("""COMPUTED_VALUE"""),"Andi")</f>
        <v>Andi</v>
      </c>
      <c r="T9" s="23" t="str">
        <f>IFERROR(__xludf.DUMMYFUNCTION("""COMPUTED_VALUE"""),"Gagatli")</f>
        <v>Gagatli</v>
      </c>
    </row>
    <row r="10">
      <c r="E10" s="23">
        <f>IFERROR(__xludf.DUMMYFUNCTION("""COMPUTED_VALUE"""),320.0)</f>
        <v>320</v>
      </c>
      <c r="F10" s="23" t="str">
        <f>IFERROR(__xludf.DUMMYFUNCTION("""COMPUTED_VALUE"""),"assimilation")</f>
        <v>assimilation</v>
      </c>
      <c r="G10" s="23" t="str">
        <f>IFERROR(__xludf.DUMMYFUNCTION("""COMPUTED_VALUE"""),"r-assimilation")</f>
        <v>r-assimilation</v>
      </c>
      <c r="H10" s="26" t="str">
        <f>IFERROR(__xludf.DUMMYFUNCTION("""COMPUTED_VALUE"""),"р")</f>
        <v>р</v>
      </c>
      <c r="I10" s="26" t="str">
        <f>IFERROR(__xludf.DUMMYFUNCTION("""COMPUTED_VALUE"""),"н")</f>
        <v>н</v>
      </c>
      <c r="J10" s="23" t="str">
        <f>IFERROR(__xludf.DUMMYFUNCTION("""COMPUTED_VALUE"""),"/ _ + [-con; +nasal]")</f>
        <v>/ _ + [-con; +nasal]</v>
      </c>
      <c r="K10" s="23" t="str">
        <f>IFERROR(__xludf.DUMMYFUNCTION("""COMPUTED_VALUE"""),"-")</f>
        <v>-</v>
      </c>
      <c r="L10" s="23" t="str">
        <f>IFERROR(__xludf.DUMMYFUNCTION("""COMPUTED_VALUE"""),"риⁿса &gt; ниса")</f>
        <v>риⁿса &gt; ниса</v>
      </c>
      <c r="M10" s="23"/>
      <c r="N10" s="23" t="str">
        <f>IFERROR(__xludf.DUMMYFUNCTION("""COMPUTED_VALUE"""),"‘found them’")</f>
        <v>‘found them’</v>
      </c>
      <c r="O10" s="23"/>
      <c r="P10" s="23" t="str">
        <f>IFERROR(__xludf.DUMMYFUNCTION("""COMPUTED_VALUE"""),"(Alekseev, Azaev, 2019)")</f>
        <v>(Alekseev, Azaev, 2019)</v>
      </c>
      <c r="Q10" s="23">
        <f>IFERROR(__xludf.DUMMYFUNCTION("""COMPUTED_VALUE"""),521.0)</f>
        <v>521</v>
      </c>
      <c r="R10" s="23" t="str">
        <f>IFERROR(__xludf.DUMMYFUNCTION("""COMPUTED_VALUE"""),"Botlikh")</f>
        <v>Botlikh</v>
      </c>
      <c r="S10" s="23" t="str">
        <f>IFERROR(__xludf.DUMMYFUNCTION("""COMPUTED_VALUE"""),"Botlikh")</f>
        <v>Botlikh</v>
      </c>
      <c r="T10" s="23" t="str">
        <f>IFERROR(__xludf.DUMMYFUNCTION("""COMPUTED_VALUE"""),"Botlikh")</f>
        <v>Botlikh</v>
      </c>
    </row>
    <row r="11">
      <c r="E11" s="23">
        <f>IFERROR(__xludf.DUMMYFUNCTION("""COMPUTED_VALUE"""),330.0)</f>
        <v>330</v>
      </c>
      <c r="F11" s="23" t="str">
        <f>IFERROR(__xludf.DUMMYFUNCTION("""COMPUTED_VALUE"""),"assimilation")</f>
        <v>assimilation</v>
      </c>
      <c r="G11" s="23" t="str">
        <f>IFERROR(__xludf.DUMMYFUNCTION("""COMPUTED_VALUE"""),"l-assimilation, r-assimilation")</f>
        <v>l-assimilation, r-assimilation</v>
      </c>
      <c r="H11" s="26" t="str">
        <f>IFERROR(__xludf.DUMMYFUNCTION("""COMPUTED_VALUE"""),"[+con; +liquid] ")</f>
        <v>[+con; +liquid] </v>
      </c>
      <c r="I11" s="26" t="str">
        <f>IFERROR(__xludf.DUMMYFUNCTION("""COMPUTED_VALUE"""),"n")</f>
        <v>n</v>
      </c>
      <c r="J11" s="23" t="str">
        <f>IFERROR(__xludf.DUMMYFUNCTION("""COMPUTED_VALUE"""),"/ _ + [-con; +nasal]")</f>
        <v>/ _ + [-con; +nasal]</v>
      </c>
      <c r="K11" s="23" t="str">
        <f>IFERROR(__xludf.DUMMYFUNCTION("""COMPUTED_VALUE"""),"-")</f>
        <v>-</v>
      </c>
      <c r="L11" s="23" t="str">
        <f>IFERROR(__xludf.DUMMYFUNCTION("""COMPUTED_VALUE"""),"r=itaⁿ + r=o &gt; r=ita=n=o")</f>
        <v>r=itaⁿ + r=o &gt; r=ita=n=o</v>
      </c>
      <c r="M11" s="23" t="str">
        <f>IFERROR(__xludf.DUMMYFUNCTION("""COMPUTED_VALUE"""),"NPL=be.lost=NPL=CONV")</f>
        <v>NPL=be.lost=NPL=CONV</v>
      </c>
      <c r="N11" s="23" t="str">
        <f>IFERROR(__xludf.DUMMYFUNCTION("""COMPUTED_VALUE"""),"‘’ &gt; ‘’")</f>
        <v>‘’ &gt; ‘’</v>
      </c>
      <c r="O11" s="23"/>
      <c r="P11" s="23" t="str">
        <f>IFERROR(__xludf.DUMMYFUNCTION("""COMPUTED_VALUE"""),"(Kibrik, Kazenin, Ljutikova, and Tatevosov, 2001)")</f>
        <v>(Kibrik, Kazenin, Ljutikova, and Tatevosov, 2001)</v>
      </c>
      <c r="Q11" s="23">
        <f>IFERROR(__xludf.DUMMYFUNCTION("""COMPUTED_VALUE"""),52.0)</f>
        <v>52</v>
      </c>
      <c r="R11" s="23" t="str">
        <f>IFERROR(__xludf.DUMMYFUNCTION("""COMPUTED_VALUE"""),"Kvanada-Gimerso")</f>
        <v>Kvanada-Gimerso</v>
      </c>
      <c r="S11" s="23" t="str">
        <f>IFERROR(__xludf.DUMMYFUNCTION("""COMPUTED_VALUE"""),"Bagvalal")</f>
        <v>Bagvalal</v>
      </c>
      <c r="T11" s="23" t="str">
        <f>IFERROR(__xludf.DUMMYFUNCTION("""COMPUTED_VALUE"""),"Kvanada")</f>
        <v>Kvanada</v>
      </c>
    </row>
    <row r="12">
      <c r="E12" s="23">
        <f>IFERROR(__xludf.DUMMYFUNCTION("""COMPUTED_VALUE"""),415.0)</f>
        <v>415</v>
      </c>
      <c r="F12" s="23" t="str">
        <f>IFERROR(__xludf.DUMMYFUNCTION("""COMPUTED_VALUE"""),"assimilation")</f>
        <v>assimilation</v>
      </c>
      <c r="G12" s="23" t="str">
        <f>IFERROR(__xludf.DUMMYFUNCTION("""COMPUTED_VALUE"""),"r-assimilation")</f>
        <v>r-assimilation</v>
      </c>
      <c r="H12" s="26" t="str">
        <f>IFERROR(__xludf.DUMMYFUNCTION("""COMPUTED_VALUE"""),"р")</f>
        <v>р</v>
      </c>
      <c r="I12" s="26" t="str">
        <f>IFERROR(__xludf.DUMMYFUNCTION("""COMPUTED_VALUE"""),"л")</f>
        <v>л</v>
      </c>
      <c r="J12" s="23" t="str">
        <f>IFERROR(__xludf.DUMMYFUNCTION("""COMPUTED_VALUE"""),"/ _ Vл")</f>
        <v>/ _ Vл</v>
      </c>
      <c r="K12" s="23" t="str">
        <f>IFERROR(__xludf.DUMMYFUNCTION("""COMPUTED_VALUE"""),"-")</f>
        <v>-</v>
      </c>
      <c r="L12" s="23" t="str">
        <f>IFERROR(__xludf.DUMMYFUNCTION("""COMPUTED_VALUE"""),"&gt;")</f>
        <v>&gt;</v>
      </c>
      <c r="M12" s="23"/>
      <c r="N12" s="23" t="str">
        <f>IFERROR(__xludf.DUMMYFUNCTION("""COMPUTED_VALUE"""),"‘’ &gt; ‘’")</f>
        <v>‘’ &gt; ‘’</v>
      </c>
      <c r="O12" s="23"/>
      <c r="P12" s="23" t="str">
        <f>IFERROR(__xludf.DUMMYFUNCTION("""COMPUTED_VALUE"""),"(Ibragimov, 2004)")</f>
        <v>(Ibragimov, 2004)</v>
      </c>
      <c r="Q12" s="23">
        <f>IFERROR(__xludf.DUMMYFUNCTION("""COMPUTED_VALUE"""),43.0)</f>
        <v>43</v>
      </c>
      <c r="R12" s="23" t="str">
        <f>IFERROR(__xludf.DUMMYFUNCTION("""COMPUTED_VALUE"""),"Rutul")</f>
        <v>Rutul</v>
      </c>
      <c r="S12" s="23" t="str">
        <f>IFERROR(__xludf.DUMMYFUNCTION("""COMPUTED_VALUE"""),"Rutul")</f>
        <v>Rutul</v>
      </c>
      <c r="T12" s="23" t="str">
        <f>IFERROR(__xludf.DUMMYFUNCTION("""COMPUTED_VALUE"""),"Mukhad")</f>
        <v>Mukhad</v>
      </c>
    </row>
    <row r="13">
      <c r="E13" s="23">
        <f>IFERROR(__xludf.DUMMYFUNCTION("""COMPUTED_VALUE"""),473.0)</f>
        <v>473</v>
      </c>
      <c r="F13" s="23" t="str">
        <f>IFERROR(__xludf.DUMMYFUNCTION("""COMPUTED_VALUE"""),"assimilation")</f>
        <v>assimilation</v>
      </c>
      <c r="G13" s="23" t="str">
        <f>IFERROR(__xludf.DUMMYFUNCTION("""COMPUTED_VALUE"""),"r-assimilation")</f>
        <v>r-assimilation</v>
      </c>
      <c r="H13" s="26" t="str">
        <f>IFERROR(__xludf.DUMMYFUNCTION("""COMPUTED_VALUE"""),"р")</f>
        <v>р</v>
      </c>
      <c r="I13" s="26" t="str">
        <f>IFERROR(__xludf.DUMMYFUNCTION("""COMPUTED_VALUE"""),"л")</f>
        <v>л</v>
      </c>
      <c r="J13" s="23" t="str">
        <f>IFERROR(__xludf.DUMMYFUNCTION("""COMPUTED_VALUE"""),"/ _ л")</f>
        <v>/ _ л</v>
      </c>
      <c r="K13" s="23" t="str">
        <f>IFERROR(__xludf.DUMMYFUNCTION("""COMPUTED_VALUE"""),"-")</f>
        <v>-</v>
      </c>
      <c r="L13" s="23" t="str">
        <f>IFERROR(__xludf.DUMMYFUNCTION("""COMPUTED_VALUE"""),"&gt;")</f>
        <v>&gt;</v>
      </c>
      <c r="M13" s="23"/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IFERROR(__xludf.DUMMYFUNCTION("""COMPUTED_VALUE"""),"(Mikajlov, 1967)")</f>
        <v>(Mikajlov, 1967)</v>
      </c>
      <c r="Q13" s="23">
        <f>IFERROR(__xludf.DUMMYFUNCTION("""COMPUTED_VALUE"""),35.0)</f>
        <v>35</v>
      </c>
      <c r="R13" s="23" t="str">
        <f>IFERROR(__xludf.DUMMYFUNCTION("""COMPUTED_VALUE"""),"Archi")</f>
        <v>Archi</v>
      </c>
      <c r="S13" s="23" t="str">
        <f>IFERROR(__xludf.DUMMYFUNCTION("""COMPUTED_VALUE"""),"Archi")</f>
        <v>Archi</v>
      </c>
      <c r="T13" s="23" t="str">
        <f>IFERROR(__xludf.DUMMYFUNCTION("""COMPUTED_VALUE"""),"Archib")</f>
        <v>Archib</v>
      </c>
    </row>
    <row r="14">
      <c r="E14" s="23">
        <f>IFERROR(__xludf.DUMMYFUNCTION("""COMPUTED_VALUE"""),544.0)</f>
        <v>544</v>
      </c>
      <c r="F14" s="23" t="str">
        <f>IFERROR(__xludf.DUMMYFUNCTION("""COMPUTED_VALUE"""),"assimilation")</f>
        <v>assimilation</v>
      </c>
      <c r="G14" s="23" t="str">
        <f>IFERROR(__xludf.DUMMYFUNCTION("""COMPUTED_VALUE"""),"r-assimilation")</f>
        <v>r-assimilation</v>
      </c>
      <c r="H14" s="26" t="str">
        <f>IFERROR(__xludf.DUMMYFUNCTION("""COMPUTED_VALUE"""),"r")</f>
        <v>r</v>
      </c>
      <c r="I14" s="26" t="str">
        <f>IFERROR(__xludf.DUMMYFUNCTION("""COMPUTED_VALUE"""),"n")</f>
        <v>n</v>
      </c>
      <c r="J14" s="23" t="str">
        <f>IFERROR(__xludf.DUMMYFUNCTION("""COMPUTED_VALUE"""),"/ _ + [-con; +nasal]")</f>
        <v>/ _ + [-con; +nasal]</v>
      </c>
      <c r="K14" s="23" t="str">
        <f>IFERROR(__xludf.DUMMYFUNCTION("""COMPUTED_VALUE"""),"-")</f>
        <v>-</v>
      </c>
      <c r="L14" s="23" t="str">
        <f>IFERROR(__xludf.DUMMYFUNCTION("""COMPUTED_VALUE"""),"c̣ihoⁿ-r-i &gt; c̣iho-n-i")</f>
        <v>c̣ihoⁿ-r-i &gt; c̣iho-n-i</v>
      </c>
      <c r="M14" s="23" t="str">
        <f>IFERROR(__xludf.DUMMYFUNCTION("""COMPUTED_VALUE"""),"new-IV-PL")</f>
        <v>new-IV-PL</v>
      </c>
      <c r="N14" s="23" t="str">
        <f>IFERROR(__xludf.DUMMYFUNCTION("""COMPUTED_VALUE"""),"‘new ones’")</f>
        <v>‘new ones’</v>
      </c>
      <c r="O14" s="23"/>
      <c r="P14" s="23" t="str">
        <f>IFERROR(__xludf.DUMMYFUNCTION("""COMPUTED_VALUE"""),"(Magomedbekova, 1971)")</f>
        <v>(Magomedbekova, 1971)</v>
      </c>
      <c r="Q14" s="23" t="str">
        <f>IFERROR(__xludf.DUMMYFUNCTION("""COMPUTED_VALUE"""),"21, 86")</f>
        <v>21, 86</v>
      </c>
      <c r="R14" s="23" t="str">
        <f>IFERROR(__xludf.DUMMYFUNCTION("""COMPUTED_VALUE"""),"Karata")</f>
        <v>Karata</v>
      </c>
      <c r="S14" s="23" t="str">
        <f>IFERROR(__xludf.DUMMYFUNCTION("""COMPUTED_VALUE"""),"Karata")</f>
        <v>Karata</v>
      </c>
      <c r="T14" s="23" t="str">
        <f>IFERROR(__xludf.DUMMYFUNCTION("""COMPUTED_VALUE"""),"Karata")</f>
        <v>Karata</v>
      </c>
    </row>
    <row r="15">
      <c r="E15" s="23">
        <f>IFERROR(__xludf.DUMMYFUNCTION("""COMPUTED_VALUE"""),545.0)</f>
        <v>545</v>
      </c>
      <c r="F15" s="23" t="str">
        <f>IFERROR(__xludf.DUMMYFUNCTION("""COMPUTED_VALUE"""),"assimilation")</f>
        <v>assimilation</v>
      </c>
      <c r="G15" s="23" t="str">
        <f>IFERROR(__xludf.DUMMYFUNCTION("""COMPUTED_VALUE"""),"r-assimilation")</f>
        <v>r-assimilation</v>
      </c>
      <c r="H15" s="26" t="str">
        <f>IFERROR(__xludf.DUMMYFUNCTION("""COMPUTED_VALUE"""),"r")</f>
        <v>r</v>
      </c>
      <c r="I15" s="26" t="str">
        <f>IFERROR(__xludf.DUMMYFUNCTION("""COMPUTED_VALUE"""),"n")</f>
        <v>n</v>
      </c>
      <c r="J15" s="23" t="str">
        <f>IFERROR(__xludf.DUMMYFUNCTION("""COMPUTED_VALUE"""),"/ _ + n")</f>
        <v>/ _ + n</v>
      </c>
      <c r="K15" s="23" t="str">
        <f>IFERROR(__xludf.DUMMYFUNCTION("""COMPUTED_VALUE"""),"-")</f>
        <v>-</v>
      </c>
      <c r="L15" s="23" t="str">
        <f>IFERROR(__xludf.DUMMYFUNCTION("""COMPUTED_VALUE"""),"rišin &gt; niši")</f>
        <v>rišin &gt; niši</v>
      </c>
      <c r="M15" s="23" t="str">
        <f>IFERROR(__xludf.DUMMYFUNCTION("""COMPUTED_VALUE"""),"year")</f>
        <v>year</v>
      </c>
      <c r="N15" s="23" t="str">
        <f>IFERROR(__xludf.DUMMYFUNCTION("""COMPUTED_VALUE"""),"‘year’")</f>
        <v>‘year’</v>
      </c>
      <c r="O15" s="23"/>
      <c r="P15" s="23" t="str">
        <f>IFERROR(__xludf.DUMMYFUNCTION("""COMPUTED_VALUE"""),"(Magomedbekova, 1971)")</f>
        <v>(Magomedbekova, 1971)</v>
      </c>
      <c r="Q15" s="23">
        <f>IFERROR(__xludf.DUMMYFUNCTION("""COMPUTED_VALUE"""),21.0)</f>
        <v>21</v>
      </c>
      <c r="R15" s="23" t="str">
        <f>IFERROR(__xludf.DUMMYFUNCTION("""COMPUTED_VALUE"""),"Karata")</f>
        <v>Karata</v>
      </c>
      <c r="S15" s="23" t="str">
        <f>IFERROR(__xludf.DUMMYFUNCTION("""COMPUTED_VALUE"""),"Karata")</f>
        <v>Karata</v>
      </c>
      <c r="T15" s="23" t="str">
        <f>IFERROR(__xludf.DUMMYFUNCTION("""COMPUTED_VALUE"""),"Karata")</f>
        <v>Karata</v>
      </c>
    </row>
    <row r="16">
      <c r="E16" s="23">
        <f>IFERROR(__xludf.DUMMYFUNCTION("""COMPUTED_VALUE"""),561.0)</f>
        <v>561</v>
      </c>
      <c r="F16" s="23" t="str">
        <f>IFERROR(__xludf.DUMMYFUNCTION("""COMPUTED_VALUE"""),"assimilation")</f>
        <v>assimilation</v>
      </c>
      <c r="G16" s="23" t="str">
        <f>IFERROR(__xludf.DUMMYFUNCTION("""COMPUTED_VALUE"""),"r-assimilation")</f>
        <v>r-assimilation</v>
      </c>
      <c r="H16" s="26" t="str">
        <f>IFERROR(__xludf.DUMMYFUNCTION("""COMPUTED_VALUE"""),"р")</f>
        <v>р</v>
      </c>
      <c r="I16" s="26" t="str">
        <f>IFERROR(__xludf.DUMMYFUNCTION("""COMPUTED_VALUE"""),"л")</f>
        <v>л</v>
      </c>
      <c r="J16" s="23" t="str">
        <f>IFERROR(__xludf.DUMMYFUNCTION("""COMPUTED_VALUE"""),"/ _ # + л")</f>
        <v>/ _ # + л</v>
      </c>
      <c r="K16" s="23" t="str">
        <f>IFERROR(__xludf.DUMMYFUNCTION("""COMPUTED_VALUE"""),"-")</f>
        <v>-</v>
      </c>
      <c r="L16" s="23" t="str">
        <f>IFERROR(__xludf.DUMMYFUNCTION("""COMPUTED_VALUE"""),"usturla &gt; ustul:a")</f>
        <v>usturla &gt; ustul:a</v>
      </c>
      <c r="M16" s="23"/>
      <c r="N16" s="23" t="str">
        <f>IFERROR(__xludf.DUMMYFUNCTION("""COMPUTED_VALUE"""),"‘’ &gt; ‘’")</f>
        <v>‘’ &gt; ‘’</v>
      </c>
      <c r="O16" s="23"/>
      <c r="P16" s="23" t="str">
        <f>IFERROR(__xludf.DUMMYFUNCTION("""COMPUTED_VALUE"""),"(Magomedova, 2012)")</f>
        <v>(Magomedova, 2012)</v>
      </c>
      <c r="Q16" s="23">
        <f>IFERROR(__xludf.DUMMYFUNCTION("""COMPUTED_VALUE"""),58.0)</f>
        <v>58</v>
      </c>
      <c r="R16" s="23" t="str">
        <f>IFERROR(__xludf.DUMMYFUNCTION("""COMPUTED_VALUE"""),"Tindi")</f>
        <v>Tindi</v>
      </c>
      <c r="S16" s="23" t="str">
        <f>IFERROR(__xludf.DUMMYFUNCTION("""COMPUTED_VALUE"""),"Tindi")</f>
        <v>Tindi</v>
      </c>
      <c r="T16" s="23" t="str">
        <f>IFERROR(__xludf.DUMMYFUNCTION("""COMPUTED_VALUE"""),"Tindi")</f>
        <v>Tindi</v>
      </c>
    </row>
    <row r="17">
      <c r="E17" s="23">
        <f>IFERROR(__xludf.DUMMYFUNCTION("""COMPUTED_VALUE"""),606.0)</f>
        <v>606</v>
      </c>
      <c r="F17" s="23" t="str">
        <f>IFERROR(__xludf.DUMMYFUNCTION("""COMPUTED_VALUE"""),"assimilation")</f>
        <v>assimilation</v>
      </c>
      <c r="G17" s="23" t="str">
        <f>IFERROR(__xludf.DUMMYFUNCTION("""COMPUTED_VALUE"""),"r-assimilation")</f>
        <v>r-assimilation</v>
      </c>
      <c r="H17" s="26" t="str">
        <f>IFERROR(__xludf.DUMMYFUNCTION("""COMPUTED_VALUE"""),"р")</f>
        <v>р</v>
      </c>
      <c r="I17" s="26" t="str">
        <f>IFERROR(__xludf.DUMMYFUNCTION("""COMPUTED_VALUE"""),"л")</f>
        <v>л</v>
      </c>
      <c r="J17" s="23" t="str">
        <f>IFERROR(__xludf.DUMMYFUNCTION("""COMPUTED_VALUE"""),"/ _ + л")</f>
        <v>/ _ + л</v>
      </c>
      <c r="K17" s="23" t="str">
        <f>IFERROR(__xludf.DUMMYFUNCTION("""COMPUTED_VALUE"""),"-")</f>
        <v>-</v>
      </c>
      <c r="L17" s="23" t="str">
        <f>IFERROR(__xludf.DUMMYFUNCTION("""COMPUTED_VALUE"""),"&gt;")</f>
        <v>&gt;</v>
      </c>
      <c r="M17" s="23"/>
      <c r="N17" s="23" t="str">
        <f>IFERROR(__xludf.DUMMYFUNCTION("""COMPUTED_VALUE"""),"‘’ &gt; ‘’")</f>
        <v>‘’ &gt; ‘’</v>
      </c>
      <c r="O17" s="23"/>
      <c r="P17" s="23" t="str">
        <f>IFERROR(__xludf.DUMMYFUNCTION("""COMPUTED_VALUE"""),"(Žirkov, 1955)")</f>
        <v>(Žirkov, 1955)</v>
      </c>
      <c r="Q17" s="23">
        <f>IFERROR(__xludf.DUMMYFUNCTION("""COMPUTED_VALUE"""),14.0)</f>
        <v>14</v>
      </c>
      <c r="R17" s="23" t="str">
        <f>IFERROR(__xludf.DUMMYFUNCTION("""COMPUTED_VALUE"""),"Lak")</f>
        <v>Lak</v>
      </c>
      <c r="S17" s="23" t="str">
        <f>IFERROR(__xludf.DUMMYFUNCTION("""COMPUTED_VALUE"""),"Lak")</f>
        <v>Lak</v>
      </c>
      <c r="T17" s="23" t="str">
        <f>IFERROR(__xludf.DUMMYFUNCTION("""COMPUTED_VALUE"""),"Standard Lak")</f>
        <v>Standard Lak</v>
      </c>
    </row>
    <row r="18">
      <c r="E18" s="23">
        <f>IFERROR(__xludf.DUMMYFUNCTION("""COMPUTED_VALUE"""),609.0)</f>
        <v>609</v>
      </c>
      <c r="F18" s="23" t="str">
        <f>IFERROR(__xludf.DUMMYFUNCTION("""COMPUTED_VALUE"""),"assimilation")</f>
        <v>assimilation</v>
      </c>
      <c r="G18" s="23" t="str">
        <f>IFERROR(__xludf.DUMMYFUNCTION("""COMPUTED_VALUE"""),"r-assimilation")</f>
        <v>r-assimilation</v>
      </c>
      <c r="H18" s="26" t="str">
        <f>IFERROR(__xludf.DUMMYFUNCTION("""COMPUTED_VALUE"""),"р")</f>
        <v>р</v>
      </c>
      <c r="I18" s="26" t="str">
        <f>IFERROR(__xludf.DUMMYFUNCTION("""COMPUTED_VALUE"""),"н")</f>
        <v>н</v>
      </c>
      <c r="J18" s="23" t="str">
        <f>IFERROR(__xludf.DUMMYFUNCTION("""COMPUTED_VALUE"""),"/ н _")</f>
        <v>/ н _</v>
      </c>
      <c r="K18" s="23" t="str">
        <f>IFERROR(__xludf.DUMMYFUNCTION("""COMPUTED_VALUE"""),"-")</f>
        <v>-</v>
      </c>
      <c r="L18" s="23" t="str">
        <f>IFERROR(__xludf.DUMMYFUNCTION("""COMPUTED_VALUE"""),"&gt;")</f>
        <v>&gt;</v>
      </c>
      <c r="M18" s="23"/>
      <c r="N18" s="23" t="str">
        <f>IFERROR(__xludf.DUMMYFUNCTION("""COMPUTED_VALUE"""),"‘’ &gt; ‘’")</f>
        <v>‘’ &gt; ‘’</v>
      </c>
      <c r="O18" s="23"/>
      <c r="P18" s="23" t="str">
        <f>IFERROR(__xludf.DUMMYFUNCTION("""COMPUTED_VALUE"""),"(Žirkov, 1955)")</f>
        <v>(Žirkov, 1955)</v>
      </c>
      <c r="Q18" s="23">
        <f>IFERROR(__xludf.DUMMYFUNCTION("""COMPUTED_VALUE"""),14.0)</f>
        <v>14</v>
      </c>
      <c r="R18" s="23" t="str">
        <f>IFERROR(__xludf.DUMMYFUNCTION("""COMPUTED_VALUE"""),"Lak")</f>
        <v>Lak</v>
      </c>
      <c r="S18" s="23" t="str">
        <f>IFERROR(__xludf.DUMMYFUNCTION("""COMPUTED_VALUE"""),"Lak")</f>
        <v>Lak</v>
      </c>
      <c r="T18" s="23" t="str">
        <f>IFERROR(__xludf.DUMMYFUNCTION("""COMPUTED_VALUE"""),"Standard Lak")</f>
        <v>Standard Lak</v>
      </c>
    </row>
    <row r="19">
      <c r="E19" s="23">
        <f>IFERROR(__xludf.DUMMYFUNCTION("""COMPUTED_VALUE"""),632.0)</f>
        <v>632</v>
      </c>
      <c r="F19" s="23" t="str">
        <f>IFERROR(__xludf.DUMMYFUNCTION("""COMPUTED_VALUE"""),"assimilation")</f>
        <v>assimilation</v>
      </c>
      <c r="G19" s="23" t="str">
        <f>IFERROR(__xludf.DUMMYFUNCTION("""COMPUTED_VALUE"""),"r-assimilation")</f>
        <v>r-assimilation</v>
      </c>
      <c r="H19" s="26" t="str">
        <f>IFERROR(__xludf.DUMMYFUNCTION("""COMPUTED_VALUE"""),"r")</f>
        <v>r</v>
      </c>
      <c r="I19" s="26" t="str">
        <f>IFERROR(__xludf.DUMMYFUNCTION("""COMPUTED_VALUE"""),"n")</f>
        <v>n</v>
      </c>
      <c r="J19" s="23" t="str">
        <f>IFERROR(__xludf.DUMMYFUNCTION("""COMPUTED_VALUE"""),"/ _ + n")</f>
        <v>/ _ + n</v>
      </c>
      <c r="K19" s="23" t="str">
        <f>IFERROR(__xludf.DUMMYFUNCTION("""COMPUTED_VALUE"""),"-")</f>
        <v>-</v>
      </c>
      <c r="L19" s="23" t="str">
        <f>IFERROR(__xludf.DUMMYFUNCTION("""COMPUTED_VALUE"""),"&gt;")</f>
        <v>&gt;</v>
      </c>
      <c r="M19" s="23"/>
      <c r="N19" s="23" t="str">
        <f>IFERROR(__xludf.DUMMYFUNCTION("""COMPUTED_VALUE"""),"‘’ &gt; ‘’")</f>
        <v>‘’ &gt; ‘’</v>
      </c>
      <c r="O19" s="23"/>
      <c r="P19" s="23" t="str">
        <f>IFERROR(__xludf.DUMMYFUNCTION("""COMPUTED_VALUE"""),"(Magometov, 1970)")</f>
        <v>(Magometov, 1970)</v>
      </c>
      <c r="Q19" s="23">
        <f>IFERROR(__xludf.DUMMYFUNCTION("""COMPUTED_VALUE"""),37.0)</f>
        <v>37</v>
      </c>
      <c r="R19" s="23" t="str">
        <f>IFERROR(__xludf.DUMMYFUNCTION("""COMPUTED_VALUE"""),"Central Agul")</f>
        <v>Central Agul</v>
      </c>
      <c r="S19" s="23" t="str">
        <f>IFERROR(__xludf.DUMMYFUNCTION("""COMPUTED_VALUE"""),"Agul")</f>
        <v>Agul</v>
      </c>
      <c r="T19" s="23" t="str">
        <f>IFERROR(__xludf.DUMMYFUNCTION("""COMPUTED_VALUE"""),"	Central")</f>
        <v>	Central</v>
      </c>
    </row>
    <row r="20">
      <c r="E20" s="23">
        <f>IFERROR(__xludf.DUMMYFUNCTION("""COMPUTED_VALUE"""),640.0)</f>
        <v>640</v>
      </c>
      <c r="F20" s="23" t="str">
        <f>IFERROR(__xludf.DUMMYFUNCTION("""COMPUTED_VALUE"""),"assimilation")</f>
        <v>assimilation</v>
      </c>
      <c r="G20" s="23" t="str">
        <f>IFERROR(__xludf.DUMMYFUNCTION("""COMPUTED_VALUE"""),"r-assimilation")</f>
        <v>r-assimilation</v>
      </c>
      <c r="H20" s="26" t="str">
        <f>IFERROR(__xludf.DUMMYFUNCTION("""COMPUTED_VALUE"""),"р")</f>
        <v>р</v>
      </c>
      <c r="I20" s="26" t="str">
        <f>IFERROR(__xludf.DUMMYFUNCTION("""COMPUTED_VALUE"""),"н")</f>
        <v>н</v>
      </c>
      <c r="J20" s="23" t="str">
        <f>IFERROR(__xludf.DUMMYFUNCTION("""COMPUTED_VALUE"""),"/ _")</f>
        <v>/ _</v>
      </c>
      <c r="K20" s="23" t="str">
        <f>IFERROR(__xludf.DUMMYFUNCTION("""COMPUTED_VALUE"""),"-")</f>
        <v>-</v>
      </c>
      <c r="L20" s="23" t="str">
        <f>IFERROR(__xludf.DUMMYFUNCTION("""COMPUTED_VALUE"""),"&gt;")</f>
        <v>&gt;</v>
      </c>
      <c r="M20" s="23"/>
      <c r="N20" s="23" t="str">
        <f>IFERROR(__xludf.DUMMYFUNCTION("""COMPUTED_VALUE"""),"‘’ &gt; ‘’")</f>
        <v>‘’ &gt; ‘’</v>
      </c>
      <c r="O20" s="23"/>
      <c r="P20" s="23" t="str">
        <f>IFERROR(__xludf.DUMMYFUNCTION("""COMPUTED_VALUE"""),"(Saadiev, 1972)")</f>
        <v>(Saadiev, 1972)</v>
      </c>
      <c r="Q20" s="23">
        <f>IFERROR(__xludf.DUMMYFUNCTION("""COMPUTED_VALUE"""),15.0)</f>
        <v>15</v>
      </c>
      <c r="R20" s="23" t="str">
        <f>IFERROR(__xludf.DUMMYFUNCTION("""COMPUTED_VALUE"""),"Kryz")</f>
        <v>Kryz</v>
      </c>
      <c r="S20" s="23" t="str">
        <f>IFERROR(__xludf.DUMMYFUNCTION("""COMPUTED_VALUE"""),"Kryz")</f>
        <v>Kryz</v>
      </c>
      <c r="T20" s="23" t="str">
        <f>IFERROR(__xludf.DUMMYFUNCTION("""COMPUTED_VALUE"""),"Kryz")</f>
        <v>Kryz</v>
      </c>
    </row>
    <row r="21">
      <c r="H21" s="26"/>
      <c r="I21" s="26"/>
    </row>
    <row r="22">
      <c r="H22" s="26"/>
      <c r="I22" s="26"/>
    </row>
    <row r="23">
      <c r="H23" s="26"/>
      <c r="I23" s="26"/>
    </row>
    <row r="24">
      <c r="H24" s="26"/>
      <c r="I24" s="26"/>
    </row>
    <row r="25">
      <c r="H25" s="26"/>
      <c r="I25" s="26"/>
    </row>
    <row r="26">
      <c r="E26" s="28" t="s">
        <v>1795</v>
      </c>
      <c r="H26" s="26"/>
      <c r="I26" s="26"/>
    </row>
    <row r="27">
      <c r="H27" s="26"/>
      <c r="I27" s="26"/>
    </row>
    <row r="28">
      <c r="E28" s="25" t="s">
        <v>1786</v>
      </c>
      <c r="H28" s="26"/>
      <c r="I28" s="26"/>
    </row>
    <row r="29">
      <c r="E29" s="25" t="s">
        <v>1796</v>
      </c>
      <c r="H29" s="26"/>
      <c r="I29" s="26"/>
    </row>
    <row r="30">
      <c r="E30" s="25" t="s">
        <v>1793</v>
      </c>
      <c r="H30" s="26"/>
      <c r="I30" s="26"/>
    </row>
    <row r="31">
      <c r="H31" s="26"/>
      <c r="I31" s="26"/>
    </row>
    <row r="32">
      <c r="H32" s="26"/>
      <c r="I32" s="26"/>
    </row>
    <row r="33">
      <c r="H33" s="26"/>
      <c r="I33" s="26"/>
    </row>
    <row r="34">
      <c r="H34" s="26"/>
      <c r="I34" s="26"/>
    </row>
    <row r="35">
      <c r="H35" s="26"/>
      <c r="I35" s="26"/>
    </row>
    <row r="36">
      <c r="H36" s="26"/>
      <c r="I36" s="26"/>
    </row>
    <row r="37">
      <c r="H37" s="26"/>
      <c r="I37" s="26"/>
    </row>
    <row r="38">
      <c r="H38" s="26"/>
      <c r="I38" s="26"/>
    </row>
    <row r="39">
      <c r="H39" s="26"/>
      <c r="I39" s="26"/>
    </row>
    <row r="40">
      <c r="H40" s="26"/>
      <c r="I40" s="26"/>
    </row>
    <row r="41">
      <c r="H41" s="26"/>
      <c r="I41" s="26"/>
    </row>
    <row r="42">
      <c r="H42" s="26"/>
      <c r="I42" s="26"/>
    </row>
    <row r="43">
      <c r="H43" s="26"/>
      <c r="I43" s="26"/>
    </row>
    <row r="44">
      <c r="H44" s="26"/>
      <c r="I44" s="26"/>
    </row>
    <row r="45">
      <c r="H45" s="26"/>
      <c r="I45" s="26"/>
    </row>
    <row r="46">
      <c r="H46" s="26"/>
      <c r="I46" s="26"/>
    </row>
    <row r="47">
      <c r="H47" s="26"/>
      <c r="I47" s="26"/>
    </row>
    <row r="48">
      <c r="H48" s="26"/>
      <c r="I48" s="26"/>
    </row>
    <row r="49">
      <c r="H49" s="26"/>
      <c r="I49" s="26"/>
    </row>
    <row r="50">
      <c r="H50" s="26"/>
      <c r="I50" s="26"/>
    </row>
    <row r="51">
      <c r="H51" s="26"/>
      <c r="I51" s="26"/>
    </row>
    <row r="52">
      <c r="H52" s="26"/>
      <c r="I52" s="26"/>
    </row>
    <row r="53">
      <c r="H53" s="26"/>
      <c r="I53" s="26"/>
    </row>
    <row r="54">
      <c r="H54" s="26"/>
      <c r="I54" s="26"/>
    </row>
    <row r="55">
      <c r="H55" s="26"/>
      <c r="I55" s="26"/>
    </row>
    <row r="56">
      <c r="H56" s="26"/>
      <c r="I56" s="26"/>
    </row>
    <row r="57">
      <c r="H57" s="26"/>
      <c r="I57" s="26"/>
    </row>
    <row r="58">
      <c r="H58" s="26"/>
      <c r="I58" s="26"/>
    </row>
    <row r="59">
      <c r="H59" s="26"/>
      <c r="I59" s="26"/>
    </row>
    <row r="60">
      <c r="H60" s="26"/>
      <c r="I60" s="26"/>
    </row>
    <row r="61">
      <c r="H61" s="26"/>
      <c r="I61" s="26"/>
    </row>
    <row r="62">
      <c r="H62" s="26"/>
      <c r="I62" s="26"/>
    </row>
    <row r="63">
      <c r="H63" s="26"/>
      <c r="I63" s="26"/>
    </row>
    <row r="64">
      <c r="H64" s="26"/>
      <c r="I64" s="26"/>
    </row>
    <row r="65">
      <c r="H65" s="26"/>
      <c r="I65" s="26"/>
    </row>
    <row r="66">
      <c r="H66" s="26"/>
      <c r="I66" s="26"/>
    </row>
    <row r="67">
      <c r="H67" s="26"/>
      <c r="I67" s="26"/>
    </row>
    <row r="68">
      <c r="H68" s="26"/>
      <c r="I68" s="26"/>
    </row>
    <row r="69">
      <c r="H69" s="26"/>
      <c r="I69" s="26"/>
    </row>
    <row r="70">
      <c r="H70" s="26"/>
      <c r="I70" s="26"/>
    </row>
    <row r="71">
      <c r="H71" s="26"/>
      <c r="I71" s="26"/>
    </row>
    <row r="72">
      <c r="H72" s="26"/>
      <c r="I72" s="26"/>
    </row>
    <row r="73">
      <c r="H73" s="26"/>
      <c r="I73" s="26"/>
    </row>
    <row r="74">
      <c r="H74" s="26"/>
      <c r="I74" s="26"/>
    </row>
    <row r="75">
      <c r="H75" s="26"/>
      <c r="I75" s="26"/>
    </row>
    <row r="76">
      <c r="H76" s="26"/>
      <c r="I76" s="26"/>
    </row>
    <row r="77">
      <c r="H77" s="26"/>
      <c r="I77" s="26"/>
    </row>
    <row r="78">
      <c r="H78" s="26"/>
      <c r="I78" s="26"/>
    </row>
    <row r="79">
      <c r="H79" s="26"/>
      <c r="I79" s="26"/>
    </row>
    <row r="80">
      <c r="H80" s="26"/>
      <c r="I80" s="26"/>
    </row>
    <row r="81">
      <c r="H81" s="26"/>
      <c r="I81" s="26"/>
    </row>
    <row r="82">
      <c r="H82" s="26"/>
      <c r="I82" s="26"/>
    </row>
    <row r="83">
      <c r="H83" s="26"/>
      <c r="I83" s="26"/>
    </row>
    <row r="84">
      <c r="H84" s="26"/>
      <c r="I84" s="26"/>
    </row>
    <row r="85">
      <c r="H85" s="26"/>
      <c r="I85" s="26"/>
    </row>
    <row r="86">
      <c r="H86" s="26"/>
      <c r="I86" s="26"/>
    </row>
    <row r="87">
      <c r="H87" s="26"/>
      <c r="I87" s="26"/>
    </row>
    <row r="88">
      <c r="H88" s="26"/>
      <c r="I88" s="26"/>
    </row>
    <row r="89">
      <c r="H89" s="26"/>
      <c r="I89" s="26"/>
    </row>
    <row r="90">
      <c r="H90" s="26"/>
      <c r="I90" s="26"/>
    </row>
    <row r="91">
      <c r="H91" s="26"/>
      <c r="I91" s="26"/>
    </row>
    <row r="92">
      <c r="H92" s="26"/>
      <c r="I92" s="26"/>
    </row>
    <row r="93">
      <c r="H93" s="26"/>
      <c r="I93" s="26"/>
    </row>
    <row r="94">
      <c r="H94" s="26"/>
      <c r="I94" s="26"/>
    </row>
    <row r="95">
      <c r="H95" s="26"/>
      <c r="I95" s="26"/>
    </row>
    <row r="96">
      <c r="H96" s="26"/>
      <c r="I96" s="26"/>
    </row>
    <row r="97">
      <c r="H97" s="26"/>
      <c r="I97" s="26"/>
    </row>
    <row r="98">
      <c r="H98" s="26"/>
      <c r="I98" s="26"/>
    </row>
    <row r="99">
      <c r="H99" s="26"/>
      <c r="I99" s="26"/>
    </row>
    <row r="100">
      <c r="H100" s="26"/>
      <c r="I100" s="26"/>
    </row>
    <row r="101">
      <c r="H101" s="26"/>
      <c r="I101" s="26"/>
    </row>
    <row r="102">
      <c r="H102" s="26"/>
      <c r="I102" s="26"/>
    </row>
    <row r="103">
      <c r="H103" s="26"/>
      <c r="I103" s="26"/>
    </row>
    <row r="104">
      <c r="H104" s="26"/>
      <c r="I104" s="26"/>
    </row>
    <row r="105">
      <c r="H105" s="26"/>
      <c r="I105" s="26"/>
    </row>
    <row r="106">
      <c r="H106" s="26"/>
      <c r="I106" s="26"/>
    </row>
    <row r="107">
      <c r="H107" s="26"/>
      <c r="I107" s="26"/>
    </row>
    <row r="108">
      <c r="H108" s="26"/>
      <c r="I108" s="26"/>
    </row>
    <row r="109">
      <c r="H109" s="26"/>
      <c r="I109" s="26"/>
    </row>
    <row r="110">
      <c r="H110" s="26"/>
      <c r="I110" s="26"/>
    </row>
    <row r="111">
      <c r="H111" s="26"/>
      <c r="I111" s="26"/>
    </row>
    <row r="112">
      <c r="H112" s="26"/>
      <c r="I112" s="26"/>
    </row>
    <row r="113">
      <c r="H113" s="26"/>
      <c r="I113" s="26"/>
    </row>
    <row r="114">
      <c r="H114" s="26"/>
      <c r="I114" s="26"/>
    </row>
    <row r="115">
      <c r="H115" s="26"/>
      <c r="I115" s="26"/>
    </row>
    <row r="116">
      <c r="H116" s="26"/>
      <c r="I116" s="26"/>
    </row>
    <row r="117">
      <c r="H117" s="26"/>
      <c r="I117" s="26"/>
    </row>
    <row r="118">
      <c r="H118" s="26"/>
      <c r="I118" s="26"/>
    </row>
    <row r="119">
      <c r="H119" s="26"/>
      <c r="I119" s="26"/>
    </row>
    <row r="120">
      <c r="H120" s="26"/>
      <c r="I120" s="26"/>
    </row>
    <row r="121">
      <c r="H121" s="26"/>
      <c r="I121" s="26"/>
    </row>
    <row r="122">
      <c r="H122" s="26"/>
      <c r="I122" s="26"/>
    </row>
    <row r="123">
      <c r="H123" s="26"/>
      <c r="I123" s="26"/>
    </row>
    <row r="124">
      <c r="H124" s="26"/>
      <c r="I124" s="26"/>
    </row>
    <row r="125">
      <c r="H125" s="26"/>
      <c r="I125" s="26"/>
    </row>
    <row r="126">
      <c r="H126" s="26"/>
      <c r="I126" s="26"/>
    </row>
    <row r="127">
      <c r="H127" s="26"/>
      <c r="I127" s="26"/>
    </row>
    <row r="128">
      <c r="H128" s="26"/>
      <c r="I128" s="26"/>
    </row>
    <row r="129">
      <c r="H129" s="26"/>
      <c r="I129" s="26"/>
    </row>
    <row r="130">
      <c r="H130" s="26"/>
      <c r="I130" s="26"/>
    </row>
    <row r="131">
      <c r="H131" s="26"/>
      <c r="I131" s="26"/>
    </row>
    <row r="132">
      <c r="H132" s="26"/>
      <c r="I132" s="26"/>
    </row>
    <row r="133">
      <c r="H133" s="26"/>
      <c r="I133" s="26"/>
    </row>
    <row r="134">
      <c r="H134" s="26"/>
      <c r="I134" s="26"/>
    </row>
    <row r="135">
      <c r="H135" s="26"/>
      <c r="I135" s="26"/>
    </row>
    <row r="136">
      <c r="H136" s="26"/>
      <c r="I136" s="26"/>
    </row>
    <row r="137">
      <c r="H137" s="26"/>
      <c r="I137" s="26"/>
    </row>
    <row r="138">
      <c r="H138" s="26"/>
      <c r="I138" s="26"/>
    </row>
    <row r="139">
      <c r="H139" s="26"/>
      <c r="I139" s="26"/>
    </row>
    <row r="140">
      <c r="H140" s="26"/>
      <c r="I140" s="26"/>
    </row>
    <row r="141">
      <c r="H141" s="26"/>
      <c r="I141" s="26"/>
    </row>
    <row r="142">
      <c r="H142" s="26"/>
      <c r="I142" s="26"/>
    </row>
    <row r="143">
      <c r="H143" s="26"/>
      <c r="I143" s="26"/>
    </row>
    <row r="144">
      <c r="H144" s="26"/>
      <c r="I144" s="26"/>
    </row>
    <row r="145">
      <c r="H145" s="26"/>
      <c r="I145" s="26"/>
    </row>
    <row r="146">
      <c r="H146" s="26"/>
      <c r="I146" s="26"/>
    </row>
    <row r="147">
      <c r="H147" s="26"/>
      <c r="I147" s="26"/>
    </row>
    <row r="148">
      <c r="H148" s="26"/>
      <c r="I148" s="26"/>
    </row>
    <row r="149">
      <c r="H149" s="26"/>
      <c r="I149" s="26"/>
    </row>
    <row r="150">
      <c r="H150" s="26"/>
      <c r="I150" s="26"/>
    </row>
    <row r="151">
      <c r="H151" s="26"/>
      <c r="I151" s="26"/>
    </row>
    <row r="152">
      <c r="H152" s="26"/>
      <c r="I152" s="26"/>
    </row>
    <row r="153">
      <c r="H153" s="26"/>
      <c r="I153" s="26"/>
    </row>
    <row r="154">
      <c r="H154" s="26"/>
      <c r="I154" s="26"/>
    </row>
    <row r="155">
      <c r="H155" s="26"/>
      <c r="I155" s="26"/>
    </row>
    <row r="156">
      <c r="H156" s="26"/>
      <c r="I156" s="26"/>
    </row>
    <row r="157">
      <c r="H157" s="26"/>
      <c r="I157" s="26"/>
    </row>
    <row r="158">
      <c r="H158" s="26"/>
      <c r="I158" s="26"/>
    </row>
    <row r="159">
      <c r="H159" s="26"/>
      <c r="I159" s="26"/>
    </row>
    <row r="160">
      <c r="H160" s="26"/>
      <c r="I160" s="26"/>
    </row>
    <row r="161">
      <c r="H161" s="26"/>
      <c r="I161" s="26"/>
    </row>
    <row r="162">
      <c r="H162" s="26"/>
      <c r="I162" s="26"/>
    </row>
    <row r="163">
      <c r="H163" s="26"/>
      <c r="I163" s="26"/>
    </row>
    <row r="164">
      <c r="H164" s="26"/>
      <c r="I164" s="26"/>
    </row>
    <row r="165">
      <c r="H165" s="26"/>
      <c r="I165" s="26"/>
    </row>
    <row r="166">
      <c r="H166" s="26"/>
      <c r="I166" s="26"/>
    </row>
    <row r="167">
      <c r="H167" s="26"/>
      <c r="I167" s="26"/>
    </row>
    <row r="168">
      <c r="H168" s="26"/>
      <c r="I168" s="26"/>
    </row>
    <row r="169">
      <c r="H169" s="26"/>
      <c r="I169" s="26"/>
    </row>
    <row r="170">
      <c r="H170" s="26"/>
      <c r="I170" s="26"/>
    </row>
    <row r="171">
      <c r="H171" s="26"/>
      <c r="I171" s="26"/>
    </row>
    <row r="172">
      <c r="H172" s="26"/>
      <c r="I172" s="26"/>
    </row>
    <row r="173">
      <c r="H173" s="26"/>
      <c r="I173" s="26"/>
    </row>
    <row r="174">
      <c r="H174" s="26"/>
      <c r="I174" s="26"/>
    </row>
    <row r="175">
      <c r="H175" s="26"/>
      <c r="I175" s="26"/>
    </row>
    <row r="176">
      <c r="H176" s="26"/>
      <c r="I176" s="26"/>
    </row>
    <row r="177">
      <c r="H177" s="26"/>
      <c r="I177" s="26"/>
    </row>
    <row r="178">
      <c r="H178" s="26"/>
      <c r="I178" s="26"/>
    </row>
    <row r="179">
      <c r="H179" s="26"/>
      <c r="I179" s="26"/>
    </row>
    <row r="180">
      <c r="H180" s="26"/>
      <c r="I180" s="26"/>
    </row>
    <row r="181">
      <c r="H181" s="26"/>
      <c r="I181" s="26"/>
    </row>
    <row r="182">
      <c r="H182" s="26"/>
      <c r="I182" s="26"/>
    </row>
    <row r="183">
      <c r="H183" s="26"/>
      <c r="I183" s="26"/>
    </row>
    <row r="184">
      <c r="H184" s="26"/>
      <c r="I184" s="26"/>
    </row>
    <row r="185">
      <c r="H185" s="26"/>
      <c r="I185" s="26"/>
    </row>
    <row r="186">
      <c r="H186" s="26"/>
      <c r="I186" s="26"/>
    </row>
    <row r="187">
      <c r="H187" s="26"/>
      <c r="I187" s="26"/>
    </row>
    <row r="188">
      <c r="H188" s="26"/>
      <c r="I188" s="26"/>
    </row>
    <row r="189">
      <c r="H189" s="26"/>
      <c r="I189" s="26"/>
    </row>
    <row r="190">
      <c r="H190" s="26"/>
      <c r="I190" s="26"/>
    </row>
    <row r="191">
      <c r="H191" s="26"/>
      <c r="I191" s="26"/>
    </row>
    <row r="192">
      <c r="H192" s="26"/>
      <c r="I192" s="26"/>
    </row>
    <row r="193">
      <c r="H193" s="26"/>
      <c r="I193" s="26"/>
    </row>
    <row r="194">
      <c r="H194" s="26"/>
      <c r="I194" s="26"/>
    </row>
    <row r="195">
      <c r="H195" s="26"/>
      <c r="I195" s="26"/>
    </row>
    <row r="196">
      <c r="H196" s="26"/>
      <c r="I196" s="26"/>
    </row>
    <row r="197">
      <c r="H197" s="26"/>
      <c r="I197" s="26"/>
    </row>
    <row r="198">
      <c r="H198" s="26"/>
      <c r="I198" s="26"/>
    </row>
    <row r="199">
      <c r="H199" s="26"/>
      <c r="I199" s="26"/>
    </row>
    <row r="200">
      <c r="H200" s="26"/>
      <c r="I200" s="26"/>
    </row>
    <row r="201">
      <c r="H201" s="26"/>
      <c r="I201" s="26"/>
    </row>
    <row r="202">
      <c r="H202" s="26"/>
      <c r="I202" s="26"/>
    </row>
    <row r="203">
      <c r="H203" s="26"/>
      <c r="I203" s="26"/>
    </row>
    <row r="204">
      <c r="H204" s="26"/>
      <c r="I204" s="26"/>
    </row>
    <row r="205">
      <c r="H205" s="26"/>
      <c r="I205" s="26"/>
    </row>
    <row r="206">
      <c r="H206" s="26"/>
      <c r="I206" s="26"/>
    </row>
    <row r="207">
      <c r="H207" s="26"/>
      <c r="I207" s="26"/>
    </row>
    <row r="208">
      <c r="H208" s="26"/>
      <c r="I208" s="26"/>
    </row>
    <row r="209">
      <c r="H209" s="26"/>
      <c r="I209" s="26"/>
    </row>
    <row r="210">
      <c r="H210" s="26"/>
      <c r="I210" s="26"/>
    </row>
    <row r="211">
      <c r="H211" s="26"/>
      <c r="I211" s="26"/>
    </row>
    <row r="212">
      <c r="H212" s="26"/>
      <c r="I212" s="26"/>
    </row>
    <row r="213">
      <c r="H213" s="26"/>
      <c r="I213" s="26"/>
    </row>
    <row r="214">
      <c r="H214" s="26"/>
      <c r="I214" s="26"/>
    </row>
    <row r="215">
      <c r="H215" s="26"/>
      <c r="I215" s="26"/>
    </row>
    <row r="216">
      <c r="H216" s="26"/>
      <c r="I216" s="26"/>
    </row>
    <row r="217">
      <c r="H217" s="26"/>
      <c r="I217" s="26"/>
    </row>
    <row r="218">
      <c r="H218" s="26"/>
      <c r="I218" s="26"/>
    </row>
    <row r="219">
      <c r="H219" s="26"/>
      <c r="I219" s="26"/>
    </row>
    <row r="220">
      <c r="H220" s="26"/>
      <c r="I220" s="26"/>
    </row>
    <row r="221">
      <c r="H221" s="26"/>
      <c r="I221" s="26"/>
    </row>
    <row r="222">
      <c r="H222" s="26"/>
      <c r="I222" s="26"/>
    </row>
    <row r="223">
      <c r="H223" s="26"/>
      <c r="I223" s="26"/>
    </row>
    <row r="224">
      <c r="H224" s="26"/>
      <c r="I224" s="26"/>
    </row>
    <row r="225">
      <c r="H225" s="26"/>
      <c r="I225" s="26"/>
    </row>
    <row r="226">
      <c r="H226" s="26"/>
      <c r="I226" s="26"/>
    </row>
    <row r="227">
      <c r="H227" s="26"/>
      <c r="I227" s="26"/>
    </row>
    <row r="228">
      <c r="H228" s="26"/>
      <c r="I228" s="26"/>
    </row>
    <row r="229">
      <c r="H229" s="26"/>
      <c r="I229" s="26"/>
    </row>
    <row r="230">
      <c r="H230" s="26"/>
      <c r="I230" s="26"/>
    </row>
    <row r="231">
      <c r="H231" s="26"/>
      <c r="I231" s="26"/>
    </row>
    <row r="232">
      <c r="H232" s="26"/>
      <c r="I232" s="26"/>
    </row>
    <row r="233">
      <c r="H233" s="26"/>
      <c r="I233" s="26"/>
    </row>
    <row r="234">
      <c r="H234" s="26"/>
      <c r="I234" s="26"/>
    </row>
    <row r="235">
      <c r="H235" s="26"/>
      <c r="I235" s="26"/>
    </row>
    <row r="236">
      <c r="H236" s="26"/>
      <c r="I236" s="26"/>
    </row>
    <row r="237">
      <c r="H237" s="26"/>
      <c r="I237" s="26"/>
    </row>
    <row r="238">
      <c r="H238" s="26"/>
      <c r="I238" s="26"/>
    </row>
    <row r="239">
      <c r="H239" s="26"/>
      <c r="I239" s="26"/>
    </row>
    <row r="240">
      <c r="H240" s="26"/>
      <c r="I240" s="26"/>
    </row>
    <row r="241">
      <c r="H241" s="26"/>
      <c r="I241" s="26"/>
    </row>
    <row r="242">
      <c r="H242" s="26"/>
      <c r="I242" s="26"/>
    </row>
    <row r="243">
      <c r="H243" s="26"/>
      <c r="I243" s="26"/>
    </row>
    <row r="244">
      <c r="H244" s="26"/>
      <c r="I244" s="26"/>
    </row>
    <row r="245">
      <c r="H245" s="26"/>
      <c r="I245" s="26"/>
    </row>
    <row r="246">
      <c r="H246" s="26"/>
      <c r="I246" s="26"/>
    </row>
    <row r="247">
      <c r="H247" s="26"/>
      <c r="I247" s="26"/>
    </row>
    <row r="248">
      <c r="H248" s="26"/>
      <c r="I248" s="26"/>
    </row>
    <row r="249">
      <c r="H249" s="26"/>
      <c r="I249" s="26"/>
    </row>
    <row r="250">
      <c r="H250" s="26"/>
      <c r="I250" s="26"/>
    </row>
    <row r="251">
      <c r="H251" s="26"/>
      <c r="I251" s="26"/>
    </row>
    <row r="252">
      <c r="H252" s="26"/>
      <c r="I252" s="26"/>
    </row>
    <row r="253">
      <c r="H253" s="26"/>
      <c r="I253" s="26"/>
    </row>
    <row r="254">
      <c r="H254" s="26"/>
      <c r="I254" s="26"/>
    </row>
    <row r="255">
      <c r="H255" s="26"/>
      <c r="I255" s="26"/>
    </row>
    <row r="256">
      <c r="H256" s="26"/>
      <c r="I256" s="26"/>
    </row>
    <row r="257">
      <c r="H257" s="26"/>
      <c r="I257" s="26"/>
    </row>
    <row r="258">
      <c r="H258" s="26"/>
      <c r="I258" s="26"/>
    </row>
    <row r="259">
      <c r="H259" s="26"/>
      <c r="I259" s="26"/>
    </row>
    <row r="260">
      <c r="H260" s="26"/>
      <c r="I260" s="26"/>
    </row>
    <row r="261">
      <c r="H261" s="26"/>
      <c r="I261" s="26"/>
    </row>
    <row r="262">
      <c r="H262" s="26"/>
      <c r="I262" s="26"/>
    </row>
    <row r="263">
      <c r="H263" s="26"/>
      <c r="I263" s="26"/>
    </row>
    <row r="264">
      <c r="H264" s="26"/>
      <c r="I264" s="26"/>
    </row>
    <row r="265">
      <c r="H265" s="26"/>
      <c r="I265" s="26"/>
    </row>
    <row r="266">
      <c r="H266" s="26"/>
      <c r="I266" s="26"/>
    </row>
    <row r="267">
      <c r="H267" s="26"/>
      <c r="I267" s="26"/>
    </row>
    <row r="268">
      <c r="H268" s="26"/>
      <c r="I268" s="26"/>
    </row>
    <row r="269">
      <c r="H269" s="26"/>
      <c r="I269" s="26"/>
    </row>
    <row r="270">
      <c r="H270" s="26"/>
      <c r="I270" s="26"/>
    </row>
    <row r="271">
      <c r="H271" s="26"/>
      <c r="I271" s="26"/>
    </row>
    <row r="272">
      <c r="H272" s="26"/>
      <c r="I272" s="26"/>
    </row>
    <row r="273">
      <c r="H273" s="26"/>
      <c r="I273" s="26"/>
    </row>
    <row r="274">
      <c r="H274" s="26"/>
      <c r="I274" s="26"/>
    </row>
    <row r="275">
      <c r="H275" s="26"/>
      <c r="I275" s="26"/>
    </row>
    <row r="276">
      <c r="H276" s="26"/>
      <c r="I276" s="26"/>
    </row>
    <row r="277">
      <c r="H277" s="26"/>
      <c r="I277" s="26"/>
    </row>
    <row r="278">
      <c r="H278" s="26"/>
      <c r="I278" s="26"/>
    </row>
    <row r="279">
      <c r="H279" s="26"/>
      <c r="I279" s="26"/>
    </row>
    <row r="280">
      <c r="H280" s="26"/>
      <c r="I280" s="26"/>
    </row>
    <row r="281">
      <c r="H281" s="26"/>
      <c r="I281" s="26"/>
    </row>
    <row r="282">
      <c r="H282" s="26"/>
      <c r="I282" s="26"/>
    </row>
    <row r="283">
      <c r="H283" s="26"/>
      <c r="I283" s="26"/>
    </row>
    <row r="284">
      <c r="H284" s="26"/>
      <c r="I284" s="26"/>
    </row>
    <row r="285">
      <c r="H285" s="26"/>
      <c r="I285" s="26"/>
    </row>
    <row r="286">
      <c r="H286" s="26"/>
      <c r="I286" s="26"/>
    </row>
    <row r="287">
      <c r="H287" s="26"/>
      <c r="I287" s="26"/>
    </row>
    <row r="288">
      <c r="H288" s="26"/>
      <c r="I288" s="26"/>
    </row>
    <row r="289">
      <c r="H289" s="26"/>
      <c r="I289" s="26"/>
    </row>
    <row r="290">
      <c r="H290" s="26"/>
      <c r="I290" s="26"/>
    </row>
    <row r="291">
      <c r="H291" s="26"/>
      <c r="I291" s="26"/>
    </row>
    <row r="292">
      <c r="H292" s="26"/>
      <c r="I292" s="26"/>
    </row>
    <row r="293">
      <c r="H293" s="26"/>
      <c r="I293" s="26"/>
    </row>
    <row r="294">
      <c r="H294" s="26"/>
      <c r="I294" s="26"/>
    </row>
    <row r="295">
      <c r="H295" s="26"/>
      <c r="I295" s="26"/>
    </row>
    <row r="296">
      <c r="H296" s="26"/>
      <c r="I296" s="26"/>
    </row>
    <row r="297">
      <c r="H297" s="26"/>
      <c r="I297" s="26"/>
    </row>
    <row r="298">
      <c r="H298" s="26"/>
      <c r="I298" s="26"/>
    </row>
    <row r="299">
      <c r="H299" s="26"/>
      <c r="I299" s="26"/>
    </row>
    <row r="300">
      <c r="H300" s="26"/>
      <c r="I300" s="26"/>
    </row>
    <row r="301">
      <c r="H301" s="26"/>
      <c r="I301" s="26"/>
    </row>
    <row r="302">
      <c r="H302" s="26"/>
      <c r="I302" s="26"/>
    </row>
    <row r="303">
      <c r="H303" s="26"/>
      <c r="I303" s="26"/>
    </row>
    <row r="304">
      <c r="H304" s="26"/>
      <c r="I304" s="26"/>
    </row>
    <row r="305">
      <c r="H305" s="26"/>
      <c r="I305" s="26"/>
    </row>
    <row r="306">
      <c r="H306" s="26"/>
      <c r="I306" s="26"/>
    </row>
    <row r="307">
      <c r="H307" s="26"/>
      <c r="I307" s="26"/>
    </row>
    <row r="308">
      <c r="H308" s="26"/>
      <c r="I308" s="26"/>
    </row>
    <row r="309">
      <c r="H309" s="26"/>
      <c r="I309" s="26"/>
    </row>
    <row r="310">
      <c r="H310" s="26"/>
      <c r="I310" s="26"/>
    </row>
    <row r="311">
      <c r="H311" s="26"/>
      <c r="I311" s="26"/>
    </row>
    <row r="312">
      <c r="H312" s="26"/>
      <c r="I312" s="26"/>
    </row>
    <row r="313">
      <c r="H313" s="26"/>
      <c r="I313" s="26"/>
    </row>
    <row r="314">
      <c r="H314" s="26"/>
      <c r="I314" s="26"/>
    </row>
    <row r="315">
      <c r="H315" s="26"/>
      <c r="I315" s="26"/>
    </row>
    <row r="316">
      <c r="H316" s="26"/>
      <c r="I316" s="26"/>
    </row>
    <row r="317">
      <c r="H317" s="26"/>
      <c r="I317" s="26"/>
    </row>
    <row r="318">
      <c r="H318" s="26"/>
      <c r="I318" s="26"/>
    </row>
    <row r="319">
      <c r="H319" s="26"/>
      <c r="I319" s="26"/>
    </row>
    <row r="320">
      <c r="H320" s="26"/>
      <c r="I320" s="26"/>
    </row>
    <row r="321">
      <c r="H321" s="26"/>
      <c r="I321" s="26"/>
    </row>
    <row r="322">
      <c r="H322" s="26"/>
      <c r="I322" s="26"/>
    </row>
    <row r="323">
      <c r="H323" s="26"/>
      <c r="I323" s="26"/>
    </row>
    <row r="324">
      <c r="H324" s="26"/>
      <c r="I324" s="26"/>
    </row>
    <row r="325">
      <c r="H325" s="26"/>
      <c r="I325" s="26"/>
    </row>
    <row r="326">
      <c r="H326" s="26"/>
      <c r="I326" s="26"/>
    </row>
    <row r="327">
      <c r="H327" s="26"/>
      <c r="I327" s="26"/>
    </row>
    <row r="328">
      <c r="H328" s="26"/>
      <c r="I328" s="26"/>
    </row>
    <row r="329">
      <c r="H329" s="26"/>
      <c r="I329" s="26"/>
    </row>
    <row r="330">
      <c r="H330" s="26"/>
      <c r="I330" s="26"/>
    </row>
    <row r="331">
      <c r="H331" s="26"/>
      <c r="I331" s="26"/>
    </row>
    <row r="332">
      <c r="H332" s="26"/>
      <c r="I332" s="26"/>
    </row>
    <row r="333">
      <c r="H333" s="26"/>
      <c r="I333" s="26"/>
    </row>
    <row r="334">
      <c r="H334" s="26"/>
      <c r="I334" s="26"/>
    </row>
    <row r="335">
      <c r="H335" s="26"/>
      <c r="I335" s="26"/>
    </row>
    <row r="336">
      <c r="H336" s="26"/>
      <c r="I336" s="26"/>
    </row>
    <row r="337">
      <c r="H337" s="26"/>
      <c r="I337" s="26"/>
    </row>
    <row r="338">
      <c r="H338" s="26"/>
      <c r="I338" s="26"/>
    </row>
    <row r="339">
      <c r="H339" s="26"/>
      <c r="I339" s="26"/>
    </row>
    <row r="340">
      <c r="H340" s="26"/>
      <c r="I340" s="26"/>
    </row>
    <row r="341">
      <c r="H341" s="26"/>
      <c r="I341" s="26"/>
    </row>
    <row r="342">
      <c r="H342" s="26"/>
      <c r="I342" s="26"/>
    </row>
    <row r="343">
      <c r="H343" s="26"/>
      <c r="I343" s="26"/>
    </row>
    <row r="344">
      <c r="H344" s="26"/>
      <c r="I344" s="26"/>
    </row>
    <row r="345">
      <c r="H345" s="26"/>
      <c r="I345" s="26"/>
    </row>
    <row r="346">
      <c r="H346" s="26"/>
      <c r="I346" s="26"/>
    </row>
    <row r="347">
      <c r="H347" s="26"/>
      <c r="I347" s="26"/>
    </row>
    <row r="348">
      <c r="H348" s="26"/>
      <c r="I348" s="26"/>
    </row>
    <row r="349">
      <c r="H349" s="26"/>
      <c r="I349" s="26"/>
    </row>
    <row r="350">
      <c r="H350" s="26"/>
      <c r="I350" s="26"/>
    </row>
    <row r="351">
      <c r="H351" s="26"/>
      <c r="I351" s="26"/>
    </row>
    <row r="352">
      <c r="H352" s="26"/>
      <c r="I352" s="26"/>
    </row>
    <row r="353">
      <c r="H353" s="26"/>
      <c r="I353" s="26"/>
    </row>
    <row r="354">
      <c r="H354" s="26"/>
      <c r="I354" s="26"/>
    </row>
    <row r="355">
      <c r="H355" s="26"/>
      <c r="I355" s="26"/>
    </row>
    <row r="356">
      <c r="H356" s="26"/>
      <c r="I356" s="26"/>
    </row>
    <row r="357">
      <c r="H357" s="26"/>
      <c r="I357" s="26"/>
    </row>
    <row r="358">
      <c r="H358" s="26"/>
      <c r="I358" s="26"/>
    </row>
    <row r="359">
      <c r="H359" s="26"/>
      <c r="I359" s="26"/>
    </row>
    <row r="360">
      <c r="H360" s="26"/>
      <c r="I360" s="26"/>
    </row>
    <row r="361">
      <c r="H361" s="26"/>
      <c r="I361" s="26"/>
    </row>
    <row r="362">
      <c r="H362" s="26"/>
      <c r="I362" s="26"/>
    </row>
    <row r="363">
      <c r="H363" s="26"/>
      <c r="I363" s="26"/>
    </row>
    <row r="364">
      <c r="H364" s="26"/>
      <c r="I364" s="26"/>
    </row>
    <row r="365">
      <c r="H365" s="26"/>
      <c r="I365" s="26"/>
    </row>
    <row r="366">
      <c r="H366" s="26"/>
      <c r="I366" s="26"/>
    </row>
    <row r="367">
      <c r="H367" s="26"/>
      <c r="I367" s="26"/>
    </row>
    <row r="368">
      <c r="H368" s="26"/>
      <c r="I368" s="26"/>
    </row>
    <row r="369">
      <c r="H369" s="26"/>
      <c r="I369" s="26"/>
    </row>
    <row r="370">
      <c r="H370" s="26"/>
      <c r="I370" s="26"/>
    </row>
    <row r="371">
      <c r="H371" s="26"/>
      <c r="I371" s="26"/>
    </row>
    <row r="372">
      <c r="H372" s="26"/>
      <c r="I372" s="26"/>
    </row>
    <row r="373">
      <c r="H373" s="26"/>
      <c r="I373" s="26"/>
    </row>
    <row r="374">
      <c r="H374" s="26"/>
      <c r="I374" s="26"/>
    </row>
    <row r="375">
      <c r="H375" s="26"/>
      <c r="I375" s="26"/>
    </row>
    <row r="376">
      <c r="H376" s="26"/>
      <c r="I376" s="26"/>
    </row>
    <row r="377">
      <c r="H377" s="26"/>
      <c r="I377" s="26"/>
    </row>
    <row r="378">
      <c r="H378" s="26"/>
      <c r="I378" s="26"/>
    </row>
    <row r="379">
      <c r="H379" s="26"/>
      <c r="I379" s="26"/>
    </row>
    <row r="380">
      <c r="H380" s="26"/>
      <c r="I380" s="26"/>
    </row>
    <row r="381">
      <c r="H381" s="26"/>
      <c r="I381" s="26"/>
    </row>
    <row r="382">
      <c r="H382" s="26"/>
      <c r="I382" s="26"/>
    </row>
    <row r="383">
      <c r="H383" s="26"/>
      <c r="I383" s="26"/>
    </row>
    <row r="384">
      <c r="H384" s="26"/>
      <c r="I384" s="26"/>
    </row>
    <row r="385">
      <c r="H385" s="26"/>
      <c r="I385" s="26"/>
    </row>
    <row r="386">
      <c r="H386" s="26"/>
      <c r="I386" s="26"/>
    </row>
    <row r="387">
      <c r="H387" s="26"/>
      <c r="I387" s="26"/>
    </row>
    <row r="388">
      <c r="H388" s="26"/>
      <c r="I388" s="26"/>
    </row>
    <row r="389">
      <c r="H389" s="26"/>
      <c r="I389" s="26"/>
    </row>
    <row r="390">
      <c r="H390" s="26"/>
      <c r="I390" s="26"/>
    </row>
    <row r="391">
      <c r="H391" s="26"/>
      <c r="I391" s="26"/>
    </row>
    <row r="392">
      <c r="H392" s="26"/>
      <c r="I392" s="26"/>
    </row>
    <row r="393">
      <c r="H393" s="26"/>
      <c r="I393" s="26"/>
    </row>
    <row r="394">
      <c r="H394" s="26"/>
      <c r="I394" s="26"/>
    </row>
    <row r="395">
      <c r="H395" s="26"/>
      <c r="I395" s="26"/>
    </row>
    <row r="396">
      <c r="H396" s="26"/>
      <c r="I396" s="26"/>
    </row>
    <row r="397">
      <c r="H397" s="26"/>
      <c r="I397" s="26"/>
    </row>
    <row r="398">
      <c r="H398" s="26"/>
      <c r="I398" s="26"/>
    </row>
    <row r="399">
      <c r="H399" s="26"/>
      <c r="I399" s="26"/>
    </row>
    <row r="400">
      <c r="H400" s="26"/>
      <c r="I400" s="26"/>
    </row>
    <row r="401">
      <c r="H401" s="26"/>
      <c r="I401" s="26"/>
    </row>
    <row r="402">
      <c r="H402" s="26"/>
      <c r="I402" s="26"/>
    </row>
    <row r="403">
      <c r="H403" s="26"/>
      <c r="I403" s="26"/>
    </row>
    <row r="404">
      <c r="H404" s="26"/>
      <c r="I404" s="26"/>
    </row>
    <row r="405">
      <c r="H405" s="26"/>
      <c r="I405" s="26"/>
    </row>
    <row r="406">
      <c r="H406" s="26"/>
      <c r="I406" s="26"/>
    </row>
    <row r="407">
      <c r="H407" s="26"/>
      <c r="I407" s="26"/>
    </row>
    <row r="408">
      <c r="H408" s="26"/>
      <c r="I408" s="26"/>
    </row>
    <row r="409">
      <c r="H409" s="26"/>
      <c r="I409" s="26"/>
    </row>
    <row r="410">
      <c r="H410" s="26"/>
      <c r="I410" s="26"/>
    </row>
    <row r="411">
      <c r="H411" s="26"/>
      <c r="I411" s="26"/>
    </row>
    <row r="412">
      <c r="H412" s="26"/>
      <c r="I412" s="26"/>
    </row>
    <row r="413">
      <c r="H413" s="26"/>
      <c r="I413" s="26"/>
    </row>
    <row r="414">
      <c r="H414" s="26"/>
      <c r="I414" s="26"/>
    </row>
    <row r="415">
      <c r="H415" s="26"/>
      <c r="I415" s="26"/>
    </row>
    <row r="416">
      <c r="H416" s="26"/>
      <c r="I416" s="26"/>
    </row>
    <row r="417">
      <c r="H417" s="26"/>
      <c r="I417" s="26"/>
    </row>
    <row r="418">
      <c r="H418" s="26"/>
      <c r="I418" s="26"/>
    </row>
    <row r="419">
      <c r="H419" s="26"/>
      <c r="I419" s="26"/>
    </row>
    <row r="420">
      <c r="H420" s="26"/>
      <c r="I420" s="26"/>
    </row>
    <row r="421">
      <c r="H421" s="26"/>
      <c r="I421" s="26"/>
    </row>
    <row r="422">
      <c r="H422" s="26"/>
      <c r="I422" s="26"/>
    </row>
    <row r="423">
      <c r="H423" s="26"/>
      <c r="I423" s="26"/>
    </row>
    <row r="424">
      <c r="H424" s="26"/>
      <c r="I424" s="26"/>
    </row>
    <row r="425">
      <c r="H425" s="26"/>
      <c r="I425" s="26"/>
    </row>
    <row r="426">
      <c r="H426" s="26"/>
      <c r="I426" s="26"/>
    </row>
    <row r="427">
      <c r="H427" s="26"/>
      <c r="I427" s="26"/>
    </row>
    <row r="428">
      <c r="H428" s="26"/>
      <c r="I428" s="26"/>
    </row>
    <row r="429">
      <c r="H429" s="26"/>
      <c r="I429" s="26"/>
    </row>
    <row r="430">
      <c r="H430" s="26"/>
      <c r="I430" s="26"/>
    </row>
    <row r="431">
      <c r="H431" s="26"/>
      <c r="I431" s="26"/>
    </row>
    <row r="432">
      <c r="H432" s="26"/>
      <c r="I432" s="26"/>
    </row>
    <row r="433">
      <c r="H433" s="26"/>
      <c r="I433" s="26"/>
    </row>
    <row r="434">
      <c r="H434" s="26"/>
      <c r="I434" s="26"/>
    </row>
    <row r="435">
      <c r="H435" s="26"/>
      <c r="I435" s="26"/>
    </row>
    <row r="436">
      <c r="H436" s="26"/>
      <c r="I436" s="26"/>
    </row>
    <row r="437">
      <c r="H437" s="26"/>
      <c r="I437" s="26"/>
    </row>
    <row r="438">
      <c r="H438" s="26"/>
      <c r="I438" s="26"/>
    </row>
    <row r="439">
      <c r="H439" s="26"/>
      <c r="I439" s="26"/>
    </row>
    <row r="440">
      <c r="H440" s="26"/>
      <c r="I440" s="26"/>
    </row>
    <row r="441">
      <c r="H441" s="26"/>
      <c r="I441" s="26"/>
    </row>
    <row r="442">
      <c r="H442" s="26"/>
      <c r="I442" s="26"/>
    </row>
    <row r="443">
      <c r="H443" s="26"/>
      <c r="I443" s="26"/>
    </row>
    <row r="444">
      <c r="H444" s="26"/>
      <c r="I444" s="26"/>
    </row>
    <row r="445">
      <c r="H445" s="26"/>
      <c r="I445" s="26"/>
    </row>
    <row r="446">
      <c r="H446" s="26"/>
      <c r="I446" s="26"/>
    </row>
    <row r="447">
      <c r="H447" s="26"/>
      <c r="I447" s="26"/>
    </row>
    <row r="448">
      <c r="H448" s="26"/>
      <c r="I448" s="26"/>
    </row>
    <row r="449">
      <c r="H449" s="26"/>
      <c r="I449" s="26"/>
    </row>
    <row r="450">
      <c r="H450" s="26"/>
      <c r="I450" s="26"/>
    </row>
    <row r="451">
      <c r="H451" s="26"/>
      <c r="I451" s="26"/>
    </row>
    <row r="452">
      <c r="H452" s="26"/>
      <c r="I452" s="26"/>
    </row>
    <row r="453">
      <c r="H453" s="26"/>
      <c r="I453" s="26"/>
    </row>
    <row r="454">
      <c r="H454" s="26"/>
      <c r="I454" s="26"/>
    </row>
    <row r="455">
      <c r="H455" s="26"/>
      <c r="I455" s="26"/>
    </row>
    <row r="456">
      <c r="H456" s="26"/>
      <c r="I456" s="26"/>
    </row>
    <row r="457">
      <c r="H457" s="26"/>
      <c r="I457" s="26"/>
    </row>
    <row r="458">
      <c r="H458" s="26"/>
      <c r="I458" s="26"/>
    </row>
    <row r="459">
      <c r="H459" s="26"/>
      <c r="I459" s="26"/>
    </row>
    <row r="460">
      <c r="H460" s="26"/>
      <c r="I460" s="26"/>
    </row>
    <row r="461">
      <c r="H461" s="26"/>
      <c r="I461" s="26"/>
    </row>
    <row r="462">
      <c r="H462" s="26"/>
      <c r="I462" s="26"/>
    </row>
    <row r="463">
      <c r="H463" s="26"/>
      <c r="I463" s="26"/>
    </row>
    <row r="464">
      <c r="H464" s="26"/>
      <c r="I464" s="26"/>
    </row>
    <row r="465">
      <c r="H465" s="26"/>
      <c r="I465" s="26"/>
    </row>
    <row r="466">
      <c r="H466" s="26"/>
      <c r="I466" s="26"/>
    </row>
    <row r="467">
      <c r="H467" s="26"/>
      <c r="I467" s="26"/>
    </row>
    <row r="468">
      <c r="H468" s="26"/>
      <c r="I468" s="26"/>
    </row>
    <row r="469">
      <c r="H469" s="26"/>
      <c r="I469" s="26"/>
    </row>
    <row r="470">
      <c r="H470" s="26"/>
      <c r="I470" s="26"/>
    </row>
    <row r="471">
      <c r="H471" s="26"/>
      <c r="I471" s="26"/>
    </row>
    <row r="472">
      <c r="H472" s="26"/>
      <c r="I472" s="26"/>
    </row>
    <row r="473">
      <c r="H473" s="26"/>
      <c r="I473" s="26"/>
    </row>
    <row r="474">
      <c r="H474" s="26"/>
      <c r="I474" s="26"/>
    </row>
    <row r="475">
      <c r="H475" s="26"/>
      <c r="I475" s="26"/>
    </row>
    <row r="476">
      <c r="H476" s="26"/>
      <c r="I476" s="26"/>
    </row>
    <row r="477">
      <c r="H477" s="26"/>
      <c r="I477" s="26"/>
    </row>
    <row r="478">
      <c r="H478" s="26"/>
      <c r="I478" s="26"/>
    </row>
    <row r="479">
      <c r="H479" s="26"/>
      <c r="I479" s="26"/>
    </row>
    <row r="480">
      <c r="H480" s="26"/>
      <c r="I480" s="26"/>
    </row>
    <row r="481">
      <c r="H481" s="26"/>
      <c r="I481" s="26"/>
    </row>
    <row r="482">
      <c r="H482" s="26"/>
      <c r="I482" s="26"/>
    </row>
    <row r="483">
      <c r="H483" s="26"/>
      <c r="I483" s="26"/>
    </row>
    <row r="484">
      <c r="H484" s="26"/>
      <c r="I484" s="26"/>
    </row>
    <row r="485">
      <c r="H485" s="26"/>
      <c r="I485" s="26"/>
    </row>
    <row r="486">
      <c r="H486" s="26"/>
      <c r="I486" s="26"/>
    </row>
    <row r="487">
      <c r="H487" s="26"/>
      <c r="I487" s="26"/>
    </row>
    <row r="488">
      <c r="H488" s="26"/>
      <c r="I488" s="26"/>
    </row>
    <row r="489">
      <c r="H489" s="26"/>
      <c r="I489" s="26"/>
    </row>
    <row r="490">
      <c r="H490" s="26"/>
      <c r="I490" s="26"/>
    </row>
    <row r="491">
      <c r="H491" s="26"/>
      <c r="I491" s="26"/>
    </row>
    <row r="492">
      <c r="H492" s="26"/>
      <c r="I492" s="26"/>
    </row>
    <row r="493">
      <c r="H493" s="26"/>
      <c r="I493" s="26"/>
    </row>
    <row r="494">
      <c r="H494" s="26"/>
      <c r="I494" s="26"/>
    </row>
    <row r="495">
      <c r="H495" s="26"/>
      <c r="I495" s="26"/>
    </row>
    <row r="496">
      <c r="H496" s="26"/>
      <c r="I496" s="26"/>
    </row>
    <row r="497">
      <c r="H497" s="26"/>
      <c r="I497" s="26"/>
    </row>
    <row r="498">
      <c r="H498" s="26"/>
      <c r="I498" s="26"/>
    </row>
    <row r="499">
      <c r="H499" s="26"/>
      <c r="I499" s="26"/>
    </row>
    <row r="500">
      <c r="H500" s="26"/>
      <c r="I500" s="26"/>
    </row>
    <row r="501">
      <c r="H501" s="26"/>
      <c r="I501" s="26"/>
    </row>
    <row r="502">
      <c r="H502" s="26"/>
      <c r="I502" s="26"/>
    </row>
    <row r="503">
      <c r="H503" s="26"/>
      <c r="I503" s="26"/>
    </row>
    <row r="504">
      <c r="H504" s="26"/>
      <c r="I504" s="26"/>
    </row>
    <row r="505">
      <c r="H505" s="26"/>
      <c r="I505" s="26"/>
    </row>
    <row r="506">
      <c r="H506" s="26"/>
      <c r="I506" s="26"/>
    </row>
    <row r="507">
      <c r="H507" s="26"/>
      <c r="I507" s="26"/>
    </row>
    <row r="508">
      <c r="H508" s="26"/>
      <c r="I508" s="26"/>
    </row>
    <row r="509">
      <c r="H509" s="26"/>
      <c r="I509" s="26"/>
    </row>
    <row r="510">
      <c r="H510" s="26"/>
      <c r="I510" s="26"/>
    </row>
    <row r="511">
      <c r="H511" s="26"/>
      <c r="I511" s="26"/>
    </row>
    <row r="512">
      <c r="H512" s="26"/>
      <c r="I512" s="26"/>
    </row>
    <row r="513">
      <c r="H513" s="26"/>
      <c r="I513" s="26"/>
    </row>
    <row r="514">
      <c r="H514" s="26"/>
      <c r="I514" s="26"/>
    </row>
    <row r="515">
      <c r="H515" s="26"/>
      <c r="I515" s="26"/>
    </row>
    <row r="516">
      <c r="H516" s="26"/>
      <c r="I516" s="26"/>
    </row>
    <row r="517">
      <c r="H517" s="26"/>
      <c r="I517" s="26"/>
    </row>
    <row r="518">
      <c r="H518" s="26"/>
      <c r="I518" s="26"/>
    </row>
    <row r="519">
      <c r="H519" s="26"/>
      <c r="I519" s="26"/>
    </row>
    <row r="520">
      <c r="H520" s="26"/>
      <c r="I520" s="26"/>
    </row>
    <row r="521">
      <c r="H521" s="26"/>
      <c r="I521" s="26"/>
    </row>
    <row r="522">
      <c r="H522" s="26"/>
      <c r="I522" s="26"/>
    </row>
    <row r="523">
      <c r="H523" s="26"/>
      <c r="I523" s="26"/>
    </row>
    <row r="524">
      <c r="H524" s="26"/>
      <c r="I524" s="26"/>
    </row>
    <row r="525">
      <c r="H525" s="26"/>
      <c r="I525" s="26"/>
    </row>
    <row r="526">
      <c r="H526" s="26"/>
      <c r="I526" s="26"/>
    </row>
    <row r="527">
      <c r="H527" s="26"/>
      <c r="I527" s="26"/>
    </row>
    <row r="528">
      <c r="H528" s="26"/>
      <c r="I528" s="26"/>
    </row>
    <row r="529">
      <c r="H529" s="26"/>
      <c r="I529" s="26"/>
    </row>
    <row r="530">
      <c r="H530" s="26"/>
      <c r="I530" s="26"/>
    </row>
    <row r="531">
      <c r="H531" s="26"/>
      <c r="I531" s="26"/>
    </row>
    <row r="532">
      <c r="H532" s="26"/>
      <c r="I532" s="26"/>
    </row>
    <row r="533">
      <c r="H533" s="26"/>
      <c r="I533" s="26"/>
    </row>
    <row r="534">
      <c r="H534" s="26"/>
      <c r="I534" s="26"/>
    </row>
    <row r="535">
      <c r="H535" s="26"/>
      <c r="I535" s="26"/>
    </row>
    <row r="536">
      <c r="H536" s="26"/>
      <c r="I536" s="26"/>
    </row>
    <row r="537">
      <c r="H537" s="26"/>
      <c r="I537" s="26"/>
    </row>
    <row r="538">
      <c r="H538" s="26"/>
      <c r="I538" s="26"/>
    </row>
    <row r="539">
      <c r="H539" s="26"/>
      <c r="I539" s="26"/>
    </row>
    <row r="540">
      <c r="H540" s="26"/>
      <c r="I540" s="26"/>
    </row>
    <row r="541">
      <c r="H541" s="26"/>
      <c r="I541" s="26"/>
    </row>
    <row r="542">
      <c r="H542" s="26"/>
      <c r="I542" s="26"/>
    </row>
    <row r="543">
      <c r="H543" s="26"/>
      <c r="I543" s="26"/>
    </row>
    <row r="544">
      <c r="H544" s="26"/>
      <c r="I544" s="26"/>
    </row>
    <row r="545">
      <c r="H545" s="26"/>
      <c r="I545" s="26"/>
    </row>
    <row r="546">
      <c r="H546" s="26"/>
      <c r="I546" s="26"/>
    </row>
    <row r="547">
      <c r="H547" s="26"/>
      <c r="I547" s="26"/>
    </row>
    <row r="548">
      <c r="H548" s="26"/>
      <c r="I548" s="26"/>
    </row>
    <row r="549">
      <c r="H549" s="26"/>
      <c r="I549" s="26"/>
    </row>
    <row r="550">
      <c r="H550" s="26"/>
      <c r="I550" s="26"/>
    </row>
    <row r="551">
      <c r="H551" s="26"/>
      <c r="I551" s="26"/>
    </row>
    <row r="552">
      <c r="H552" s="26"/>
      <c r="I552" s="26"/>
    </row>
    <row r="553">
      <c r="H553" s="26"/>
      <c r="I553" s="26"/>
    </row>
    <row r="554">
      <c r="H554" s="26"/>
      <c r="I554" s="26"/>
    </row>
    <row r="555">
      <c r="H555" s="26"/>
      <c r="I555" s="26"/>
    </row>
    <row r="556">
      <c r="H556" s="26"/>
      <c r="I556" s="26"/>
    </row>
    <row r="557">
      <c r="H557" s="26"/>
      <c r="I557" s="26"/>
    </row>
    <row r="558">
      <c r="H558" s="26"/>
      <c r="I558" s="26"/>
    </row>
    <row r="559">
      <c r="H559" s="26"/>
      <c r="I559" s="26"/>
    </row>
    <row r="560">
      <c r="H560" s="26"/>
      <c r="I560" s="26"/>
    </row>
    <row r="561">
      <c r="H561" s="26"/>
      <c r="I561" s="26"/>
    </row>
    <row r="562">
      <c r="H562" s="26"/>
      <c r="I562" s="26"/>
    </row>
    <row r="563">
      <c r="H563" s="26"/>
      <c r="I563" s="26"/>
    </row>
    <row r="564">
      <c r="H564" s="26"/>
      <c r="I564" s="26"/>
    </row>
    <row r="565">
      <c r="H565" s="26"/>
      <c r="I565" s="26"/>
    </row>
    <row r="566">
      <c r="H566" s="26"/>
      <c r="I566" s="26"/>
    </row>
    <row r="567">
      <c r="H567" s="26"/>
      <c r="I567" s="26"/>
    </row>
    <row r="568">
      <c r="H568" s="26"/>
      <c r="I568" s="26"/>
    </row>
    <row r="569">
      <c r="H569" s="26"/>
      <c r="I569" s="26"/>
    </row>
    <row r="570">
      <c r="H570" s="26"/>
      <c r="I570" s="26"/>
    </row>
    <row r="571">
      <c r="H571" s="26"/>
      <c r="I571" s="26"/>
    </row>
    <row r="572">
      <c r="H572" s="26"/>
      <c r="I572" s="26"/>
    </row>
    <row r="573">
      <c r="H573" s="26"/>
      <c r="I573" s="26"/>
    </row>
    <row r="574">
      <c r="H574" s="26"/>
      <c r="I574" s="26"/>
    </row>
    <row r="575">
      <c r="H575" s="26"/>
      <c r="I575" s="26"/>
    </row>
    <row r="576">
      <c r="H576" s="26"/>
      <c r="I576" s="26"/>
    </row>
    <row r="577">
      <c r="H577" s="26"/>
      <c r="I577" s="26"/>
    </row>
    <row r="578">
      <c r="H578" s="26"/>
      <c r="I578" s="26"/>
    </row>
    <row r="579">
      <c r="H579" s="26"/>
      <c r="I579" s="26"/>
    </row>
    <row r="580">
      <c r="H580" s="26"/>
      <c r="I580" s="26"/>
    </row>
    <row r="581">
      <c r="H581" s="26"/>
      <c r="I581" s="26"/>
    </row>
    <row r="582">
      <c r="H582" s="26"/>
      <c r="I582" s="26"/>
    </row>
    <row r="583">
      <c r="H583" s="26"/>
      <c r="I583" s="26"/>
    </row>
    <row r="584">
      <c r="H584" s="26"/>
      <c r="I584" s="26"/>
    </row>
    <row r="585">
      <c r="H585" s="26"/>
      <c r="I585" s="26"/>
    </row>
    <row r="586">
      <c r="H586" s="26"/>
      <c r="I586" s="26"/>
    </row>
    <row r="587">
      <c r="H587" s="26"/>
      <c r="I587" s="26"/>
    </row>
    <row r="588">
      <c r="H588" s="26"/>
      <c r="I588" s="26"/>
    </row>
    <row r="589">
      <c r="H589" s="26"/>
      <c r="I589" s="26"/>
    </row>
    <row r="590">
      <c r="H590" s="26"/>
      <c r="I590" s="26"/>
    </row>
    <row r="591">
      <c r="H591" s="26"/>
      <c r="I591" s="26"/>
    </row>
    <row r="592">
      <c r="H592" s="26"/>
      <c r="I592" s="26"/>
    </row>
    <row r="593">
      <c r="H593" s="26"/>
      <c r="I593" s="26"/>
    </row>
    <row r="594">
      <c r="H594" s="26"/>
      <c r="I594" s="26"/>
    </row>
    <row r="595">
      <c r="H595" s="26"/>
      <c r="I595" s="26"/>
    </row>
    <row r="596">
      <c r="H596" s="26"/>
      <c r="I596" s="26"/>
    </row>
    <row r="597">
      <c r="H597" s="26"/>
      <c r="I597" s="26"/>
    </row>
    <row r="598">
      <c r="H598" s="26"/>
      <c r="I598" s="26"/>
    </row>
    <row r="599">
      <c r="H599" s="26"/>
      <c r="I599" s="26"/>
    </row>
    <row r="600">
      <c r="H600" s="26"/>
      <c r="I600" s="26"/>
    </row>
    <row r="601">
      <c r="H601" s="26"/>
      <c r="I601" s="26"/>
    </row>
    <row r="602">
      <c r="H602" s="26"/>
      <c r="I602" s="26"/>
    </row>
    <row r="603">
      <c r="H603" s="26"/>
      <c r="I603" s="26"/>
    </row>
    <row r="604">
      <c r="H604" s="26"/>
      <c r="I604" s="26"/>
    </row>
    <row r="605">
      <c r="H605" s="26"/>
      <c r="I605" s="26"/>
    </row>
    <row r="606">
      <c r="H606" s="26"/>
      <c r="I606" s="26"/>
    </row>
    <row r="607">
      <c r="H607" s="26"/>
      <c r="I607" s="26"/>
    </row>
    <row r="608">
      <c r="H608" s="26"/>
      <c r="I608" s="26"/>
    </row>
    <row r="609">
      <c r="H609" s="26"/>
      <c r="I609" s="26"/>
    </row>
    <row r="610">
      <c r="H610" s="26"/>
      <c r="I610" s="26"/>
    </row>
    <row r="611">
      <c r="H611" s="26"/>
      <c r="I611" s="26"/>
    </row>
    <row r="612">
      <c r="H612" s="26"/>
      <c r="I612" s="26"/>
    </row>
    <row r="613">
      <c r="H613" s="26"/>
      <c r="I613" s="26"/>
    </row>
    <row r="614">
      <c r="H614" s="26"/>
      <c r="I614" s="26"/>
    </row>
    <row r="615">
      <c r="H615" s="26"/>
      <c r="I615" s="26"/>
    </row>
    <row r="616">
      <c r="H616" s="26"/>
      <c r="I616" s="26"/>
    </row>
    <row r="617">
      <c r="H617" s="26"/>
      <c r="I617" s="26"/>
    </row>
    <row r="618">
      <c r="H618" s="26"/>
      <c r="I618" s="26"/>
    </row>
    <row r="619">
      <c r="H619" s="26"/>
      <c r="I619" s="26"/>
    </row>
    <row r="620">
      <c r="H620" s="26"/>
      <c r="I620" s="26"/>
    </row>
    <row r="621">
      <c r="H621" s="26"/>
      <c r="I621" s="26"/>
    </row>
    <row r="622">
      <c r="H622" s="26"/>
      <c r="I622" s="26"/>
    </row>
    <row r="623">
      <c r="H623" s="26"/>
      <c r="I623" s="26"/>
    </row>
    <row r="624">
      <c r="H624" s="26"/>
      <c r="I624" s="26"/>
    </row>
    <row r="625">
      <c r="H625" s="26"/>
      <c r="I625" s="26"/>
    </row>
    <row r="626">
      <c r="H626" s="26"/>
      <c r="I626" s="26"/>
    </row>
    <row r="627">
      <c r="H627" s="26"/>
      <c r="I627" s="26"/>
    </row>
    <row r="628">
      <c r="H628" s="26"/>
      <c r="I628" s="26"/>
    </row>
    <row r="629">
      <c r="H629" s="26"/>
      <c r="I629" s="26"/>
    </row>
    <row r="630">
      <c r="H630" s="26"/>
      <c r="I630" s="26"/>
    </row>
    <row r="631">
      <c r="H631" s="26"/>
      <c r="I631" s="26"/>
    </row>
    <row r="632">
      <c r="H632" s="26"/>
      <c r="I632" s="26"/>
    </row>
    <row r="633">
      <c r="H633" s="26"/>
      <c r="I633" s="26"/>
    </row>
    <row r="634">
      <c r="H634" s="26"/>
      <c r="I634" s="26"/>
    </row>
    <row r="635">
      <c r="H635" s="26"/>
      <c r="I635" s="26"/>
    </row>
    <row r="636">
      <c r="H636" s="26"/>
      <c r="I636" s="26"/>
    </row>
    <row r="637">
      <c r="H637" s="26"/>
      <c r="I637" s="26"/>
    </row>
    <row r="638">
      <c r="H638" s="26"/>
      <c r="I638" s="26"/>
    </row>
    <row r="639">
      <c r="H639" s="26"/>
      <c r="I639" s="26"/>
    </row>
    <row r="640">
      <c r="H640" s="26"/>
      <c r="I640" s="26"/>
    </row>
    <row r="641">
      <c r="H641" s="26"/>
      <c r="I641" s="26"/>
    </row>
    <row r="642">
      <c r="H642" s="26"/>
      <c r="I642" s="26"/>
    </row>
    <row r="643">
      <c r="H643" s="26"/>
      <c r="I643" s="26"/>
    </row>
    <row r="644">
      <c r="H644" s="26"/>
      <c r="I644" s="26"/>
    </row>
    <row r="645">
      <c r="H645" s="26"/>
      <c r="I645" s="26"/>
    </row>
    <row r="646">
      <c r="H646" s="26"/>
      <c r="I646" s="26"/>
    </row>
    <row r="647">
      <c r="H647" s="26"/>
      <c r="I647" s="26"/>
    </row>
    <row r="648">
      <c r="H648" s="26"/>
      <c r="I648" s="26"/>
    </row>
    <row r="649">
      <c r="H649" s="26"/>
      <c r="I649" s="26"/>
    </row>
    <row r="650">
      <c r="H650" s="26"/>
      <c r="I650" s="26"/>
    </row>
    <row r="651">
      <c r="H651" s="26"/>
      <c r="I651" s="26"/>
    </row>
    <row r="652">
      <c r="H652" s="26"/>
      <c r="I652" s="26"/>
    </row>
    <row r="653">
      <c r="H653" s="26"/>
      <c r="I653" s="26"/>
    </row>
    <row r="654">
      <c r="H654" s="26"/>
      <c r="I654" s="26"/>
    </row>
    <row r="655">
      <c r="H655" s="26"/>
      <c r="I655" s="26"/>
    </row>
    <row r="656">
      <c r="H656" s="26"/>
      <c r="I656" s="26"/>
    </row>
    <row r="657">
      <c r="H657" s="26"/>
      <c r="I657" s="26"/>
    </row>
    <row r="658">
      <c r="H658" s="26"/>
      <c r="I658" s="26"/>
    </row>
    <row r="659">
      <c r="H659" s="26"/>
      <c r="I659" s="26"/>
    </row>
    <row r="660">
      <c r="H660" s="26"/>
      <c r="I660" s="26"/>
    </row>
    <row r="661">
      <c r="H661" s="26"/>
      <c r="I661" s="26"/>
    </row>
    <row r="662">
      <c r="H662" s="26"/>
      <c r="I662" s="26"/>
    </row>
    <row r="663">
      <c r="H663" s="26"/>
      <c r="I663" s="26"/>
    </row>
    <row r="664">
      <c r="H664" s="26"/>
      <c r="I664" s="26"/>
    </row>
    <row r="665">
      <c r="H665" s="26"/>
      <c r="I665" s="26"/>
    </row>
    <row r="666">
      <c r="H666" s="26"/>
      <c r="I666" s="26"/>
    </row>
    <row r="667">
      <c r="H667" s="26"/>
      <c r="I667" s="26"/>
    </row>
    <row r="668">
      <c r="H668" s="26"/>
      <c r="I668" s="26"/>
    </row>
    <row r="669">
      <c r="H669" s="26"/>
      <c r="I669" s="26"/>
    </row>
    <row r="670">
      <c r="H670" s="26"/>
      <c r="I670" s="26"/>
    </row>
    <row r="671">
      <c r="H671" s="26"/>
      <c r="I671" s="26"/>
    </row>
    <row r="672">
      <c r="H672" s="26"/>
      <c r="I672" s="26"/>
    </row>
    <row r="673">
      <c r="H673" s="26"/>
      <c r="I673" s="26"/>
    </row>
    <row r="674">
      <c r="H674" s="26"/>
      <c r="I674" s="26"/>
    </row>
    <row r="675">
      <c r="H675" s="26"/>
      <c r="I675" s="26"/>
    </row>
    <row r="676">
      <c r="H676" s="26"/>
      <c r="I676" s="26"/>
    </row>
    <row r="677">
      <c r="H677" s="26"/>
      <c r="I677" s="26"/>
    </row>
    <row r="678">
      <c r="H678" s="26"/>
      <c r="I678" s="26"/>
    </row>
    <row r="679">
      <c r="H679" s="26"/>
      <c r="I679" s="26"/>
    </row>
    <row r="680">
      <c r="H680" s="26"/>
      <c r="I680" s="26"/>
    </row>
    <row r="681">
      <c r="H681" s="26"/>
      <c r="I681" s="26"/>
    </row>
    <row r="682">
      <c r="H682" s="26"/>
      <c r="I682" s="26"/>
    </row>
    <row r="683">
      <c r="H683" s="26"/>
      <c r="I683" s="26"/>
    </row>
    <row r="684">
      <c r="H684" s="26"/>
      <c r="I684" s="26"/>
    </row>
    <row r="685">
      <c r="H685" s="26"/>
      <c r="I685" s="26"/>
    </row>
    <row r="686">
      <c r="H686" s="26"/>
      <c r="I686" s="26"/>
    </row>
    <row r="687">
      <c r="H687" s="26"/>
      <c r="I687" s="26"/>
    </row>
    <row r="688">
      <c r="H688" s="26"/>
      <c r="I688" s="26"/>
    </row>
    <row r="689">
      <c r="H689" s="26"/>
      <c r="I689" s="26"/>
    </row>
    <row r="690">
      <c r="H690" s="26"/>
      <c r="I690" s="26"/>
    </row>
    <row r="691">
      <c r="H691" s="26"/>
      <c r="I691" s="26"/>
    </row>
    <row r="692">
      <c r="H692" s="26"/>
      <c r="I692" s="26"/>
    </row>
    <row r="693">
      <c r="H693" s="26"/>
      <c r="I693" s="26"/>
    </row>
    <row r="694">
      <c r="H694" s="26"/>
      <c r="I694" s="26"/>
    </row>
    <row r="695">
      <c r="H695" s="26"/>
      <c r="I695" s="26"/>
    </row>
    <row r="696">
      <c r="H696" s="26"/>
      <c r="I696" s="26"/>
    </row>
    <row r="697">
      <c r="H697" s="26"/>
      <c r="I697" s="26"/>
    </row>
    <row r="698">
      <c r="H698" s="26"/>
      <c r="I698" s="26"/>
    </row>
    <row r="699">
      <c r="H699" s="26"/>
      <c r="I699" s="26"/>
    </row>
    <row r="700">
      <c r="H700" s="26"/>
      <c r="I700" s="26"/>
    </row>
    <row r="701">
      <c r="H701" s="26"/>
      <c r="I701" s="26"/>
    </row>
    <row r="702">
      <c r="H702" s="26"/>
      <c r="I702" s="26"/>
    </row>
    <row r="703">
      <c r="H703" s="26"/>
      <c r="I703" s="26"/>
    </row>
    <row r="704">
      <c r="H704" s="26"/>
      <c r="I704" s="26"/>
    </row>
    <row r="705">
      <c r="H705" s="26"/>
      <c r="I705" s="26"/>
    </row>
    <row r="706">
      <c r="H706" s="26"/>
      <c r="I706" s="26"/>
    </row>
    <row r="707">
      <c r="H707" s="26"/>
      <c r="I707" s="26"/>
    </row>
    <row r="708">
      <c r="H708" s="26"/>
      <c r="I708" s="26"/>
    </row>
    <row r="709">
      <c r="H709" s="26"/>
      <c r="I709" s="26"/>
    </row>
    <row r="710">
      <c r="H710" s="26"/>
      <c r="I710" s="26"/>
    </row>
    <row r="711">
      <c r="H711" s="26"/>
      <c r="I711" s="26"/>
    </row>
    <row r="712">
      <c r="H712" s="26"/>
      <c r="I712" s="26"/>
    </row>
    <row r="713">
      <c r="H713" s="26"/>
      <c r="I713" s="26"/>
    </row>
    <row r="714">
      <c r="H714" s="26"/>
      <c r="I714" s="26"/>
    </row>
    <row r="715">
      <c r="H715" s="26"/>
      <c r="I715" s="26"/>
    </row>
    <row r="716">
      <c r="H716" s="26"/>
      <c r="I716" s="26"/>
    </row>
    <row r="717">
      <c r="H717" s="26"/>
      <c r="I717" s="26"/>
    </row>
    <row r="718">
      <c r="H718" s="26"/>
      <c r="I718" s="26"/>
    </row>
    <row r="719">
      <c r="H719" s="26"/>
      <c r="I719" s="26"/>
    </row>
    <row r="720">
      <c r="H720" s="26"/>
      <c r="I720" s="26"/>
    </row>
    <row r="721">
      <c r="H721" s="26"/>
      <c r="I721" s="26"/>
    </row>
    <row r="722">
      <c r="H722" s="26"/>
      <c r="I722" s="26"/>
    </row>
    <row r="723">
      <c r="H723" s="26"/>
      <c r="I723" s="26"/>
    </row>
    <row r="724">
      <c r="H724" s="26"/>
      <c r="I724" s="26"/>
    </row>
    <row r="725">
      <c r="H725" s="26"/>
      <c r="I725" s="26"/>
    </row>
    <row r="726">
      <c r="H726" s="26"/>
      <c r="I726" s="26"/>
    </row>
    <row r="727">
      <c r="H727" s="26"/>
      <c r="I727" s="26"/>
    </row>
    <row r="728">
      <c r="H728" s="26"/>
      <c r="I728" s="26"/>
    </row>
    <row r="729">
      <c r="H729" s="26"/>
      <c r="I729" s="26"/>
    </row>
    <row r="730">
      <c r="H730" s="26"/>
      <c r="I730" s="26"/>
    </row>
    <row r="731">
      <c r="H731" s="26"/>
      <c r="I731" s="26"/>
    </row>
    <row r="732">
      <c r="H732" s="26"/>
      <c r="I732" s="26"/>
    </row>
    <row r="733">
      <c r="H733" s="26"/>
      <c r="I733" s="26"/>
    </row>
    <row r="734">
      <c r="H734" s="26"/>
      <c r="I734" s="26"/>
    </row>
    <row r="735">
      <c r="H735" s="26"/>
      <c r="I735" s="26"/>
    </row>
    <row r="736">
      <c r="H736" s="26"/>
      <c r="I736" s="26"/>
    </row>
    <row r="737">
      <c r="H737" s="26"/>
      <c r="I737" s="26"/>
    </row>
    <row r="738">
      <c r="H738" s="26"/>
      <c r="I738" s="26"/>
    </row>
    <row r="739">
      <c r="H739" s="26"/>
      <c r="I739" s="26"/>
    </row>
    <row r="740">
      <c r="H740" s="26"/>
      <c r="I740" s="26"/>
    </row>
    <row r="741">
      <c r="H741" s="26"/>
      <c r="I741" s="26"/>
    </row>
    <row r="742">
      <c r="H742" s="26"/>
      <c r="I742" s="26"/>
    </row>
    <row r="743">
      <c r="H743" s="26"/>
      <c r="I743" s="26"/>
    </row>
    <row r="744">
      <c r="H744" s="26"/>
      <c r="I744" s="26"/>
    </row>
    <row r="745">
      <c r="H745" s="26"/>
      <c r="I745" s="26"/>
    </row>
    <row r="746">
      <c r="H746" s="26"/>
      <c r="I746" s="26"/>
    </row>
    <row r="747">
      <c r="H747" s="26"/>
      <c r="I747" s="26"/>
    </row>
    <row r="748">
      <c r="H748" s="26"/>
      <c r="I748" s="26"/>
    </row>
    <row r="749">
      <c r="H749" s="26"/>
      <c r="I749" s="26"/>
    </row>
    <row r="750">
      <c r="H750" s="26"/>
      <c r="I750" s="26"/>
    </row>
    <row r="751">
      <c r="H751" s="26"/>
      <c r="I751" s="26"/>
    </row>
    <row r="752">
      <c r="H752" s="26"/>
      <c r="I752" s="26"/>
    </row>
    <row r="753">
      <c r="H753" s="26"/>
      <c r="I753" s="26"/>
    </row>
    <row r="754">
      <c r="H754" s="26"/>
      <c r="I754" s="26"/>
    </row>
    <row r="755">
      <c r="H755" s="26"/>
      <c r="I755" s="26"/>
    </row>
    <row r="756">
      <c r="H756" s="26"/>
      <c r="I756" s="26"/>
    </row>
    <row r="757">
      <c r="H757" s="26"/>
      <c r="I757" s="26"/>
    </row>
    <row r="758">
      <c r="H758" s="26"/>
      <c r="I758" s="26"/>
    </row>
    <row r="759">
      <c r="H759" s="26"/>
      <c r="I759" s="26"/>
    </row>
    <row r="760">
      <c r="H760" s="26"/>
      <c r="I760" s="26"/>
    </row>
    <row r="761">
      <c r="H761" s="26"/>
      <c r="I761" s="26"/>
    </row>
    <row r="762">
      <c r="H762" s="26"/>
      <c r="I762" s="26"/>
    </row>
    <row r="763">
      <c r="H763" s="26"/>
      <c r="I763" s="26"/>
    </row>
    <row r="764">
      <c r="H764" s="26"/>
      <c r="I764" s="26"/>
    </row>
    <row r="765">
      <c r="H765" s="26"/>
      <c r="I765" s="26"/>
    </row>
    <row r="766">
      <c r="H766" s="26"/>
      <c r="I766" s="26"/>
    </row>
    <row r="767">
      <c r="H767" s="26"/>
      <c r="I767" s="26"/>
    </row>
    <row r="768">
      <c r="H768" s="26"/>
      <c r="I768" s="26"/>
    </row>
    <row r="769">
      <c r="H769" s="26"/>
      <c r="I769" s="26"/>
    </row>
    <row r="770">
      <c r="H770" s="26"/>
      <c r="I770" s="26"/>
    </row>
    <row r="771">
      <c r="H771" s="26"/>
      <c r="I771" s="26"/>
    </row>
    <row r="772">
      <c r="H772" s="26"/>
      <c r="I772" s="26"/>
    </row>
    <row r="773">
      <c r="H773" s="26"/>
      <c r="I773" s="26"/>
    </row>
    <row r="774">
      <c r="H774" s="26"/>
      <c r="I774" s="26"/>
    </row>
    <row r="775">
      <c r="H775" s="26"/>
      <c r="I775" s="26"/>
    </row>
    <row r="776">
      <c r="H776" s="26"/>
      <c r="I776" s="26"/>
    </row>
    <row r="777">
      <c r="H777" s="26"/>
      <c r="I777" s="26"/>
    </row>
    <row r="778">
      <c r="H778" s="26"/>
      <c r="I778" s="26"/>
    </row>
    <row r="779">
      <c r="H779" s="26"/>
      <c r="I779" s="26"/>
    </row>
    <row r="780">
      <c r="H780" s="26"/>
      <c r="I780" s="26"/>
    </row>
    <row r="781">
      <c r="H781" s="26"/>
      <c r="I781" s="26"/>
    </row>
    <row r="782">
      <c r="H782" s="26"/>
      <c r="I782" s="26"/>
    </row>
    <row r="783">
      <c r="H783" s="26"/>
      <c r="I783" s="26"/>
    </row>
    <row r="784">
      <c r="H784" s="26"/>
      <c r="I784" s="26"/>
    </row>
    <row r="785">
      <c r="H785" s="26"/>
      <c r="I785" s="26"/>
    </row>
    <row r="786">
      <c r="H786" s="26"/>
      <c r="I786" s="26"/>
    </row>
    <row r="787">
      <c r="H787" s="26"/>
      <c r="I787" s="26"/>
    </row>
    <row r="788">
      <c r="H788" s="26"/>
      <c r="I788" s="26"/>
    </row>
    <row r="789">
      <c r="H789" s="26"/>
      <c r="I789" s="26"/>
    </row>
    <row r="790">
      <c r="H790" s="26"/>
      <c r="I790" s="26"/>
    </row>
    <row r="791">
      <c r="H791" s="26"/>
      <c r="I791" s="26"/>
    </row>
    <row r="792">
      <c r="H792" s="26"/>
      <c r="I792" s="26"/>
    </row>
    <row r="793">
      <c r="H793" s="26"/>
      <c r="I793" s="26"/>
    </row>
    <row r="794">
      <c r="H794" s="26"/>
      <c r="I794" s="26"/>
    </row>
    <row r="795">
      <c r="H795" s="26"/>
      <c r="I795" s="26"/>
    </row>
    <row r="796">
      <c r="H796" s="26"/>
      <c r="I796" s="26"/>
    </row>
    <row r="797">
      <c r="H797" s="26"/>
      <c r="I797" s="26"/>
    </row>
    <row r="798">
      <c r="H798" s="26"/>
      <c r="I798" s="26"/>
    </row>
    <row r="799">
      <c r="H799" s="26"/>
      <c r="I799" s="26"/>
    </row>
    <row r="800">
      <c r="H800" s="26"/>
      <c r="I800" s="26"/>
    </row>
    <row r="801">
      <c r="H801" s="26"/>
      <c r="I801" s="26"/>
    </row>
    <row r="802">
      <c r="H802" s="26"/>
      <c r="I802" s="26"/>
    </row>
    <row r="803">
      <c r="H803" s="26"/>
      <c r="I803" s="26"/>
    </row>
    <row r="804">
      <c r="H804" s="26"/>
      <c r="I804" s="26"/>
    </row>
    <row r="805">
      <c r="H805" s="26"/>
      <c r="I805" s="26"/>
    </row>
    <row r="806">
      <c r="H806" s="26"/>
      <c r="I806" s="26"/>
    </row>
    <row r="807">
      <c r="H807" s="26"/>
      <c r="I807" s="26"/>
    </row>
    <row r="808">
      <c r="H808" s="26"/>
      <c r="I808" s="26"/>
    </row>
    <row r="809">
      <c r="H809" s="26"/>
      <c r="I809" s="26"/>
    </row>
    <row r="810">
      <c r="H810" s="26"/>
      <c r="I810" s="26"/>
    </row>
    <row r="811">
      <c r="H811" s="26"/>
      <c r="I811" s="26"/>
    </row>
    <row r="812">
      <c r="H812" s="26"/>
      <c r="I812" s="26"/>
    </row>
    <row r="813">
      <c r="H813" s="26"/>
      <c r="I813" s="26"/>
    </row>
    <row r="814">
      <c r="H814" s="26"/>
      <c r="I814" s="26"/>
    </row>
    <row r="815">
      <c r="H815" s="26"/>
      <c r="I815" s="26"/>
    </row>
    <row r="816">
      <c r="H816" s="26"/>
      <c r="I816" s="26"/>
    </row>
    <row r="817">
      <c r="H817" s="26"/>
      <c r="I817" s="26"/>
    </row>
    <row r="818">
      <c r="H818" s="26"/>
      <c r="I818" s="26"/>
    </row>
    <row r="819">
      <c r="H819" s="26"/>
      <c r="I819" s="26"/>
    </row>
    <row r="820">
      <c r="H820" s="26"/>
      <c r="I820" s="26"/>
    </row>
    <row r="821">
      <c r="H821" s="26"/>
      <c r="I821" s="26"/>
    </row>
    <row r="822">
      <c r="H822" s="26"/>
      <c r="I822" s="26"/>
    </row>
    <row r="823">
      <c r="H823" s="26"/>
      <c r="I823" s="26"/>
    </row>
    <row r="824">
      <c r="H824" s="26"/>
      <c r="I824" s="26"/>
    </row>
    <row r="825">
      <c r="H825" s="26"/>
      <c r="I825" s="26"/>
    </row>
    <row r="826">
      <c r="H826" s="26"/>
      <c r="I826" s="26"/>
    </row>
    <row r="827">
      <c r="H827" s="26"/>
      <c r="I827" s="26"/>
    </row>
    <row r="828">
      <c r="H828" s="26"/>
      <c r="I828" s="26"/>
    </row>
    <row r="829">
      <c r="H829" s="26"/>
      <c r="I829" s="26"/>
    </row>
    <row r="830">
      <c r="H830" s="26"/>
      <c r="I830" s="26"/>
    </row>
    <row r="831">
      <c r="H831" s="26"/>
      <c r="I831" s="26"/>
    </row>
    <row r="832">
      <c r="H832" s="26"/>
      <c r="I832" s="26"/>
    </row>
    <row r="833">
      <c r="H833" s="26"/>
      <c r="I833" s="26"/>
    </row>
    <row r="834">
      <c r="H834" s="26"/>
      <c r="I834" s="26"/>
    </row>
    <row r="835">
      <c r="H835" s="26"/>
      <c r="I835" s="26"/>
    </row>
    <row r="836">
      <c r="H836" s="26"/>
      <c r="I836" s="26"/>
    </row>
    <row r="837">
      <c r="H837" s="26"/>
      <c r="I837" s="26"/>
    </row>
    <row r="838">
      <c r="H838" s="26"/>
      <c r="I838" s="26"/>
    </row>
    <row r="839">
      <c r="H839" s="26"/>
      <c r="I839" s="26"/>
    </row>
    <row r="840">
      <c r="H840" s="26"/>
      <c r="I840" s="26"/>
    </row>
    <row r="841">
      <c r="H841" s="26"/>
      <c r="I841" s="26"/>
    </row>
    <row r="842">
      <c r="H842" s="26"/>
      <c r="I842" s="26"/>
    </row>
    <row r="843">
      <c r="H843" s="26"/>
      <c r="I843" s="26"/>
    </row>
    <row r="844">
      <c r="H844" s="26"/>
      <c r="I844" s="26"/>
    </row>
    <row r="845">
      <c r="H845" s="26"/>
      <c r="I845" s="26"/>
    </row>
    <row r="846">
      <c r="H846" s="26"/>
      <c r="I846" s="26"/>
    </row>
    <row r="847">
      <c r="H847" s="26"/>
      <c r="I847" s="26"/>
    </row>
    <row r="848">
      <c r="H848" s="26"/>
      <c r="I848" s="26"/>
    </row>
    <row r="849">
      <c r="H849" s="26"/>
      <c r="I849" s="26"/>
    </row>
    <row r="850">
      <c r="H850" s="26"/>
      <c r="I850" s="26"/>
    </row>
    <row r="851">
      <c r="H851" s="26"/>
      <c r="I851" s="26"/>
    </row>
    <row r="852">
      <c r="H852" s="26"/>
      <c r="I852" s="26"/>
    </row>
    <row r="853">
      <c r="H853" s="26"/>
      <c r="I853" s="26"/>
    </row>
    <row r="854">
      <c r="H854" s="26"/>
      <c r="I854" s="26"/>
    </row>
    <row r="855">
      <c r="H855" s="26"/>
      <c r="I855" s="26"/>
    </row>
    <row r="856">
      <c r="H856" s="26"/>
      <c r="I856" s="26"/>
    </row>
    <row r="857">
      <c r="H857" s="26"/>
      <c r="I857" s="26"/>
    </row>
    <row r="858">
      <c r="H858" s="26"/>
      <c r="I858" s="26"/>
    </row>
    <row r="859">
      <c r="H859" s="26"/>
      <c r="I859" s="26"/>
    </row>
    <row r="860">
      <c r="H860" s="26"/>
      <c r="I860" s="26"/>
    </row>
    <row r="861">
      <c r="H861" s="26"/>
      <c r="I861" s="26"/>
    </row>
    <row r="862">
      <c r="H862" s="26"/>
      <c r="I862" s="26"/>
    </row>
    <row r="863">
      <c r="H863" s="26"/>
      <c r="I863" s="26"/>
    </row>
    <row r="864">
      <c r="H864" s="26"/>
      <c r="I864" s="26"/>
    </row>
    <row r="865">
      <c r="H865" s="26"/>
      <c r="I865" s="26"/>
    </row>
    <row r="866">
      <c r="H866" s="26"/>
      <c r="I866" s="26"/>
    </row>
    <row r="867">
      <c r="H867" s="26"/>
      <c r="I867" s="26"/>
    </row>
    <row r="868">
      <c r="H868" s="26"/>
      <c r="I868" s="26"/>
    </row>
    <row r="869">
      <c r="H869" s="26"/>
      <c r="I869" s="26"/>
    </row>
    <row r="870">
      <c r="H870" s="26"/>
      <c r="I870" s="26"/>
    </row>
    <row r="871">
      <c r="H871" s="26"/>
      <c r="I871" s="26"/>
    </row>
    <row r="872">
      <c r="H872" s="26"/>
      <c r="I872" s="26"/>
    </row>
    <row r="873">
      <c r="H873" s="26"/>
      <c r="I873" s="26"/>
    </row>
    <row r="874">
      <c r="H874" s="26"/>
      <c r="I874" s="26"/>
    </row>
    <row r="875">
      <c r="H875" s="26"/>
      <c r="I875" s="26"/>
    </row>
    <row r="876">
      <c r="H876" s="26"/>
      <c r="I876" s="26"/>
    </row>
    <row r="877">
      <c r="H877" s="26"/>
      <c r="I877" s="26"/>
    </row>
    <row r="878">
      <c r="H878" s="26"/>
      <c r="I878" s="26"/>
    </row>
    <row r="879">
      <c r="H879" s="26"/>
      <c r="I879" s="26"/>
    </row>
    <row r="880">
      <c r="H880" s="26"/>
      <c r="I880" s="26"/>
    </row>
    <row r="881">
      <c r="H881" s="26"/>
      <c r="I881" s="26"/>
    </row>
    <row r="882">
      <c r="H882" s="26"/>
      <c r="I882" s="26"/>
    </row>
    <row r="883">
      <c r="H883" s="26"/>
      <c r="I883" s="26"/>
    </row>
    <row r="884">
      <c r="H884" s="26"/>
      <c r="I884" s="26"/>
    </row>
    <row r="885">
      <c r="H885" s="26"/>
      <c r="I885" s="26"/>
    </row>
    <row r="886">
      <c r="H886" s="26"/>
      <c r="I886" s="26"/>
    </row>
    <row r="887">
      <c r="H887" s="26"/>
      <c r="I887" s="26"/>
    </row>
    <row r="888">
      <c r="H888" s="26"/>
      <c r="I888" s="26"/>
    </row>
    <row r="889">
      <c r="H889" s="26"/>
      <c r="I889" s="26"/>
    </row>
    <row r="890">
      <c r="H890" s="26"/>
      <c r="I890" s="26"/>
    </row>
    <row r="891">
      <c r="H891" s="26"/>
      <c r="I891" s="26"/>
    </row>
    <row r="892">
      <c r="H892" s="26"/>
      <c r="I892" s="26"/>
    </row>
    <row r="893">
      <c r="H893" s="26"/>
      <c r="I893" s="26"/>
    </row>
    <row r="894">
      <c r="H894" s="26"/>
      <c r="I894" s="26"/>
    </row>
    <row r="895">
      <c r="H895" s="26"/>
      <c r="I895" s="26"/>
    </row>
    <row r="896">
      <c r="H896" s="26"/>
      <c r="I896" s="26"/>
    </row>
    <row r="897">
      <c r="H897" s="26"/>
      <c r="I897" s="26"/>
    </row>
    <row r="898">
      <c r="H898" s="26"/>
      <c r="I898" s="26"/>
    </row>
    <row r="899">
      <c r="H899" s="26"/>
      <c r="I899" s="26"/>
    </row>
    <row r="900">
      <c r="H900" s="26"/>
      <c r="I900" s="26"/>
    </row>
    <row r="901">
      <c r="H901" s="26"/>
      <c r="I901" s="26"/>
    </row>
    <row r="902">
      <c r="H902" s="26"/>
      <c r="I902" s="26"/>
    </row>
    <row r="903">
      <c r="H903" s="26"/>
      <c r="I903" s="26"/>
    </row>
    <row r="904">
      <c r="H904" s="26"/>
      <c r="I904" s="26"/>
    </row>
    <row r="905">
      <c r="H905" s="26"/>
      <c r="I905" s="26"/>
    </row>
    <row r="906">
      <c r="H906" s="26"/>
      <c r="I906" s="26"/>
    </row>
    <row r="907">
      <c r="H907" s="26"/>
      <c r="I907" s="26"/>
    </row>
    <row r="908">
      <c r="H908" s="26"/>
      <c r="I908" s="26"/>
    </row>
    <row r="909">
      <c r="H909" s="26"/>
      <c r="I909" s="26"/>
    </row>
    <row r="910">
      <c r="H910" s="26"/>
      <c r="I910" s="26"/>
    </row>
    <row r="911">
      <c r="H911" s="26"/>
      <c r="I911" s="26"/>
    </row>
    <row r="912">
      <c r="H912" s="26"/>
      <c r="I912" s="26"/>
    </row>
    <row r="913">
      <c r="H913" s="26"/>
      <c r="I913" s="26"/>
    </row>
    <row r="914">
      <c r="H914" s="26"/>
      <c r="I914" s="26"/>
    </row>
    <row r="915">
      <c r="H915" s="26"/>
      <c r="I915" s="26"/>
    </row>
    <row r="916">
      <c r="H916" s="26"/>
      <c r="I916" s="26"/>
    </row>
    <row r="917">
      <c r="H917" s="26"/>
      <c r="I917" s="26"/>
    </row>
    <row r="918">
      <c r="H918" s="26"/>
      <c r="I918" s="26"/>
    </row>
    <row r="919">
      <c r="H919" s="26"/>
      <c r="I919" s="26"/>
    </row>
    <row r="920">
      <c r="H920" s="26"/>
      <c r="I920" s="26"/>
    </row>
    <row r="921">
      <c r="H921" s="26"/>
      <c r="I921" s="26"/>
    </row>
    <row r="922">
      <c r="H922" s="26"/>
      <c r="I922" s="26"/>
    </row>
    <row r="923">
      <c r="H923" s="26"/>
      <c r="I923" s="26"/>
    </row>
    <row r="924">
      <c r="H924" s="26"/>
      <c r="I924" s="26"/>
    </row>
    <row r="925">
      <c r="H925" s="26"/>
      <c r="I925" s="26"/>
    </row>
    <row r="926">
      <c r="H926" s="26"/>
      <c r="I926" s="26"/>
    </row>
    <row r="927">
      <c r="H927" s="26"/>
      <c r="I927" s="26"/>
    </row>
    <row r="928">
      <c r="H928" s="26"/>
      <c r="I928" s="26"/>
    </row>
    <row r="929">
      <c r="H929" s="26"/>
      <c r="I929" s="26"/>
    </row>
    <row r="930">
      <c r="H930" s="26"/>
      <c r="I930" s="26"/>
    </row>
    <row r="931">
      <c r="H931" s="26"/>
      <c r="I931" s="26"/>
    </row>
    <row r="932">
      <c r="H932" s="26"/>
      <c r="I932" s="26"/>
    </row>
    <row r="933">
      <c r="H933" s="26"/>
      <c r="I933" s="26"/>
    </row>
    <row r="934">
      <c r="H934" s="26"/>
      <c r="I934" s="26"/>
    </row>
    <row r="935">
      <c r="H935" s="26"/>
      <c r="I935" s="26"/>
    </row>
    <row r="936">
      <c r="H936" s="26"/>
      <c r="I936" s="26"/>
    </row>
    <row r="937">
      <c r="H937" s="26"/>
      <c r="I937" s="26"/>
    </row>
    <row r="938">
      <c r="H938" s="26"/>
      <c r="I938" s="26"/>
    </row>
    <row r="939">
      <c r="H939" s="26"/>
      <c r="I939" s="26"/>
    </row>
    <row r="940">
      <c r="H940" s="26"/>
      <c r="I940" s="26"/>
    </row>
    <row r="941">
      <c r="H941" s="26"/>
      <c r="I941" s="26"/>
    </row>
    <row r="942">
      <c r="H942" s="26"/>
      <c r="I942" s="26"/>
    </row>
    <row r="943">
      <c r="H943" s="26"/>
      <c r="I943" s="26"/>
    </row>
    <row r="944">
      <c r="H944" s="26"/>
      <c r="I944" s="26"/>
    </row>
    <row r="945">
      <c r="H945" s="26"/>
      <c r="I945" s="26"/>
    </row>
    <row r="946">
      <c r="H946" s="26"/>
      <c r="I946" s="26"/>
    </row>
    <row r="947">
      <c r="H947" s="26"/>
      <c r="I947" s="26"/>
    </row>
    <row r="948">
      <c r="H948" s="26"/>
      <c r="I948" s="26"/>
    </row>
    <row r="949">
      <c r="H949" s="26"/>
      <c r="I949" s="26"/>
    </row>
    <row r="950">
      <c r="H950" s="26"/>
      <c r="I950" s="26"/>
    </row>
    <row r="951">
      <c r="H951" s="26"/>
      <c r="I951" s="26"/>
    </row>
    <row r="952">
      <c r="H952" s="26"/>
      <c r="I952" s="26"/>
    </row>
    <row r="953">
      <c r="H953" s="26"/>
      <c r="I953" s="26"/>
    </row>
    <row r="954">
      <c r="H954" s="26"/>
      <c r="I954" s="26"/>
    </row>
    <row r="955">
      <c r="H955" s="26"/>
      <c r="I955" s="26"/>
    </row>
    <row r="956">
      <c r="H956" s="26"/>
      <c r="I956" s="26"/>
    </row>
    <row r="957">
      <c r="H957" s="26"/>
      <c r="I957" s="26"/>
    </row>
    <row r="958">
      <c r="H958" s="26"/>
      <c r="I958" s="26"/>
    </row>
    <row r="959">
      <c r="H959" s="26"/>
      <c r="I959" s="26"/>
    </row>
    <row r="960">
      <c r="H960" s="26"/>
      <c r="I960" s="26"/>
    </row>
    <row r="961">
      <c r="H961" s="26"/>
      <c r="I961" s="26"/>
    </row>
    <row r="962">
      <c r="H962" s="26"/>
      <c r="I962" s="26"/>
    </row>
    <row r="963">
      <c r="H963" s="26"/>
      <c r="I963" s="26"/>
    </row>
    <row r="964">
      <c r="H964" s="26"/>
      <c r="I964" s="26"/>
    </row>
    <row r="965">
      <c r="H965" s="26"/>
      <c r="I965" s="26"/>
    </row>
    <row r="966">
      <c r="H966" s="26"/>
      <c r="I966" s="26"/>
    </row>
    <row r="967">
      <c r="H967" s="26"/>
      <c r="I967" s="26"/>
    </row>
    <row r="968">
      <c r="H968" s="26"/>
      <c r="I968" s="26"/>
    </row>
    <row r="969">
      <c r="H969" s="26"/>
      <c r="I969" s="26"/>
    </row>
    <row r="970">
      <c r="H970" s="26"/>
      <c r="I970" s="26"/>
    </row>
    <row r="971">
      <c r="H971" s="26"/>
      <c r="I971" s="26"/>
    </row>
    <row r="972">
      <c r="H972" s="26"/>
      <c r="I972" s="26"/>
    </row>
    <row r="973">
      <c r="H973" s="26"/>
      <c r="I973" s="26"/>
    </row>
    <row r="974">
      <c r="H974" s="26"/>
      <c r="I974" s="26"/>
    </row>
    <row r="975">
      <c r="H975" s="26"/>
      <c r="I975" s="26"/>
    </row>
    <row r="976">
      <c r="H976" s="26"/>
      <c r="I976" s="26"/>
    </row>
    <row r="977">
      <c r="H977" s="26"/>
      <c r="I977" s="26"/>
    </row>
    <row r="978">
      <c r="H978" s="26"/>
      <c r="I978" s="26"/>
    </row>
    <row r="979">
      <c r="H979" s="26"/>
      <c r="I979" s="26"/>
    </row>
    <row r="980">
      <c r="H980" s="26"/>
      <c r="I980" s="26"/>
    </row>
    <row r="981">
      <c r="H981" s="26"/>
      <c r="I981" s="26"/>
    </row>
    <row r="982">
      <c r="H982" s="26"/>
      <c r="I982" s="26"/>
    </row>
    <row r="983">
      <c r="H983" s="26"/>
      <c r="I983" s="26"/>
    </row>
    <row r="984">
      <c r="H984" s="26"/>
      <c r="I984" s="26"/>
    </row>
    <row r="985">
      <c r="H985" s="26"/>
      <c r="I985" s="26"/>
    </row>
    <row r="986">
      <c r="H986" s="26"/>
      <c r="I986" s="26"/>
    </row>
    <row r="987">
      <c r="H987" s="26"/>
      <c r="I987" s="26"/>
    </row>
    <row r="988">
      <c r="H988" s="26"/>
      <c r="I988" s="26"/>
    </row>
    <row r="989">
      <c r="H989" s="26"/>
      <c r="I989" s="26"/>
    </row>
    <row r="990">
      <c r="H990" s="26"/>
      <c r="I990" s="26"/>
    </row>
    <row r="991">
      <c r="H991" s="26"/>
      <c r="I991" s="26"/>
    </row>
    <row r="992">
      <c r="H992" s="26"/>
      <c r="I992" s="26"/>
    </row>
    <row r="993">
      <c r="H993" s="26"/>
      <c r="I993" s="26"/>
    </row>
    <row r="994">
      <c r="H994" s="26"/>
      <c r="I994" s="26"/>
    </row>
    <row r="995">
      <c r="H995" s="26"/>
      <c r="I995" s="26"/>
    </row>
    <row r="996">
      <c r="H996" s="26"/>
      <c r="I996" s="26"/>
    </row>
    <row r="997">
      <c r="H997" s="26"/>
      <c r="I997" s="26"/>
    </row>
    <row r="998">
      <c r="H998" s="26"/>
      <c r="I998" s="26"/>
    </row>
    <row r="999">
      <c r="H999" s="26"/>
      <c r="I999" s="26"/>
    </row>
    <row r="1000">
      <c r="H1000" s="26"/>
      <c r="I1000" s="26"/>
    </row>
  </sheetData>
  <mergeCells count="1">
    <mergeCell ref="E26:G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.75"/>
    <col customWidth="1" min="6" max="6" width="8.75"/>
    <col customWidth="1" min="7" max="7" width="7.13"/>
    <col customWidth="1" min="8" max="8" width="9.13"/>
    <col customWidth="1" min="9" max="9" width="8.5"/>
    <col customWidth="1" min="10" max="10" width="8.38"/>
    <col customWidth="1" min="11" max="11" width="4.13"/>
    <col customWidth="1" min="12" max="12" width="21.88"/>
    <col customWidth="1" min="13" max="13" width="5.75"/>
    <col customWidth="1" min="14" max="14" width="10.13"/>
    <col customWidth="1" min="15" max="15" width="5.63"/>
    <col customWidth="1" min="16" max="16" width="17.5"/>
    <col customWidth="1" min="17" max="17" width="7.25"/>
    <col customWidth="1" min="18" max="18" width="8.88"/>
    <col customWidth="1" min="19" max="19" width="8.63"/>
    <col customWidth="1" min="20" max="20" width="11.75"/>
  </cols>
  <sheetData>
    <row r="1">
      <c r="H1" s="26"/>
      <c r="I1" s="26"/>
    </row>
    <row r="2">
      <c r="H2" s="26"/>
      <c r="I2" s="26"/>
    </row>
    <row r="3">
      <c r="H3" s="26"/>
      <c r="I3" s="26"/>
    </row>
    <row r="4">
      <c r="E4" s="2" t="s">
        <v>0</v>
      </c>
      <c r="F4" s="2" t="s">
        <v>1</v>
      </c>
      <c r="G4" s="2" t="s">
        <v>1784</v>
      </c>
      <c r="H4" s="27" t="s">
        <v>3</v>
      </c>
      <c r="I4" s="27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3" t="s">
        <v>12</v>
      </c>
      <c r="R4" s="2" t="s">
        <v>13</v>
      </c>
      <c r="S4" s="2" t="s">
        <v>14</v>
      </c>
      <c r="T4" s="2" t="s">
        <v>15</v>
      </c>
    </row>
    <row r="5">
      <c r="E5" s="23">
        <f>IFERROR(__xludf.DUMMYFUNCTION("FILTER(languages!E3:T682, REGEXMATCH(languages!G3:G682, ""d-assimilation""))"),105.0)</f>
        <v>105</v>
      </c>
      <c r="F5" s="23" t="str">
        <f>IFERROR(__xludf.DUMMYFUNCTION("""COMPUTED_VALUE"""),"assimilation")</f>
        <v>assimilation</v>
      </c>
      <c r="G5" s="23" t="str">
        <f>IFERROR(__xludf.DUMMYFUNCTION("""COMPUTED_VALUE"""),"d-assimilation")</f>
        <v>d-assimilation</v>
      </c>
      <c r="H5" s="26" t="str">
        <f>IFERROR(__xludf.DUMMYFUNCTION("""COMPUTED_VALUE"""),"d")</f>
        <v>d</v>
      </c>
      <c r="I5" s="26" t="str">
        <f>IFERROR(__xludf.DUMMYFUNCTION("""COMPUTED_VALUE"""),"l")</f>
        <v>l</v>
      </c>
      <c r="J5" s="23" t="str">
        <f>IFERROR(__xludf.DUMMYFUNCTION("""COMPUTED_VALUE"""),"/ _l")</f>
        <v>/ _l</v>
      </c>
      <c r="K5" s="23" t="str">
        <f>IFERROR(__xludf.DUMMYFUNCTION("""COMPUTED_VALUE"""),"-")</f>
        <v>-</v>
      </c>
      <c r="L5" s="23" t="str">
        <f>IFERROR(__xludf.DUMMYFUNCTION("""COMPUTED_VALUE"""),"baħmud-la &gt; baħmul-la")</f>
        <v>baħmud-la &gt; baħmul-la</v>
      </c>
      <c r="M5" s="23" t="str">
        <f>IFERROR(__xludf.DUMMYFUNCTION("""COMPUTED_VALUE"""),"Baħmud-GEN")</f>
        <v>Baħmud-GEN</v>
      </c>
      <c r="N5" s="23" t="str">
        <f>IFERROR(__xludf.DUMMYFUNCTION("""COMPUTED_VALUE"""),"‘of Bahemud’")</f>
        <v>‘of Bahemud’</v>
      </c>
      <c r="O5" s="23"/>
      <c r="P5" s="23" t="str">
        <f>IFERROR(__xludf.DUMMYFUNCTION("""COMPUTED_VALUE"""),"(Magometov, 1963)")</f>
        <v>(Magometov, 1963)</v>
      </c>
      <c r="Q5" s="23">
        <f>IFERROR(__xludf.DUMMYFUNCTION("""COMPUTED_VALUE"""),52.0)</f>
        <v>52</v>
      </c>
      <c r="R5" s="23" t="str">
        <f>IFERROR(__xludf.DUMMYFUNCTION("""COMPUTED_VALUE"""),"Kubachi")</f>
        <v>Kubachi</v>
      </c>
      <c r="S5" s="23" t="str">
        <f>IFERROR(__xludf.DUMMYFUNCTION("""COMPUTED_VALUE"""),"Dargwa")</f>
        <v>Dargwa</v>
      </c>
      <c r="T5" s="23" t="str">
        <f>IFERROR(__xludf.DUMMYFUNCTION("""COMPUTED_VALUE"""),"Kubachi")</f>
        <v>Kubachi</v>
      </c>
    </row>
    <row r="6">
      <c r="E6" s="23">
        <f>IFERROR(__xludf.DUMMYFUNCTION("""COMPUTED_VALUE"""),106.0)</f>
        <v>106</v>
      </c>
      <c r="F6" s="23" t="str">
        <f>IFERROR(__xludf.DUMMYFUNCTION("""COMPUTED_VALUE"""),"assimilation")</f>
        <v>assimilation</v>
      </c>
      <c r="G6" s="23" t="str">
        <f>IFERROR(__xludf.DUMMYFUNCTION("""COMPUTED_VALUE"""),"d-assimilation")</f>
        <v>d-assimilation</v>
      </c>
      <c r="H6" s="26" t="str">
        <f>IFERROR(__xludf.DUMMYFUNCTION("""COMPUTED_VALUE"""),"d")</f>
        <v>d</v>
      </c>
      <c r="I6" s="26" t="str">
        <f>IFERROR(__xludf.DUMMYFUNCTION("""COMPUTED_VALUE"""),"n")</f>
        <v>n</v>
      </c>
      <c r="J6" s="23" t="str">
        <f>IFERROR(__xludf.DUMMYFUNCTION("""COMPUTED_VALUE"""),"/ _n")</f>
        <v>/ _n</v>
      </c>
      <c r="K6" s="23" t="str">
        <f>IFERROR(__xludf.DUMMYFUNCTION("""COMPUTED_VALUE"""),"-")</f>
        <v>-</v>
      </c>
      <c r="L6" s="23" t="str">
        <f>IFERROR(__xludf.DUMMYFUNCTION("""COMPUTED_VALUE"""),"lid-nu &gt; lin-nu")</f>
        <v>lid-nu &gt; lin-nu</v>
      </c>
      <c r="M6" s="23" t="str">
        <f>IFERROR(__xludf.DUMMYFUNCTION("""COMPUTED_VALUE"""),"-")</f>
        <v>-</v>
      </c>
      <c r="N6" s="23" t="str">
        <f>IFERROR(__xludf.DUMMYFUNCTION("""COMPUTED_VALUE"""),"‘what is available?’")</f>
        <v>‘what is available?’</v>
      </c>
      <c r="O6" s="23"/>
      <c r="P6" s="23" t="str">
        <f>IFERROR(__xludf.DUMMYFUNCTION("""COMPUTED_VALUE"""),"(Magometov, 1963)")</f>
        <v>(Magometov, 1963)</v>
      </c>
      <c r="Q6" s="23">
        <f>IFERROR(__xludf.DUMMYFUNCTION("""COMPUTED_VALUE"""),52.0)</f>
        <v>52</v>
      </c>
      <c r="R6" s="23" t="str">
        <f>IFERROR(__xludf.DUMMYFUNCTION("""COMPUTED_VALUE"""),"Kubachi")</f>
        <v>Kubachi</v>
      </c>
      <c r="S6" s="23" t="str">
        <f>IFERROR(__xludf.DUMMYFUNCTION("""COMPUTED_VALUE"""),"Dargwa")</f>
        <v>Dargwa</v>
      </c>
      <c r="T6" s="23" t="str">
        <f>IFERROR(__xludf.DUMMYFUNCTION("""COMPUTED_VALUE"""),"Kubachi")</f>
        <v>Kubachi</v>
      </c>
    </row>
    <row r="7">
      <c r="E7" s="23">
        <f>IFERROR(__xludf.DUMMYFUNCTION("""COMPUTED_VALUE"""),179.0)</f>
        <v>179</v>
      </c>
      <c r="F7" s="23" t="str">
        <f>IFERROR(__xludf.DUMMYFUNCTION("""COMPUTED_VALUE"""),"assimilation, lenition")</f>
        <v>assimilation, lenition</v>
      </c>
      <c r="G7" s="23" t="str">
        <f>IFERROR(__xludf.DUMMYFUNCTION("""COMPUTED_VALUE"""),"d-assimilation")</f>
        <v>d-assimilation</v>
      </c>
      <c r="H7" s="26" t="str">
        <f>IFERROR(__xludf.DUMMYFUNCTION("""COMPUTED_VALUE"""),"д ")</f>
        <v>д </v>
      </c>
      <c r="I7" s="26" t="str">
        <f>IFERROR(__xludf.DUMMYFUNCTION("""COMPUTED_VALUE"""),"л")</f>
        <v>л</v>
      </c>
      <c r="J7" s="23" t="str">
        <f>IFERROR(__xludf.DUMMYFUNCTION("""COMPUTED_VALUE"""),"/ _ + л")</f>
        <v>/ _ + л</v>
      </c>
      <c r="K7" s="23" t="str">
        <f>IFERROR(__xludf.DUMMYFUNCTION("""COMPUTED_VALUE"""),"-")</f>
        <v>-</v>
      </c>
      <c r="L7" s="23" t="str">
        <f>IFERROR(__xludf.DUMMYFUNCTION("""COMPUTED_VALUE"""),"месед-лис &gt; месел-лис")</f>
        <v>месед-лис &gt; месел-лис</v>
      </c>
      <c r="M7" s="23" t="str">
        <f>IFERROR(__xludf.DUMMYFUNCTION("""COMPUTED_VALUE"""),"gold-GEN1")</f>
        <v>gold-GEN1</v>
      </c>
      <c r="N7" s="23" t="str">
        <f>IFERROR(__xludf.DUMMYFUNCTION("""COMPUTED_VALUE"""),"‘of gold’")</f>
        <v>‘of gold’</v>
      </c>
      <c r="O7" s="23"/>
      <c r="P7" s="23" t="str">
        <f>IFERROR(__xludf.DUMMYFUNCTION("""COMPUTED_VALUE"""),"(Isakov and Xalilov, 2012)")</f>
        <v>(Isakov and Xalilov, 2012)</v>
      </c>
      <c r="Q7" s="23">
        <f>IFERROR(__xludf.DUMMYFUNCTION("""COMPUTED_VALUE"""),67.0)</f>
        <v>67</v>
      </c>
      <c r="R7" s="23" t="str">
        <f>IFERROR(__xludf.DUMMYFUNCTION("""COMPUTED_VALUE"""),"Hunzib")</f>
        <v>Hunzib</v>
      </c>
      <c r="S7" s="23" t="str">
        <f>IFERROR(__xludf.DUMMYFUNCTION("""COMPUTED_VALUE"""),"Hunzib")</f>
        <v>Hunzib</v>
      </c>
      <c r="T7" s="23" t="str">
        <f>IFERROR(__xludf.DUMMYFUNCTION("""COMPUTED_VALUE"""),"Hunzib")</f>
        <v>Hunzib</v>
      </c>
    </row>
    <row r="8">
      <c r="E8" s="23">
        <f>IFERROR(__xludf.DUMMYFUNCTION("""COMPUTED_VALUE"""),440.0)</f>
        <v>440</v>
      </c>
      <c r="F8" s="23" t="str">
        <f>IFERROR(__xludf.DUMMYFUNCTION("""COMPUTED_VALUE"""),"assimilation")</f>
        <v>assimilation</v>
      </c>
      <c r="G8" s="23" t="str">
        <f>IFERROR(__xludf.DUMMYFUNCTION("""COMPUTED_VALUE"""),"d-assimilation")</f>
        <v>d-assimilation</v>
      </c>
      <c r="H8" s="26" t="str">
        <f>IFERROR(__xludf.DUMMYFUNCTION("""COMPUTED_VALUE"""),"д")</f>
        <v>д</v>
      </c>
      <c r="I8" s="26" t="str">
        <f>IFERROR(__xludf.DUMMYFUNCTION("""COMPUTED_VALUE"""),"л")</f>
        <v>л</v>
      </c>
      <c r="J8" s="23" t="str">
        <f>IFERROR(__xludf.DUMMYFUNCTION("""COMPUTED_VALUE"""),"/ _ л")</f>
        <v>/ _ л</v>
      </c>
      <c r="K8" s="23" t="str">
        <f>IFERROR(__xludf.DUMMYFUNCTION("""COMPUTED_VALUE"""),"-")</f>
        <v>-</v>
      </c>
      <c r="L8" s="23" t="str">
        <f>IFERROR(__xludf.DUMMYFUNCTION("""COMPUTED_VALUE"""),"&gt;")</f>
        <v>&gt;</v>
      </c>
      <c r="M8" s="23"/>
      <c r="N8" s="23" t="str">
        <f>IFERROR(__xludf.DUMMYFUNCTION("""COMPUTED_VALUE"""),"‘’ &gt; ‘’")</f>
        <v>‘’ &gt; ‘’</v>
      </c>
      <c r="O8" s="23"/>
      <c r="P8" s="23" t="str">
        <f>IFERROR(__xludf.DUMMYFUNCTION("""COMPUTED_VALUE"""),"(Ibragimov and Nurmamedov, 2010)")</f>
        <v>(Ibragimov and Nurmamedov, 2010)</v>
      </c>
      <c r="Q8" s="23">
        <f>IFERROR(__xludf.DUMMYFUNCTION("""COMPUTED_VALUE"""),507.0)</f>
        <v>507</v>
      </c>
      <c r="R8" s="23" t="str">
        <f>IFERROR(__xludf.DUMMYFUNCTION("""COMPUTED_VALUE"""),"Tsakhur")</f>
        <v>Tsakhur</v>
      </c>
      <c r="S8" s="23" t="str">
        <f>IFERROR(__xludf.DUMMYFUNCTION("""COMPUTED_VALUE"""),"Tsakhur")</f>
        <v>Tsakhur</v>
      </c>
      <c r="T8" s="23" t="str">
        <f>IFERROR(__xludf.DUMMYFUNCTION("""COMPUTED_VALUE"""),"Tsakh")</f>
        <v>Tsakh</v>
      </c>
    </row>
    <row r="9">
      <c r="E9" s="23">
        <f>IFERROR(__xludf.DUMMYFUNCTION("""COMPUTED_VALUE"""),513.0)</f>
        <v>513</v>
      </c>
      <c r="F9" s="23" t="str">
        <f>IFERROR(__xludf.DUMMYFUNCTION("""COMPUTED_VALUE"""),"assimilation")</f>
        <v>assimilation</v>
      </c>
      <c r="G9" s="23" t="str">
        <f>IFERROR(__xludf.DUMMYFUNCTION("""COMPUTED_VALUE"""),"d-assimilation")</f>
        <v>d-assimilation</v>
      </c>
      <c r="H9" s="26" t="str">
        <f>IFERROR(__xludf.DUMMYFUNCTION("""COMPUTED_VALUE"""),"д")</f>
        <v>д</v>
      </c>
      <c r="I9" s="26" t="str">
        <f>IFERROR(__xludf.DUMMYFUNCTION("""COMPUTED_VALUE"""),"н")</f>
        <v>н</v>
      </c>
      <c r="J9" s="23" t="str">
        <f>IFERROR(__xludf.DUMMYFUNCTION("""COMPUTED_VALUE"""),"/ _ н")</f>
        <v>/ _ н</v>
      </c>
      <c r="K9" s="23" t="str">
        <f>IFERROR(__xludf.DUMMYFUNCTION("""COMPUTED_VALUE"""),"-")</f>
        <v>-</v>
      </c>
      <c r="L9" s="23" t="str">
        <f>IFERROR(__xludf.DUMMYFUNCTION("""COMPUTED_VALUE"""),"&gt;")</f>
        <v>&gt;</v>
      </c>
      <c r="M9" s="23"/>
      <c r="N9" s="23" t="str">
        <f>IFERROR(__xludf.DUMMYFUNCTION("""COMPUTED_VALUE"""),"‘’ &gt; ‘’")</f>
        <v>‘’ &gt; ‘’</v>
      </c>
      <c r="O9" s="23"/>
      <c r="P9" s="23" t="str">
        <f>IFERROR(__xludf.DUMMYFUNCTION("""COMPUTED_VALUE"""),"(Ganieva 2007)")</f>
        <v>(Ganieva 2007)</v>
      </c>
      <c r="Q9" s="23">
        <f>IFERROR(__xludf.DUMMYFUNCTION("""COMPUTED_VALUE"""),35.0)</f>
        <v>35</v>
      </c>
      <c r="R9" s="23" t="str">
        <f>IFERROR(__xludf.DUMMYFUNCTION("""COMPUTED_VALUE"""),"Lezgian")</f>
        <v>Lezgian</v>
      </c>
      <c r="S9" s="23" t="str">
        <f>IFERROR(__xludf.DUMMYFUNCTION("""COMPUTED_VALUE"""),"Lezgian")</f>
        <v>Lezgian</v>
      </c>
      <c r="T9" s="23" t="str">
        <f>IFERROR(__xludf.DUMMYFUNCTION("""COMPUTED_VALUE"""),"Jabin")</f>
        <v>Jabin</v>
      </c>
    </row>
    <row r="10">
      <c r="E10" s="23">
        <f>IFERROR(__xludf.DUMMYFUNCTION("""COMPUTED_VALUE"""),525.0)</f>
        <v>525</v>
      </c>
      <c r="F10" s="23" t="str">
        <f>IFERROR(__xludf.DUMMYFUNCTION("""COMPUTED_VALUE"""),"assimilation")</f>
        <v>assimilation</v>
      </c>
      <c r="G10" s="23" t="str">
        <f>IFERROR(__xludf.DUMMYFUNCTION("""COMPUTED_VALUE"""),"d-assimilation")</f>
        <v>d-assimilation</v>
      </c>
      <c r="H10" s="26" t="str">
        <f>IFERROR(__xludf.DUMMYFUNCTION("""COMPUTED_VALUE"""),"д")</f>
        <v>д</v>
      </c>
      <c r="I10" s="26" t="str">
        <f>IFERROR(__xludf.DUMMYFUNCTION("""COMPUTED_VALUE"""),"н")</f>
        <v>н</v>
      </c>
      <c r="J10" s="23" t="str">
        <f>IFERROR(__xludf.DUMMYFUNCTION("""COMPUTED_VALUE"""),"/ н _")</f>
        <v>/ н _</v>
      </c>
      <c r="K10" s="23" t="str">
        <f>IFERROR(__xludf.DUMMYFUNCTION("""COMPUTED_VALUE"""),"-")</f>
        <v>-</v>
      </c>
      <c r="L10" s="23" t="str">
        <f>IFERROR(__xludf.DUMMYFUNCTION("""COMPUTED_VALUE"""),"тIинд- &gt; тIинн-")</f>
        <v>тIинд- &gt; тIинн-</v>
      </c>
      <c r="M10" s="23"/>
      <c r="N10" s="23" t="str">
        <f>IFERROR(__xludf.DUMMYFUNCTION("""COMPUTED_VALUE"""),"‘’ &gt; ‘’")</f>
        <v>‘’ &gt; ‘’</v>
      </c>
      <c r="O10" s="23"/>
      <c r="P10" s="23" t="str">
        <f>IFERROR(__xludf.DUMMYFUNCTION("""COMPUTED_VALUE"""),"(Saidova, 1973)")</f>
        <v>(Saidova, 1973)</v>
      </c>
      <c r="Q10" s="23">
        <f>IFERROR(__xludf.DUMMYFUNCTION("""COMPUTED_VALUE"""),27.0)</f>
        <v>27</v>
      </c>
      <c r="R10" s="23" t="str">
        <f>IFERROR(__xludf.DUMMYFUNCTION("""COMPUTED_VALUE"""),"Godoberi")</f>
        <v>Godoberi</v>
      </c>
      <c r="S10" s="23" t="str">
        <f>IFERROR(__xludf.DUMMYFUNCTION("""COMPUTED_VALUE"""),"Godoberi")</f>
        <v>Godoberi</v>
      </c>
      <c r="T10" s="23" t="str">
        <f>IFERROR(__xludf.DUMMYFUNCTION("""COMPUTED_VALUE"""),"Godoberi")</f>
        <v>Godoberi</v>
      </c>
    </row>
    <row r="11">
      <c r="E11" s="23">
        <f>IFERROR(__xludf.DUMMYFUNCTION("""COMPUTED_VALUE"""),568.0)</f>
        <v>568</v>
      </c>
      <c r="F11" s="23" t="str">
        <f>IFERROR(__xludf.DUMMYFUNCTION("""COMPUTED_VALUE"""),"assimilation")</f>
        <v>assimilation</v>
      </c>
      <c r="G11" s="23" t="str">
        <f>IFERROR(__xludf.DUMMYFUNCTION("""COMPUTED_VALUE"""),"d-assimilation")</f>
        <v>d-assimilation</v>
      </c>
      <c r="H11" s="26" t="str">
        <f>IFERROR(__xludf.DUMMYFUNCTION("""COMPUTED_VALUE"""),"д")</f>
        <v>д</v>
      </c>
      <c r="I11" s="26" t="str">
        <f>IFERROR(__xludf.DUMMYFUNCTION("""COMPUTED_VALUE"""),"н")</f>
        <v>н</v>
      </c>
      <c r="J11" s="23" t="str">
        <f>IFERROR(__xludf.DUMMYFUNCTION("""COMPUTED_VALUE"""),"/ н _")</f>
        <v>/ н _</v>
      </c>
      <c r="K11" s="23" t="str">
        <f>IFERROR(__xludf.DUMMYFUNCTION("""COMPUTED_VALUE"""),"-")</f>
        <v>-</v>
      </c>
      <c r="L11" s="23" t="str">
        <f>IFERROR(__xludf.DUMMYFUNCTION("""COMPUTED_VALUE"""),"&gt;")</f>
        <v>&gt;</v>
      </c>
      <c r="M11" s="23"/>
      <c r="N11" s="23" t="str">
        <f>IFERROR(__xludf.DUMMYFUNCTION("""COMPUTED_VALUE"""),"‘’ &gt; ‘’")</f>
        <v>‘’ &gt; ‘’</v>
      </c>
      <c r="O11" s="23"/>
      <c r="P11" s="23" t="str">
        <f>IFERROR(__xludf.DUMMYFUNCTION("""COMPUTED_VALUE"""),"(Magomedova, 1999)")</f>
        <v>(Magomedova, 1999)</v>
      </c>
      <c r="Q11" s="23">
        <f>IFERROR(__xludf.DUMMYFUNCTION("""COMPUTED_VALUE"""),413.0)</f>
        <v>413</v>
      </c>
      <c r="R11" s="23" t="str">
        <f>IFERROR(__xludf.DUMMYFUNCTION("""COMPUTED_VALUE"""),"Chamalal")</f>
        <v>Chamalal</v>
      </c>
      <c r="S11" s="23" t="str">
        <f>IFERROR(__xludf.DUMMYFUNCTION("""COMPUTED_VALUE"""),"Chamalal")</f>
        <v>Chamalal</v>
      </c>
      <c r="T11" s="23" t="str">
        <f>IFERROR(__xludf.DUMMYFUNCTION("""COMPUTED_VALUE"""),"Lower Gakvari")</f>
        <v>Lower Gakvari</v>
      </c>
    </row>
    <row r="12">
      <c r="E12" s="23">
        <f>IFERROR(__xludf.DUMMYFUNCTION("""COMPUTED_VALUE"""),569.0)</f>
        <v>569</v>
      </c>
      <c r="F12" s="23" t="str">
        <f>IFERROR(__xludf.DUMMYFUNCTION("""COMPUTED_VALUE"""),"assimilation")</f>
        <v>assimilation</v>
      </c>
      <c r="G12" s="23" t="str">
        <f>IFERROR(__xludf.DUMMYFUNCTION("""COMPUTED_VALUE"""),"d-assimilation")</f>
        <v>d-assimilation</v>
      </c>
      <c r="H12" s="26" t="str">
        <f>IFERROR(__xludf.DUMMYFUNCTION("""COMPUTED_VALUE"""),"д")</f>
        <v>д</v>
      </c>
      <c r="I12" s="26" t="str">
        <f>IFERROR(__xludf.DUMMYFUNCTION("""COMPUTED_VALUE"""),"л")</f>
        <v>л</v>
      </c>
      <c r="J12" s="23" t="str">
        <f>IFERROR(__xludf.DUMMYFUNCTION("""COMPUTED_VALUE"""),"/ л _")</f>
        <v>/ л _</v>
      </c>
      <c r="K12" s="23" t="str">
        <f>IFERROR(__xludf.DUMMYFUNCTION("""COMPUTED_VALUE"""),"-")</f>
        <v>-</v>
      </c>
      <c r="L12" s="23" t="str">
        <f>IFERROR(__xludf.DUMMYFUNCTION("""COMPUTED_VALUE"""),"гьаъал-да &gt; гьаъал:а")</f>
        <v>гьаъал-да &gt; гьаъал:а</v>
      </c>
      <c r="M12" s="23"/>
      <c r="N12" s="23" t="str">
        <f>IFERROR(__xludf.DUMMYFUNCTION("""COMPUTED_VALUE"""),"‘showed’")</f>
        <v>‘showed’</v>
      </c>
      <c r="O12" s="23"/>
      <c r="P12" s="23" t="str">
        <f>IFERROR(__xludf.DUMMYFUNCTION("""COMPUTED_VALUE"""),"(Magomedova, 1999)")</f>
        <v>(Magomedova, 1999)</v>
      </c>
      <c r="Q12" s="23">
        <f>IFERROR(__xludf.DUMMYFUNCTION("""COMPUTED_VALUE"""),413.0)</f>
        <v>413</v>
      </c>
      <c r="R12" s="23" t="str">
        <f>IFERROR(__xludf.DUMMYFUNCTION("""COMPUTED_VALUE"""),"Chamalal")</f>
        <v>Chamalal</v>
      </c>
      <c r="S12" s="23" t="str">
        <f>IFERROR(__xludf.DUMMYFUNCTION("""COMPUTED_VALUE"""),"Chamalal")</f>
        <v>Chamalal</v>
      </c>
      <c r="T12" s="23" t="str">
        <f>IFERROR(__xludf.DUMMYFUNCTION("""COMPUTED_VALUE"""),"Lower Gakvari")</f>
        <v>Lower Gakvari</v>
      </c>
    </row>
    <row r="13">
      <c r="E13" s="23">
        <f>IFERROR(__xludf.DUMMYFUNCTION("""COMPUTED_VALUE"""),594.0)</f>
        <v>594</v>
      </c>
      <c r="F13" s="23" t="str">
        <f>IFERROR(__xludf.DUMMYFUNCTION("""COMPUTED_VALUE"""),"assimilation")</f>
        <v>assimilation</v>
      </c>
      <c r="G13" s="23" t="str">
        <f>IFERROR(__xludf.DUMMYFUNCTION("""COMPUTED_VALUE"""),"d-assimilation")</f>
        <v>d-assimilation</v>
      </c>
      <c r="H13" s="26" t="str">
        <f>IFERROR(__xludf.DUMMYFUNCTION("""COMPUTED_VALUE"""),"d")</f>
        <v>d</v>
      </c>
      <c r="I13" s="26" t="str">
        <f>IFERROR(__xludf.DUMMYFUNCTION("""COMPUTED_VALUE"""),"l")</f>
        <v>l</v>
      </c>
      <c r="J13" s="23" t="str">
        <f>IFERROR(__xludf.DUMMYFUNCTION("""COMPUTED_VALUE"""),"/ l _")</f>
        <v>/ l _</v>
      </c>
      <c r="K13" s="23" t="str">
        <f>IFERROR(__xludf.DUMMYFUNCTION("""COMPUTED_VALUE"""),"-")</f>
        <v>-</v>
      </c>
      <c r="L13" s="23" t="str">
        <f>IFERROR(__xludf.DUMMYFUNCTION("""COMPUTED_VALUE"""),"&gt;")</f>
        <v>&gt;</v>
      </c>
      <c r="M13" s="23"/>
      <c r="N13" s="23" t="str">
        <f>IFERROR(__xludf.DUMMYFUNCTION("""COMPUTED_VALUE"""),"‘’ &gt; ‘’")</f>
        <v>‘’ &gt; ‘’</v>
      </c>
      <c r="O13" s="23"/>
      <c r="P13" s="23" t="str">
        <f>IFERROR(__xludf.DUMMYFUNCTION("""COMPUTED_VALUE"""),"(Friedman, 2021)")</f>
        <v>(Friedman, 2021)</v>
      </c>
      <c r="Q13" s="23">
        <f>IFERROR(__xludf.DUMMYFUNCTION("""COMPUTED_VALUE"""),205.0)</f>
        <v>205</v>
      </c>
      <c r="R13" s="23" t="str">
        <f>IFERROR(__xludf.DUMMYFUNCTION("""COMPUTED_VALUE"""),"Lak")</f>
        <v>Lak</v>
      </c>
      <c r="S13" s="23" t="str">
        <f>IFERROR(__xludf.DUMMYFUNCTION("""COMPUTED_VALUE"""),"Lak")</f>
        <v>Lak</v>
      </c>
      <c r="T13" s="23" t="str">
        <f>IFERROR(__xludf.DUMMYFUNCTION("""COMPUTED_VALUE"""),"Standard Lak")</f>
        <v>Standard Lak</v>
      </c>
    </row>
    <row r="14">
      <c r="E14" s="23">
        <f>IFERROR(__xludf.DUMMYFUNCTION("""COMPUTED_VALUE"""),595.0)</f>
        <v>595</v>
      </c>
      <c r="F14" s="23" t="str">
        <f>IFERROR(__xludf.DUMMYFUNCTION("""COMPUTED_VALUE"""),"assimilation")</f>
        <v>assimilation</v>
      </c>
      <c r="G14" s="23" t="str">
        <f>IFERROR(__xludf.DUMMYFUNCTION("""COMPUTED_VALUE"""),"d-assimilation")</f>
        <v>d-assimilation</v>
      </c>
      <c r="H14" s="26" t="str">
        <f>IFERROR(__xludf.DUMMYFUNCTION("""COMPUTED_VALUE"""),"d")</f>
        <v>d</v>
      </c>
      <c r="I14" s="26" t="str">
        <f>IFERROR(__xludf.DUMMYFUNCTION("""COMPUTED_VALUE"""),"n")</f>
        <v>n</v>
      </c>
      <c r="J14" s="23" t="str">
        <f>IFERROR(__xludf.DUMMYFUNCTION("""COMPUTED_VALUE"""),"/ n _")</f>
        <v>/ n _</v>
      </c>
      <c r="K14" s="23" t="str">
        <f>IFERROR(__xludf.DUMMYFUNCTION("""COMPUTED_VALUE"""),"-")</f>
        <v>-</v>
      </c>
      <c r="L14" s="23" t="str">
        <f>IFERROR(__xludf.DUMMYFUNCTION("""COMPUTED_VALUE"""),"&gt;")</f>
        <v>&gt;</v>
      </c>
      <c r="M14" s="23"/>
      <c r="N14" s="23" t="str">
        <f>IFERROR(__xludf.DUMMYFUNCTION("""COMPUTED_VALUE"""),"‘’ &gt; ‘’")</f>
        <v>‘’ &gt; ‘’</v>
      </c>
      <c r="O14" s="23"/>
      <c r="P14" s="23" t="str">
        <f>IFERROR(__xludf.DUMMYFUNCTION("""COMPUTED_VALUE"""),"(Friedman, 2021)")</f>
        <v>(Friedman, 2021)</v>
      </c>
      <c r="Q14" s="23">
        <f>IFERROR(__xludf.DUMMYFUNCTION("""COMPUTED_VALUE"""),205.0)</f>
        <v>205</v>
      </c>
      <c r="R14" s="23" t="str">
        <f>IFERROR(__xludf.DUMMYFUNCTION("""COMPUTED_VALUE"""),"Lak")</f>
        <v>Lak</v>
      </c>
      <c r="S14" s="23" t="str">
        <f>IFERROR(__xludf.DUMMYFUNCTION("""COMPUTED_VALUE"""),"Lak")</f>
        <v>Lak</v>
      </c>
      <c r="T14" s="23" t="str">
        <f>IFERROR(__xludf.DUMMYFUNCTION("""COMPUTED_VALUE"""),"Standard Lak")</f>
        <v>Standard Lak</v>
      </c>
    </row>
    <row r="15">
      <c r="E15" s="23">
        <f>IFERROR(__xludf.DUMMYFUNCTION("""COMPUTED_VALUE"""),607.0)</f>
        <v>607</v>
      </c>
      <c r="F15" s="23" t="str">
        <f>IFERROR(__xludf.DUMMYFUNCTION("""COMPUTED_VALUE"""),"assimilation")</f>
        <v>assimilation</v>
      </c>
      <c r="G15" s="23" t="str">
        <f>IFERROR(__xludf.DUMMYFUNCTION("""COMPUTED_VALUE"""),"d-assimilation")</f>
        <v>d-assimilation</v>
      </c>
      <c r="H15" s="26" t="str">
        <f>IFERROR(__xludf.DUMMYFUNCTION("""COMPUTED_VALUE"""),"д")</f>
        <v>д</v>
      </c>
      <c r="I15" s="26" t="str">
        <f>IFERROR(__xludf.DUMMYFUNCTION("""COMPUTED_VALUE"""),"л")</f>
        <v>л</v>
      </c>
      <c r="J15" s="23" t="str">
        <f>IFERROR(__xludf.DUMMYFUNCTION("""COMPUTED_VALUE"""),"/ л _")</f>
        <v>/ л _</v>
      </c>
      <c r="K15" s="23" t="str">
        <f>IFERROR(__xludf.DUMMYFUNCTION("""COMPUTED_VALUE"""),"-")</f>
        <v>-</v>
      </c>
      <c r="L15" s="23" t="str">
        <f>IFERROR(__xludf.DUMMYFUNCTION("""COMPUTED_VALUE"""),"&gt;")</f>
        <v>&gt;</v>
      </c>
      <c r="M15" s="23"/>
      <c r="N15" s="23" t="str">
        <f>IFERROR(__xludf.DUMMYFUNCTION("""COMPUTED_VALUE"""),"‘’ &gt; ‘’")</f>
        <v>‘’ &gt; ‘’</v>
      </c>
      <c r="O15" s="23"/>
      <c r="P15" s="23" t="str">
        <f>IFERROR(__xludf.DUMMYFUNCTION("""COMPUTED_VALUE"""),"(Žirkov, 1955)")</f>
        <v>(Žirkov, 1955)</v>
      </c>
      <c r="Q15" s="23">
        <f>IFERROR(__xludf.DUMMYFUNCTION("""COMPUTED_VALUE"""),14.0)</f>
        <v>14</v>
      </c>
      <c r="R15" s="23" t="str">
        <f>IFERROR(__xludf.DUMMYFUNCTION("""COMPUTED_VALUE"""),"Lak")</f>
        <v>Lak</v>
      </c>
      <c r="S15" s="23" t="str">
        <f>IFERROR(__xludf.DUMMYFUNCTION("""COMPUTED_VALUE"""),"Lak")</f>
        <v>Lak</v>
      </c>
      <c r="T15" s="23" t="str">
        <f>IFERROR(__xludf.DUMMYFUNCTION("""COMPUTED_VALUE"""),"Standard Lak")</f>
        <v>Standard Lak</v>
      </c>
    </row>
    <row r="16">
      <c r="E16" s="23">
        <f>IFERROR(__xludf.DUMMYFUNCTION("""COMPUTED_VALUE"""),608.0)</f>
        <v>608</v>
      </c>
      <c r="F16" s="23" t="str">
        <f>IFERROR(__xludf.DUMMYFUNCTION("""COMPUTED_VALUE"""),"assimilation")</f>
        <v>assimilation</v>
      </c>
      <c r="G16" s="23" t="str">
        <f>IFERROR(__xludf.DUMMYFUNCTION("""COMPUTED_VALUE"""),"d-assimilation")</f>
        <v>d-assimilation</v>
      </c>
      <c r="H16" s="26" t="str">
        <f>IFERROR(__xludf.DUMMYFUNCTION("""COMPUTED_VALUE"""),"д")</f>
        <v>д</v>
      </c>
      <c r="I16" s="26" t="str">
        <f>IFERROR(__xludf.DUMMYFUNCTION("""COMPUTED_VALUE"""),"н")</f>
        <v>н</v>
      </c>
      <c r="J16" s="23" t="str">
        <f>IFERROR(__xludf.DUMMYFUNCTION("""COMPUTED_VALUE"""),"/ н _")</f>
        <v>/ н _</v>
      </c>
      <c r="K16" s="23" t="str">
        <f>IFERROR(__xludf.DUMMYFUNCTION("""COMPUTED_VALUE"""),"-")</f>
        <v>-</v>
      </c>
      <c r="L16" s="23" t="str">
        <f>IFERROR(__xludf.DUMMYFUNCTION("""COMPUTED_VALUE"""),"&gt;")</f>
        <v>&gt;</v>
      </c>
      <c r="M16" s="23"/>
      <c r="N16" s="23" t="str">
        <f>IFERROR(__xludf.DUMMYFUNCTION("""COMPUTED_VALUE"""),"‘’ &gt; ‘’")</f>
        <v>‘’ &gt; ‘’</v>
      </c>
      <c r="O16" s="23"/>
      <c r="P16" s="23" t="str">
        <f>IFERROR(__xludf.DUMMYFUNCTION("""COMPUTED_VALUE"""),"(Žirkov, 1955)")</f>
        <v>(Žirkov, 1955)</v>
      </c>
      <c r="Q16" s="23">
        <f>IFERROR(__xludf.DUMMYFUNCTION("""COMPUTED_VALUE"""),14.0)</f>
        <v>14</v>
      </c>
      <c r="R16" s="23" t="str">
        <f>IFERROR(__xludf.DUMMYFUNCTION("""COMPUTED_VALUE"""),"Lak")</f>
        <v>Lak</v>
      </c>
      <c r="S16" s="23" t="str">
        <f>IFERROR(__xludf.DUMMYFUNCTION("""COMPUTED_VALUE"""),"Lak")</f>
        <v>Lak</v>
      </c>
      <c r="T16" s="23" t="str">
        <f>IFERROR(__xludf.DUMMYFUNCTION("""COMPUTED_VALUE"""),"Standard Lak")</f>
        <v>Standard Lak</v>
      </c>
    </row>
    <row r="17">
      <c r="E17" s="23">
        <f>IFERROR(__xludf.DUMMYFUNCTION("""COMPUTED_VALUE"""),630.0)</f>
        <v>630</v>
      </c>
      <c r="F17" s="23" t="str">
        <f>IFERROR(__xludf.DUMMYFUNCTION("""COMPUTED_VALUE"""),"assimilation")</f>
        <v>assimilation</v>
      </c>
      <c r="G17" s="23" t="str">
        <f>IFERROR(__xludf.DUMMYFUNCTION("""COMPUTED_VALUE"""),"d-assimilation")</f>
        <v>d-assimilation</v>
      </c>
      <c r="H17" s="26" t="str">
        <f>IFERROR(__xludf.DUMMYFUNCTION("""COMPUTED_VALUE"""),"d")</f>
        <v>d</v>
      </c>
      <c r="I17" s="26" t="str">
        <f>IFERROR(__xludf.DUMMYFUNCTION("""COMPUTED_VALUE"""),"n")</f>
        <v>n</v>
      </c>
      <c r="J17" s="23" t="str">
        <f>IFERROR(__xludf.DUMMYFUNCTION("""COMPUTED_VALUE"""),"/ _ + n")</f>
        <v>/ _ + n</v>
      </c>
      <c r="K17" s="23" t="str">
        <f>IFERROR(__xludf.DUMMYFUNCTION("""COMPUTED_VALUE"""),"-")</f>
        <v>-</v>
      </c>
      <c r="L17" s="23" t="str">
        <f>IFERROR(__xludf.DUMMYFUNCTION("""COMPUTED_VALUE"""),"&gt;")</f>
        <v>&gt;</v>
      </c>
      <c r="M17" s="23"/>
      <c r="N17" s="23" t="str">
        <f>IFERROR(__xludf.DUMMYFUNCTION("""COMPUTED_VALUE"""),"‘’ &gt; ‘’")</f>
        <v>‘’ &gt; ‘’</v>
      </c>
      <c r="O17" s="23"/>
      <c r="P17" s="23" t="str">
        <f>IFERROR(__xludf.DUMMYFUNCTION("""COMPUTED_VALUE"""),"(Magometov, 1970)")</f>
        <v>(Magometov, 1970)</v>
      </c>
      <c r="Q17" s="23">
        <f>IFERROR(__xludf.DUMMYFUNCTION("""COMPUTED_VALUE"""),37.0)</f>
        <v>37</v>
      </c>
      <c r="R17" s="23" t="str">
        <f>IFERROR(__xludf.DUMMYFUNCTION("""COMPUTED_VALUE"""),"Central Agul")</f>
        <v>Central Agul</v>
      </c>
      <c r="S17" s="23" t="str">
        <f>IFERROR(__xludf.DUMMYFUNCTION("""COMPUTED_VALUE"""),"Agul")</f>
        <v>Agul</v>
      </c>
      <c r="T17" s="23" t="str">
        <f>IFERROR(__xludf.DUMMYFUNCTION("""COMPUTED_VALUE"""),"	Central")</f>
        <v>	Central</v>
      </c>
    </row>
    <row r="18">
      <c r="H18" s="26"/>
      <c r="I18" s="26"/>
    </row>
    <row r="19">
      <c r="H19" s="26"/>
      <c r="I19" s="26"/>
    </row>
    <row r="20">
      <c r="H20" s="26"/>
      <c r="I20" s="26"/>
    </row>
    <row r="21">
      <c r="H21" s="26"/>
      <c r="I21" s="26"/>
    </row>
    <row r="22">
      <c r="E22" s="28" t="s">
        <v>1797</v>
      </c>
      <c r="H22" s="26"/>
      <c r="I22" s="26"/>
    </row>
    <row r="23">
      <c r="H23" s="26"/>
      <c r="I23" s="26"/>
    </row>
    <row r="24">
      <c r="E24" s="25" t="s">
        <v>1786</v>
      </c>
      <c r="H24" s="26"/>
      <c r="I24" s="26"/>
    </row>
    <row r="25">
      <c r="E25" s="25" t="s">
        <v>1796</v>
      </c>
      <c r="H25" s="26"/>
      <c r="I25" s="26"/>
    </row>
    <row r="26">
      <c r="E26" s="25" t="s">
        <v>1793</v>
      </c>
      <c r="H26" s="26"/>
      <c r="I26" s="26"/>
    </row>
    <row r="27">
      <c r="E27" s="5"/>
      <c r="H27" s="26"/>
      <c r="I27" s="26"/>
    </row>
    <row r="28">
      <c r="H28" s="26"/>
      <c r="I28" s="26"/>
    </row>
    <row r="29">
      <c r="H29" s="26"/>
      <c r="I29" s="26"/>
    </row>
    <row r="30">
      <c r="H30" s="26"/>
      <c r="I30" s="26"/>
    </row>
    <row r="31">
      <c r="H31" s="26"/>
      <c r="I31" s="26"/>
    </row>
    <row r="32">
      <c r="H32" s="26"/>
      <c r="I32" s="26"/>
    </row>
    <row r="33">
      <c r="H33" s="26"/>
      <c r="I33" s="26"/>
    </row>
    <row r="34">
      <c r="H34" s="26"/>
      <c r="I34" s="26"/>
    </row>
    <row r="35">
      <c r="H35" s="26"/>
      <c r="I35" s="26"/>
    </row>
    <row r="36">
      <c r="H36" s="26"/>
      <c r="I36" s="26"/>
    </row>
    <row r="37">
      <c r="H37" s="26"/>
      <c r="I37" s="26"/>
    </row>
    <row r="38">
      <c r="H38" s="26"/>
      <c r="I38" s="26"/>
    </row>
    <row r="39">
      <c r="H39" s="26"/>
      <c r="I39" s="26"/>
    </row>
    <row r="40">
      <c r="H40" s="26"/>
      <c r="I40" s="26"/>
    </row>
    <row r="41">
      <c r="H41" s="26"/>
      <c r="I41" s="26"/>
    </row>
    <row r="42">
      <c r="H42" s="26"/>
      <c r="I42" s="26"/>
    </row>
    <row r="43">
      <c r="H43" s="26"/>
      <c r="I43" s="26"/>
    </row>
    <row r="44">
      <c r="H44" s="26"/>
      <c r="I44" s="26"/>
    </row>
    <row r="45">
      <c r="H45" s="26"/>
      <c r="I45" s="26"/>
    </row>
    <row r="46">
      <c r="H46" s="26"/>
      <c r="I46" s="26"/>
    </row>
    <row r="47">
      <c r="H47" s="26"/>
      <c r="I47" s="26"/>
    </row>
    <row r="48">
      <c r="H48" s="26"/>
      <c r="I48" s="26"/>
    </row>
    <row r="49">
      <c r="H49" s="26"/>
      <c r="I49" s="26"/>
    </row>
    <row r="50">
      <c r="H50" s="26"/>
      <c r="I50" s="26"/>
    </row>
    <row r="51">
      <c r="H51" s="26"/>
      <c r="I51" s="26"/>
    </row>
    <row r="52">
      <c r="H52" s="26"/>
      <c r="I52" s="26"/>
    </row>
    <row r="53">
      <c r="H53" s="26"/>
      <c r="I53" s="26"/>
    </row>
    <row r="54">
      <c r="H54" s="26"/>
      <c r="I54" s="26"/>
    </row>
    <row r="55">
      <c r="H55" s="26"/>
      <c r="I55" s="26"/>
    </row>
    <row r="56">
      <c r="H56" s="26"/>
      <c r="I56" s="26"/>
    </row>
    <row r="57">
      <c r="H57" s="26"/>
      <c r="I57" s="26"/>
    </row>
    <row r="58">
      <c r="H58" s="26"/>
      <c r="I58" s="26"/>
    </row>
    <row r="59">
      <c r="H59" s="26"/>
      <c r="I59" s="26"/>
    </row>
    <row r="60">
      <c r="H60" s="26"/>
      <c r="I60" s="26"/>
    </row>
    <row r="61">
      <c r="H61" s="26"/>
      <c r="I61" s="26"/>
    </row>
    <row r="62">
      <c r="H62" s="26"/>
      <c r="I62" s="26"/>
    </row>
    <row r="63">
      <c r="H63" s="26"/>
      <c r="I63" s="26"/>
    </row>
    <row r="64">
      <c r="H64" s="26"/>
      <c r="I64" s="26"/>
    </row>
    <row r="65">
      <c r="H65" s="26"/>
      <c r="I65" s="26"/>
    </row>
    <row r="66">
      <c r="H66" s="26"/>
      <c r="I66" s="26"/>
    </row>
    <row r="67">
      <c r="H67" s="26"/>
      <c r="I67" s="26"/>
    </row>
    <row r="68">
      <c r="H68" s="26"/>
      <c r="I68" s="26"/>
    </row>
    <row r="69">
      <c r="H69" s="26"/>
      <c r="I69" s="26"/>
    </row>
    <row r="70">
      <c r="H70" s="26"/>
      <c r="I70" s="26"/>
    </row>
    <row r="71">
      <c r="H71" s="26"/>
      <c r="I71" s="26"/>
    </row>
    <row r="72">
      <c r="H72" s="26"/>
      <c r="I72" s="26"/>
    </row>
    <row r="73">
      <c r="H73" s="26"/>
      <c r="I73" s="26"/>
    </row>
    <row r="74">
      <c r="H74" s="26"/>
      <c r="I74" s="26"/>
    </row>
    <row r="75">
      <c r="H75" s="26"/>
      <c r="I75" s="26"/>
    </row>
    <row r="76">
      <c r="H76" s="26"/>
      <c r="I76" s="26"/>
    </row>
    <row r="77">
      <c r="H77" s="26"/>
      <c r="I77" s="26"/>
    </row>
    <row r="78">
      <c r="H78" s="26"/>
      <c r="I78" s="26"/>
    </row>
    <row r="79">
      <c r="H79" s="26"/>
      <c r="I79" s="26"/>
    </row>
    <row r="80">
      <c r="H80" s="26"/>
      <c r="I80" s="26"/>
    </row>
    <row r="81">
      <c r="H81" s="26"/>
      <c r="I81" s="26"/>
    </row>
    <row r="82">
      <c r="H82" s="26"/>
      <c r="I82" s="26"/>
    </row>
    <row r="83">
      <c r="H83" s="26"/>
      <c r="I83" s="26"/>
    </row>
    <row r="84">
      <c r="H84" s="26"/>
      <c r="I84" s="26"/>
    </row>
    <row r="85">
      <c r="H85" s="26"/>
      <c r="I85" s="26"/>
    </row>
    <row r="86">
      <c r="H86" s="26"/>
      <c r="I86" s="26"/>
    </row>
    <row r="87">
      <c r="H87" s="26"/>
      <c r="I87" s="26"/>
    </row>
    <row r="88">
      <c r="H88" s="26"/>
      <c r="I88" s="26"/>
    </row>
    <row r="89">
      <c r="H89" s="26"/>
      <c r="I89" s="26"/>
    </row>
    <row r="90">
      <c r="H90" s="26"/>
      <c r="I90" s="26"/>
    </row>
    <row r="91">
      <c r="H91" s="26"/>
      <c r="I91" s="26"/>
    </row>
    <row r="92">
      <c r="H92" s="26"/>
      <c r="I92" s="26"/>
    </row>
    <row r="93">
      <c r="H93" s="26"/>
      <c r="I93" s="26"/>
    </row>
    <row r="94">
      <c r="H94" s="26"/>
      <c r="I94" s="26"/>
    </row>
    <row r="95">
      <c r="H95" s="26"/>
      <c r="I95" s="26"/>
    </row>
    <row r="96">
      <c r="H96" s="26"/>
      <c r="I96" s="26"/>
    </row>
    <row r="97">
      <c r="H97" s="26"/>
      <c r="I97" s="26"/>
    </row>
    <row r="98">
      <c r="H98" s="26"/>
      <c r="I98" s="26"/>
    </row>
    <row r="99">
      <c r="H99" s="26"/>
      <c r="I99" s="26"/>
    </row>
    <row r="100">
      <c r="H100" s="26"/>
      <c r="I100" s="26"/>
    </row>
    <row r="101">
      <c r="H101" s="26"/>
      <c r="I101" s="26"/>
    </row>
    <row r="102">
      <c r="H102" s="26"/>
      <c r="I102" s="26"/>
    </row>
    <row r="103">
      <c r="H103" s="26"/>
      <c r="I103" s="26"/>
    </row>
    <row r="104">
      <c r="H104" s="26"/>
      <c r="I104" s="26"/>
    </row>
    <row r="105">
      <c r="H105" s="26"/>
      <c r="I105" s="26"/>
    </row>
    <row r="106">
      <c r="H106" s="26"/>
      <c r="I106" s="26"/>
    </row>
    <row r="107">
      <c r="H107" s="26"/>
      <c r="I107" s="26"/>
    </row>
    <row r="108">
      <c r="H108" s="26"/>
      <c r="I108" s="26"/>
    </row>
    <row r="109">
      <c r="H109" s="26"/>
      <c r="I109" s="26"/>
    </row>
    <row r="110">
      <c r="H110" s="26"/>
      <c r="I110" s="26"/>
    </row>
    <row r="111">
      <c r="H111" s="26"/>
      <c r="I111" s="26"/>
    </row>
    <row r="112">
      <c r="H112" s="26"/>
      <c r="I112" s="26"/>
    </row>
    <row r="113">
      <c r="H113" s="26"/>
      <c r="I113" s="26"/>
    </row>
    <row r="114">
      <c r="H114" s="26"/>
      <c r="I114" s="26"/>
    </row>
    <row r="115">
      <c r="H115" s="26"/>
      <c r="I115" s="26"/>
    </row>
    <row r="116">
      <c r="H116" s="26"/>
      <c r="I116" s="26"/>
    </row>
    <row r="117">
      <c r="H117" s="26"/>
      <c r="I117" s="26"/>
    </row>
    <row r="118">
      <c r="H118" s="26"/>
      <c r="I118" s="26"/>
    </row>
    <row r="119">
      <c r="H119" s="26"/>
      <c r="I119" s="26"/>
    </row>
    <row r="120">
      <c r="H120" s="26"/>
      <c r="I120" s="26"/>
    </row>
    <row r="121">
      <c r="H121" s="26"/>
      <c r="I121" s="26"/>
    </row>
    <row r="122">
      <c r="H122" s="26"/>
      <c r="I122" s="26"/>
    </row>
    <row r="123">
      <c r="H123" s="26"/>
      <c r="I123" s="26"/>
    </row>
    <row r="124">
      <c r="H124" s="26"/>
      <c r="I124" s="26"/>
    </row>
    <row r="125">
      <c r="H125" s="26"/>
      <c r="I125" s="26"/>
    </row>
    <row r="126">
      <c r="H126" s="26"/>
      <c r="I126" s="26"/>
    </row>
    <row r="127">
      <c r="H127" s="26"/>
      <c r="I127" s="26"/>
    </row>
    <row r="128">
      <c r="H128" s="26"/>
      <c r="I128" s="26"/>
    </row>
    <row r="129">
      <c r="H129" s="26"/>
      <c r="I129" s="26"/>
    </row>
    <row r="130">
      <c r="H130" s="26"/>
      <c r="I130" s="26"/>
    </row>
    <row r="131">
      <c r="H131" s="26"/>
      <c r="I131" s="26"/>
    </row>
    <row r="132">
      <c r="H132" s="26"/>
      <c r="I132" s="26"/>
    </row>
    <row r="133">
      <c r="H133" s="26"/>
      <c r="I133" s="26"/>
    </row>
    <row r="134">
      <c r="H134" s="26"/>
      <c r="I134" s="26"/>
    </row>
    <row r="135">
      <c r="H135" s="26"/>
      <c r="I135" s="26"/>
    </row>
    <row r="136">
      <c r="H136" s="26"/>
      <c r="I136" s="26"/>
    </row>
    <row r="137">
      <c r="H137" s="26"/>
      <c r="I137" s="26"/>
    </row>
    <row r="138">
      <c r="H138" s="26"/>
      <c r="I138" s="26"/>
    </row>
    <row r="139">
      <c r="H139" s="26"/>
      <c r="I139" s="26"/>
    </row>
    <row r="140">
      <c r="H140" s="26"/>
      <c r="I140" s="26"/>
    </row>
    <row r="141">
      <c r="H141" s="26"/>
      <c r="I141" s="26"/>
    </row>
    <row r="142">
      <c r="H142" s="26"/>
      <c r="I142" s="26"/>
    </row>
    <row r="143">
      <c r="H143" s="26"/>
      <c r="I143" s="26"/>
    </row>
    <row r="144">
      <c r="H144" s="26"/>
      <c r="I144" s="26"/>
    </row>
    <row r="145">
      <c r="H145" s="26"/>
      <c r="I145" s="26"/>
    </row>
    <row r="146">
      <c r="H146" s="26"/>
      <c r="I146" s="26"/>
    </row>
    <row r="147">
      <c r="H147" s="26"/>
      <c r="I147" s="26"/>
    </row>
    <row r="148">
      <c r="H148" s="26"/>
      <c r="I148" s="26"/>
    </row>
    <row r="149">
      <c r="H149" s="26"/>
      <c r="I149" s="26"/>
    </row>
    <row r="150">
      <c r="H150" s="26"/>
      <c r="I150" s="26"/>
    </row>
    <row r="151">
      <c r="H151" s="26"/>
      <c r="I151" s="26"/>
    </row>
    <row r="152">
      <c r="H152" s="26"/>
      <c r="I152" s="26"/>
    </row>
    <row r="153">
      <c r="H153" s="26"/>
      <c r="I153" s="26"/>
    </row>
    <row r="154">
      <c r="H154" s="26"/>
      <c r="I154" s="26"/>
    </row>
    <row r="155">
      <c r="H155" s="26"/>
      <c r="I155" s="26"/>
    </row>
    <row r="156">
      <c r="H156" s="26"/>
      <c r="I156" s="26"/>
    </row>
    <row r="157">
      <c r="H157" s="26"/>
      <c r="I157" s="26"/>
    </row>
    <row r="158">
      <c r="H158" s="26"/>
      <c r="I158" s="26"/>
    </row>
    <row r="159">
      <c r="H159" s="26"/>
      <c r="I159" s="26"/>
    </row>
    <row r="160">
      <c r="H160" s="26"/>
      <c r="I160" s="26"/>
    </row>
    <row r="161">
      <c r="H161" s="26"/>
      <c r="I161" s="26"/>
    </row>
    <row r="162">
      <c r="H162" s="26"/>
      <c r="I162" s="26"/>
    </row>
    <row r="163">
      <c r="H163" s="26"/>
      <c r="I163" s="26"/>
    </row>
    <row r="164">
      <c r="H164" s="26"/>
      <c r="I164" s="26"/>
    </row>
    <row r="165">
      <c r="H165" s="26"/>
      <c r="I165" s="26"/>
    </row>
    <row r="166">
      <c r="H166" s="26"/>
      <c r="I166" s="26"/>
    </row>
    <row r="167">
      <c r="H167" s="26"/>
      <c r="I167" s="26"/>
    </row>
    <row r="168">
      <c r="H168" s="26"/>
      <c r="I168" s="26"/>
    </row>
    <row r="169">
      <c r="H169" s="26"/>
      <c r="I169" s="26"/>
    </row>
    <row r="170">
      <c r="H170" s="26"/>
      <c r="I170" s="26"/>
    </row>
    <row r="171">
      <c r="H171" s="26"/>
      <c r="I171" s="26"/>
    </row>
    <row r="172">
      <c r="H172" s="26"/>
      <c r="I172" s="26"/>
    </row>
    <row r="173">
      <c r="H173" s="26"/>
      <c r="I173" s="26"/>
    </row>
    <row r="174">
      <c r="H174" s="26"/>
      <c r="I174" s="26"/>
    </row>
    <row r="175">
      <c r="H175" s="26"/>
      <c r="I175" s="26"/>
    </row>
    <row r="176">
      <c r="H176" s="26"/>
      <c r="I176" s="26"/>
    </row>
    <row r="177">
      <c r="H177" s="26"/>
      <c r="I177" s="26"/>
    </row>
    <row r="178">
      <c r="H178" s="26"/>
      <c r="I178" s="26"/>
    </row>
    <row r="179">
      <c r="H179" s="26"/>
      <c r="I179" s="26"/>
    </row>
    <row r="180">
      <c r="H180" s="26"/>
      <c r="I180" s="26"/>
    </row>
    <row r="181">
      <c r="H181" s="26"/>
      <c r="I181" s="26"/>
    </row>
    <row r="182">
      <c r="H182" s="26"/>
      <c r="I182" s="26"/>
    </row>
    <row r="183">
      <c r="H183" s="26"/>
      <c r="I183" s="26"/>
    </row>
    <row r="184">
      <c r="H184" s="26"/>
      <c r="I184" s="26"/>
    </row>
    <row r="185">
      <c r="H185" s="26"/>
      <c r="I185" s="26"/>
    </row>
    <row r="186">
      <c r="H186" s="26"/>
      <c r="I186" s="26"/>
    </row>
    <row r="187">
      <c r="H187" s="26"/>
      <c r="I187" s="26"/>
    </row>
    <row r="188">
      <c r="H188" s="26"/>
      <c r="I188" s="26"/>
    </row>
    <row r="189">
      <c r="H189" s="26"/>
      <c r="I189" s="26"/>
    </row>
    <row r="190">
      <c r="H190" s="26"/>
      <c r="I190" s="26"/>
    </row>
    <row r="191">
      <c r="H191" s="26"/>
      <c r="I191" s="26"/>
    </row>
    <row r="192">
      <c r="H192" s="26"/>
      <c r="I192" s="26"/>
    </row>
    <row r="193">
      <c r="H193" s="26"/>
      <c r="I193" s="26"/>
    </row>
    <row r="194">
      <c r="H194" s="26"/>
      <c r="I194" s="26"/>
    </row>
    <row r="195">
      <c r="H195" s="26"/>
      <c r="I195" s="26"/>
    </row>
    <row r="196">
      <c r="H196" s="26"/>
      <c r="I196" s="26"/>
    </row>
    <row r="197">
      <c r="H197" s="26"/>
      <c r="I197" s="26"/>
    </row>
    <row r="198">
      <c r="H198" s="26"/>
      <c r="I198" s="26"/>
    </row>
    <row r="199">
      <c r="H199" s="26"/>
      <c r="I199" s="26"/>
    </row>
    <row r="200">
      <c r="H200" s="26"/>
      <c r="I200" s="26"/>
    </row>
    <row r="201">
      <c r="H201" s="26"/>
      <c r="I201" s="26"/>
    </row>
    <row r="202">
      <c r="H202" s="26"/>
      <c r="I202" s="26"/>
    </row>
    <row r="203">
      <c r="H203" s="26"/>
      <c r="I203" s="26"/>
    </row>
    <row r="204">
      <c r="H204" s="26"/>
      <c r="I204" s="26"/>
    </row>
    <row r="205">
      <c r="H205" s="26"/>
      <c r="I205" s="26"/>
    </row>
    <row r="206">
      <c r="H206" s="26"/>
      <c r="I206" s="26"/>
    </row>
    <row r="207">
      <c r="H207" s="26"/>
      <c r="I207" s="26"/>
    </row>
    <row r="208">
      <c r="H208" s="26"/>
      <c r="I208" s="26"/>
    </row>
    <row r="209">
      <c r="H209" s="26"/>
      <c r="I209" s="26"/>
    </row>
    <row r="210">
      <c r="H210" s="26"/>
      <c r="I210" s="26"/>
    </row>
    <row r="211">
      <c r="H211" s="26"/>
      <c r="I211" s="26"/>
    </row>
    <row r="212">
      <c r="H212" s="26"/>
      <c r="I212" s="26"/>
    </row>
    <row r="213">
      <c r="H213" s="26"/>
      <c r="I213" s="26"/>
    </row>
    <row r="214">
      <c r="H214" s="26"/>
      <c r="I214" s="26"/>
    </row>
    <row r="215">
      <c r="H215" s="26"/>
      <c r="I215" s="26"/>
    </row>
    <row r="216">
      <c r="H216" s="26"/>
      <c r="I216" s="26"/>
    </row>
    <row r="217">
      <c r="H217" s="26"/>
      <c r="I217" s="26"/>
    </row>
    <row r="218">
      <c r="H218" s="26"/>
      <c r="I218" s="26"/>
    </row>
    <row r="219">
      <c r="H219" s="26"/>
      <c r="I219" s="26"/>
    </row>
    <row r="220">
      <c r="H220" s="26"/>
      <c r="I220" s="26"/>
    </row>
    <row r="221">
      <c r="H221" s="26"/>
      <c r="I221" s="26"/>
    </row>
    <row r="222">
      <c r="H222" s="26"/>
      <c r="I222" s="26"/>
    </row>
    <row r="223">
      <c r="H223" s="26"/>
      <c r="I223" s="26"/>
    </row>
    <row r="224">
      <c r="H224" s="26"/>
      <c r="I224" s="26"/>
    </row>
    <row r="225">
      <c r="H225" s="26"/>
      <c r="I225" s="26"/>
    </row>
    <row r="226">
      <c r="H226" s="26"/>
      <c r="I226" s="26"/>
    </row>
    <row r="227">
      <c r="H227" s="26"/>
      <c r="I227" s="26"/>
    </row>
    <row r="228">
      <c r="H228" s="26"/>
      <c r="I228" s="26"/>
    </row>
    <row r="229">
      <c r="H229" s="26"/>
      <c r="I229" s="26"/>
    </row>
    <row r="230">
      <c r="H230" s="26"/>
      <c r="I230" s="26"/>
    </row>
    <row r="231">
      <c r="H231" s="26"/>
      <c r="I231" s="26"/>
    </row>
    <row r="232">
      <c r="H232" s="26"/>
      <c r="I232" s="26"/>
    </row>
    <row r="233">
      <c r="H233" s="26"/>
      <c r="I233" s="26"/>
    </row>
    <row r="234">
      <c r="H234" s="26"/>
      <c r="I234" s="26"/>
    </row>
    <row r="235">
      <c r="H235" s="26"/>
      <c r="I235" s="26"/>
    </row>
    <row r="236">
      <c r="H236" s="26"/>
      <c r="I236" s="26"/>
    </row>
    <row r="237">
      <c r="H237" s="26"/>
      <c r="I237" s="26"/>
    </row>
    <row r="238">
      <c r="H238" s="26"/>
      <c r="I238" s="26"/>
    </row>
    <row r="239">
      <c r="H239" s="26"/>
      <c r="I239" s="26"/>
    </row>
    <row r="240">
      <c r="H240" s="26"/>
      <c r="I240" s="26"/>
    </row>
    <row r="241">
      <c r="H241" s="26"/>
      <c r="I241" s="26"/>
    </row>
    <row r="242">
      <c r="H242" s="26"/>
      <c r="I242" s="26"/>
    </row>
    <row r="243">
      <c r="H243" s="26"/>
      <c r="I243" s="26"/>
    </row>
    <row r="244">
      <c r="H244" s="26"/>
      <c r="I244" s="26"/>
    </row>
    <row r="245">
      <c r="H245" s="26"/>
      <c r="I245" s="26"/>
    </row>
    <row r="246">
      <c r="H246" s="26"/>
      <c r="I246" s="26"/>
    </row>
    <row r="247">
      <c r="H247" s="26"/>
      <c r="I247" s="26"/>
    </row>
    <row r="248">
      <c r="H248" s="26"/>
      <c r="I248" s="26"/>
    </row>
    <row r="249">
      <c r="H249" s="26"/>
      <c r="I249" s="26"/>
    </row>
    <row r="250">
      <c r="H250" s="26"/>
      <c r="I250" s="26"/>
    </row>
    <row r="251">
      <c r="H251" s="26"/>
      <c r="I251" s="26"/>
    </row>
    <row r="252">
      <c r="H252" s="26"/>
      <c r="I252" s="26"/>
    </row>
    <row r="253">
      <c r="H253" s="26"/>
      <c r="I253" s="26"/>
    </row>
    <row r="254">
      <c r="H254" s="26"/>
      <c r="I254" s="26"/>
    </row>
    <row r="255">
      <c r="H255" s="26"/>
      <c r="I255" s="26"/>
    </row>
    <row r="256">
      <c r="H256" s="26"/>
      <c r="I256" s="26"/>
    </row>
    <row r="257">
      <c r="H257" s="26"/>
      <c r="I257" s="26"/>
    </row>
    <row r="258">
      <c r="H258" s="26"/>
      <c r="I258" s="26"/>
    </row>
    <row r="259">
      <c r="H259" s="26"/>
      <c r="I259" s="26"/>
    </row>
    <row r="260">
      <c r="H260" s="26"/>
      <c r="I260" s="26"/>
    </row>
    <row r="261">
      <c r="H261" s="26"/>
      <c r="I261" s="26"/>
    </row>
    <row r="262">
      <c r="H262" s="26"/>
      <c r="I262" s="26"/>
    </row>
    <row r="263">
      <c r="H263" s="26"/>
      <c r="I263" s="26"/>
    </row>
    <row r="264">
      <c r="H264" s="26"/>
      <c r="I264" s="26"/>
    </row>
    <row r="265">
      <c r="H265" s="26"/>
      <c r="I265" s="26"/>
    </row>
    <row r="266">
      <c r="H266" s="26"/>
      <c r="I266" s="26"/>
    </row>
    <row r="267">
      <c r="H267" s="26"/>
      <c r="I267" s="26"/>
    </row>
    <row r="268">
      <c r="H268" s="26"/>
      <c r="I268" s="26"/>
    </row>
    <row r="269">
      <c r="H269" s="26"/>
      <c r="I269" s="26"/>
    </row>
    <row r="270">
      <c r="H270" s="26"/>
      <c r="I270" s="26"/>
    </row>
    <row r="271">
      <c r="H271" s="26"/>
      <c r="I271" s="26"/>
    </row>
    <row r="272">
      <c r="H272" s="26"/>
      <c r="I272" s="26"/>
    </row>
    <row r="273">
      <c r="H273" s="26"/>
      <c r="I273" s="26"/>
    </row>
    <row r="274">
      <c r="H274" s="26"/>
      <c r="I274" s="26"/>
    </row>
    <row r="275">
      <c r="H275" s="26"/>
      <c r="I275" s="26"/>
    </row>
    <row r="276">
      <c r="H276" s="26"/>
      <c r="I276" s="26"/>
    </row>
    <row r="277">
      <c r="H277" s="26"/>
      <c r="I277" s="26"/>
    </row>
    <row r="278">
      <c r="H278" s="26"/>
      <c r="I278" s="26"/>
    </row>
    <row r="279">
      <c r="H279" s="26"/>
      <c r="I279" s="26"/>
    </row>
    <row r="280">
      <c r="H280" s="26"/>
      <c r="I280" s="26"/>
    </row>
    <row r="281">
      <c r="H281" s="26"/>
      <c r="I281" s="26"/>
    </row>
    <row r="282">
      <c r="H282" s="26"/>
      <c r="I282" s="26"/>
    </row>
    <row r="283">
      <c r="H283" s="26"/>
      <c r="I283" s="26"/>
    </row>
    <row r="284">
      <c r="H284" s="26"/>
      <c r="I284" s="26"/>
    </row>
    <row r="285">
      <c r="H285" s="26"/>
      <c r="I285" s="26"/>
    </row>
    <row r="286">
      <c r="H286" s="26"/>
      <c r="I286" s="26"/>
    </row>
    <row r="287">
      <c r="H287" s="26"/>
      <c r="I287" s="26"/>
    </row>
    <row r="288">
      <c r="H288" s="26"/>
      <c r="I288" s="26"/>
    </row>
    <row r="289">
      <c r="H289" s="26"/>
      <c r="I289" s="26"/>
    </row>
    <row r="290">
      <c r="H290" s="26"/>
      <c r="I290" s="26"/>
    </row>
    <row r="291">
      <c r="H291" s="26"/>
      <c r="I291" s="26"/>
    </row>
    <row r="292">
      <c r="H292" s="26"/>
      <c r="I292" s="26"/>
    </row>
    <row r="293">
      <c r="H293" s="26"/>
      <c r="I293" s="26"/>
    </row>
    <row r="294">
      <c r="H294" s="26"/>
      <c r="I294" s="26"/>
    </row>
    <row r="295">
      <c r="H295" s="26"/>
      <c r="I295" s="26"/>
    </row>
    <row r="296">
      <c r="H296" s="26"/>
      <c r="I296" s="26"/>
    </row>
    <row r="297">
      <c r="H297" s="26"/>
      <c r="I297" s="26"/>
    </row>
    <row r="298">
      <c r="H298" s="26"/>
      <c r="I298" s="26"/>
    </row>
    <row r="299">
      <c r="H299" s="26"/>
      <c r="I299" s="26"/>
    </row>
    <row r="300">
      <c r="H300" s="26"/>
      <c r="I300" s="26"/>
    </row>
    <row r="301">
      <c r="H301" s="26"/>
      <c r="I301" s="26"/>
    </row>
    <row r="302">
      <c r="H302" s="26"/>
      <c r="I302" s="26"/>
    </row>
    <row r="303">
      <c r="H303" s="26"/>
      <c r="I303" s="26"/>
    </row>
    <row r="304">
      <c r="H304" s="26"/>
      <c r="I304" s="26"/>
    </row>
    <row r="305">
      <c r="H305" s="26"/>
      <c r="I305" s="26"/>
    </row>
    <row r="306">
      <c r="H306" s="26"/>
      <c r="I306" s="26"/>
    </row>
    <row r="307">
      <c r="H307" s="26"/>
      <c r="I307" s="26"/>
    </row>
    <row r="308">
      <c r="H308" s="26"/>
      <c r="I308" s="26"/>
    </row>
    <row r="309">
      <c r="H309" s="26"/>
      <c r="I309" s="26"/>
    </row>
    <row r="310">
      <c r="H310" s="26"/>
      <c r="I310" s="26"/>
    </row>
    <row r="311">
      <c r="H311" s="26"/>
      <c r="I311" s="26"/>
    </row>
    <row r="312">
      <c r="H312" s="26"/>
      <c r="I312" s="26"/>
    </row>
    <row r="313">
      <c r="H313" s="26"/>
      <c r="I313" s="26"/>
    </row>
    <row r="314">
      <c r="H314" s="26"/>
      <c r="I314" s="26"/>
    </row>
    <row r="315">
      <c r="H315" s="26"/>
      <c r="I315" s="26"/>
    </row>
    <row r="316">
      <c r="H316" s="26"/>
      <c r="I316" s="26"/>
    </row>
    <row r="317">
      <c r="H317" s="26"/>
      <c r="I317" s="26"/>
    </row>
    <row r="318">
      <c r="H318" s="26"/>
      <c r="I318" s="26"/>
    </row>
    <row r="319">
      <c r="H319" s="26"/>
      <c r="I319" s="26"/>
    </row>
    <row r="320">
      <c r="H320" s="26"/>
      <c r="I320" s="26"/>
    </row>
    <row r="321">
      <c r="H321" s="26"/>
      <c r="I321" s="26"/>
    </row>
    <row r="322">
      <c r="H322" s="26"/>
      <c r="I322" s="26"/>
    </row>
    <row r="323">
      <c r="H323" s="26"/>
      <c r="I323" s="26"/>
    </row>
    <row r="324">
      <c r="H324" s="26"/>
      <c r="I324" s="26"/>
    </row>
    <row r="325">
      <c r="H325" s="26"/>
      <c r="I325" s="26"/>
    </row>
    <row r="326">
      <c r="H326" s="26"/>
      <c r="I326" s="26"/>
    </row>
    <row r="327">
      <c r="H327" s="26"/>
      <c r="I327" s="26"/>
    </row>
    <row r="328">
      <c r="H328" s="26"/>
      <c r="I328" s="26"/>
    </row>
    <row r="329">
      <c r="H329" s="26"/>
      <c r="I329" s="26"/>
    </row>
    <row r="330">
      <c r="H330" s="26"/>
      <c r="I330" s="26"/>
    </row>
    <row r="331">
      <c r="H331" s="26"/>
      <c r="I331" s="26"/>
    </row>
    <row r="332">
      <c r="H332" s="26"/>
      <c r="I332" s="26"/>
    </row>
    <row r="333">
      <c r="H333" s="26"/>
      <c r="I333" s="26"/>
    </row>
    <row r="334">
      <c r="H334" s="26"/>
      <c r="I334" s="26"/>
    </row>
    <row r="335">
      <c r="H335" s="26"/>
      <c r="I335" s="26"/>
    </row>
    <row r="336">
      <c r="H336" s="26"/>
      <c r="I336" s="26"/>
    </row>
    <row r="337">
      <c r="H337" s="26"/>
      <c r="I337" s="26"/>
    </row>
    <row r="338">
      <c r="H338" s="26"/>
      <c r="I338" s="26"/>
    </row>
    <row r="339">
      <c r="H339" s="26"/>
      <c r="I339" s="26"/>
    </row>
    <row r="340">
      <c r="H340" s="26"/>
      <c r="I340" s="26"/>
    </row>
    <row r="341">
      <c r="H341" s="26"/>
      <c r="I341" s="26"/>
    </row>
    <row r="342">
      <c r="H342" s="26"/>
      <c r="I342" s="26"/>
    </row>
    <row r="343">
      <c r="H343" s="26"/>
      <c r="I343" s="26"/>
    </row>
    <row r="344">
      <c r="H344" s="26"/>
      <c r="I344" s="26"/>
    </row>
    <row r="345">
      <c r="H345" s="26"/>
      <c r="I345" s="26"/>
    </row>
    <row r="346">
      <c r="H346" s="26"/>
      <c r="I346" s="26"/>
    </row>
    <row r="347">
      <c r="H347" s="26"/>
      <c r="I347" s="26"/>
    </row>
    <row r="348">
      <c r="H348" s="26"/>
      <c r="I348" s="26"/>
    </row>
    <row r="349">
      <c r="H349" s="26"/>
      <c r="I349" s="26"/>
    </row>
    <row r="350">
      <c r="H350" s="26"/>
      <c r="I350" s="26"/>
    </row>
    <row r="351">
      <c r="H351" s="26"/>
      <c r="I351" s="26"/>
    </row>
    <row r="352">
      <c r="H352" s="26"/>
      <c r="I352" s="26"/>
    </row>
    <row r="353">
      <c r="H353" s="26"/>
      <c r="I353" s="26"/>
    </row>
    <row r="354">
      <c r="H354" s="26"/>
      <c r="I354" s="26"/>
    </row>
    <row r="355">
      <c r="H355" s="26"/>
      <c r="I355" s="26"/>
    </row>
    <row r="356">
      <c r="H356" s="26"/>
      <c r="I356" s="26"/>
    </row>
    <row r="357">
      <c r="H357" s="26"/>
      <c r="I357" s="26"/>
    </row>
    <row r="358">
      <c r="H358" s="26"/>
      <c r="I358" s="26"/>
    </row>
    <row r="359">
      <c r="H359" s="26"/>
      <c r="I359" s="26"/>
    </row>
    <row r="360">
      <c r="H360" s="26"/>
      <c r="I360" s="26"/>
    </row>
    <row r="361">
      <c r="H361" s="26"/>
      <c r="I361" s="26"/>
    </row>
    <row r="362">
      <c r="H362" s="26"/>
      <c r="I362" s="26"/>
    </row>
    <row r="363">
      <c r="H363" s="26"/>
      <c r="I363" s="26"/>
    </row>
    <row r="364">
      <c r="H364" s="26"/>
      <c r="I364" s="26"/>
    </row>
    <row r="365">
      <c r="H365" s="26"/>
      <c r="I365" s="26"/>
    </row>
    <row r="366">
      <c r="H366" s="26"/>
      <c r="I366" s="26"/>
    </row>
    <row r="367">
      <c r="H367" s="26"/>
      <c r="I367" s="26"/>
    </row>
    <row r="368">
      <c r="H368" s="26"/>
      <c r="I368" s="26"/>
    </row>
    <row r="369">
      <c r="H369" s="26"/>
      <c r="I369" s="26"/>
    </row>
    <row r="370">
      <c r="H370" s="26"/>
      <c r="I370" s="26"/>
    </row>
    <row r="371">
      <c r="H371" s="26"/>
      <c r="I371" s="26"/>
    </row>
    <row r="372">
      <c r="H372" s="26"/>
      <c r="I372" s="26"/>
    </row>
    <row r="373">
      <c r="H373" s="26"/>
      <c r="I373" s="26"/>
    </row>
    <row r="374">
      <c r="H374" s="26"/>
      <c r="I374" s="26"/>
    </row>
    <row r="375">
      <c r="H375" s="26"/>
      <c r="I375" s="26"/>
    </row>
    <row r="376">
      <c r="H376" s="26"/>
      <c r="I376" s="26"/>
    </row>
    <row r="377">
      <c r="H377" s="26"/>
      <c r="I377" s="26"/>
    </row>
    <row r="378">
      <c r="H378" s="26"/>
      <c r="I378" s="26"/>
    </row>
    <row r="379">
      <c r="H379" s="26"/>
      <c r="I379" s="26"/>
    </row>
    <row r="380">
      <c r="H380" s="26"/>
      <c r="I380" s="26"/>
    </row>
    <row r="381">
      <c r="H381" s="26"/>
      <c r="I381" s="26"/>
    </row>
    <row r="382">
      <c r="H382" s="26"/>
      <c r="I382" s="26"/>
    </row>
    <row r="383">
      <c r="H383" s="26"/>
      <c r="I383" s="26"/>
    </row>
    <row r="384">
      <c r="H384" s="26"/>
      <c r="I384" s="26"/>
    </row>
    <row r="385">
      <c r="H385" s="26"/>
      <c r="I385" s="26"/>
    </row>
    <row r="386">
      <c r="H386" s="26"/>
      <c r="I386" s="26"/>
    </row>
    <row r="387">
      <c r="H387" s="26"/>
      <c r="I387" s="26"/>
    </row>
    <row r="388">
      <c r="H388" s="26"/>
      <c r="I388" s="26"/>
    </row>
    <row r="389">
      <c r="H389" s="26"/>
      <c r="I389" s="26"/>
    </row>
    <row r="390">
      <c r="H390" s="26"/>
      <c r="I390" s="26"/>
    </row>
    <row r="391">
      <c r="H391" s="26"/>
      <c r="I391" s="26"/>
    </row>
    <row r="392">
      <c r="H392" s="26"/>
      <c r="I392" s="26"/>
    </row>
    <row r="393">
      <c r="H393" s="26"/>
      <c r="I393" s="26"/>
    </row>
    <row r="394">
      <c r="H394" s="26"/>
      <c r="I394" s="26"/>
    </row>
    <row r="395">
      <c r="H395" s="26"/>
      <c r="I395" s="26"/>
    </row>
    <row r="396">
      <c r="H396" s="26"/>
      <c r="I396" s="26"/>
    </row>
    <row r="397">
      <c r="H397" s="26"/>
      <c r="I397" s="26"/>
    </row>
    <row r="398">
      <c r="H398" s="26"/>
      <c r="I398" s="26"/>
    </row>
    <row r="399">
      <c r="H399" s="26"/>
      <c r="I399" s="26"/>
    </row>
    <row r="400">
      <c r="H400" s="26"/>
      <c r="I400" s="26"/>
    </row>
    <row r="401">
      <c r="H401" s="26"/>
      <c r="I401" s="26"/>
    </row>
    <row r="402">
      <c r="H402" s="26"/>
      <c r="I402" s="26"/>
    </row>
    <row r="403">
      <c r="H403" s="26"/>
      <c r="I403" s="26"/>
    </row>
    <row r="404">
      <c r="H404" s="26"/>
      <c r="I404" s="26"/>
    </row>
    <row r="405">
      <c r="H405" s="26"/>
      <c r="I405" s="26"/>
    </row>
    <row r="406">
      <c r="H406" s="26"/>
      <c r="I406" s="26"/>
    </row>
    <row r="407">
      <c r="H407" s="26"/>
      <c r="I407" s="26"/>
    </row>
    <row r="408">
      <c r="H408" s="26"/>
      <c r="I408" s="26"/>
    </row>
    <row r="409">
      <c r="H409" s="26"/>
      <c r="I409" s="26"/>
    </row>
    <row r="410">
      <c r="H410" s="26"/>
      <c r="I410" s="26"/>
    </row>
    <row r="411">
      <c r="H411" s="26"/>
      <c r="I411" s="26"/>
    </row>
    <row r="412">
      <c r="H412" s="26"/>
      <c r="I412" s="26"/>
    </row>
    <row r="413">
      <c r="H413" s="26"/>
      <c r="I413" s="26"/>
    </row>
    <row r="414">
      <c r="H414" s="26"/>
      <c r="I414" s="26"/>
    </row>
    <row r="415">
      <c r="H415" s="26"/>
      <c r="I415" s="26"/>
    </row>
    <row r="416">
      <c r="H416" s="26"/>
      <c r="I416" s="26"/>
    </row>
    <row r="417">
      <c r="H417" s="26"/>
      <c r="I417" s="26"/>
    </row>
    <row r="418">
      <c r="H418" s="26"/>
      <c r="I418" s="26"/>
    </row>
    <row r="419">
      <c r="H419" s="26"/>
      <c r="I419" s="26"/>
    </row>
    <row r="420">
      <c r="H420" s="26"/>
      <c r="I420" s="26"/>
    </row>
    <row r="421">
      <c r="H421" s="26"/>
      <c r="I421" s="26"/>
    </row>
    <row r="422">
      <c r="H422" s="26"/>
      <c r="I422" s="26"/>
    </row>
    <row r="423">
      <c r="H423" s="26"/>
      <c r="I423" s="26"/>
    </row>
    <row r="424">
      <c r="H424" s="26"/>
      <c r="I424" s="26"/>
    </row>
    <row r="425">
      <c r="H425" s="26"/>
      <c r="I425" s="26"/>
    </row>
    <row r="426">
      <c r="H426" s="26"/>
      <c r="I426" s="26"/>
    </row>
    <row r="427">
      <c r="H427" s="26"/>
      <c r="I427" s="26"/>
    </row>
    <row r="428">
      <c r="H428" s="26"/>
      <c r="I428" s="26"/>
    </row>
    <row r="429">
      <c r="H429" s="26"/>
      <c r="I429" s="26"/>
    </row>
    <row r="430">
      <c r="H430" s="26"/>
      <c r="I430" s="26"/>
    </row>
    <row r="431">
      <c r="H431" s="26"/>
      <c r="I431" s="26"/>
    </row>
    <row r="432">
      <c r="H432" s="26"/>
      <c r="I432" s="26"/>
    </row>
    <row r="433">
      <c r="H433" s="26"/>
      <c r="I433" s="26"/>
    </row>
    <row r="434">
      <c r="H434" s="26"/>
      <c r="I434" s="26"/>
    </row>
    <row r="435">
      <c r="H435" s="26"/>
      <c r="I435" s="26"/>
    </row>
    <row r="436">
      <c r="H436" s="26"/>
      <c r="I436" s="26"/>
    </row>
    <row r="437">
      <c r="H437" s="26"/>
      <c r="I437" s="26"/>
    </row>
    <row r="438">
      <c r="H438" s="26"/>
      <c r="I438" s="26"/>
    </row>
    <row r="439">
      <c r="H439" s="26"/>
      <c r="I439" s="26"/>
    </row>
    <row r="440">
      <c r="H440" s="26"/>
      <c r="I440" s="26"/>
    </row>
    <row r="441">
      <c r="H441" s="26"/>
      <c r="I441" s="26"/>
    </row>
    <row r="442">
      <c r="H442" s="26"/>
      <c r="I442" s="26"/>
    </row>
    <row r="443">
      <c r="H443" s="26"/>
      <c r="I443" s="26"/>
    </row>
    <row r="444">
      <c r="H444" s="26"/>
      <c r="I444" s="26"/>
    </row>
    <row r="445">
      <c r="H445" s="26"/>
      <c r="I445" s="26"/>
    </row>
    <row r="446">
      <c r="H446" s="26"/>
      <c r="I446" s="26"/>
    </row>
    <row r="447">
      <c r="H447" s="26"/>
      <c r="I447" s="26"/>
    </row>
    <row r="448">
      <c r="H448" s="26"/>
      <c r="I448" s="26"/>
    </row>
    <row r="449">
      <c r="H449" s="26"/>
      <c r="I449" s="26"/>
    </row>
    <row r="450">
      <c r="H450" s="26"/>
      <c r="I450" s="26"/>
    </row>
    <row r="451">
      <c r="H451" s="26"/>
      <c r="I451" s="26"/>
    </row>
    <row r="452">
      <c r="H452" s="26"/>
      <c r="I452" s="26"/>
    </row>
    <row r="453">
      <c r="H453" s="26"/>
      <c r="I453" s="26"/>
    </row>
    <row r="454">
      <c r="H454" s="26"/>
      <c r="I454" s="26"/>
    </row>
    <row r="455">
      <c r="H455" s="26"/>
      <c r="I455" s="26"/>
    </row>
    <row r="456">
      <c r="H456" s="26"/>
      <c r="I456" s="26"/>
    </row>
    <row r="457">
      <c r="H457" s="26"/>
      <c r="I457" s="26"/>
    </row>
    <row r="458">
      <c r="H458" s="26"/>
      <c r="I458" s="26"/>
    </row>
    <row r="459">
      <c r="H459" s="26"/>
      <c r="I459" s="26"/>
    </row>
    <row r="460">
      <c r="H460" s="26"/>
      <c r="I460" s="26"/>
    </row>
    <row r="461">
      <c r="H461" s="26"/>
      <c r="I461" s="26"/>
    </row>
    <row r="462">
      <c r="H462" s="26"/>
      <c r="I462" s="26"/>
    </row>
    <row r="463">
      <c r="H463" s="26"/>
      <c r="I463" s="26"/>
    </row>
    <row r="464">
      <c r="H464" s="26"/>
      <c r="I464" s="26"/>
    </row>
    <row r="465">
      <c r="H465" s="26"/>
      <c r="I465" s="26"/>
    </row>
    <row r="466">
      <c r="H466" s="26"/>
      <c r="I466" s="26"/>
    </row>
    <row r="467">
      <c r="H467" s="26"/>
      <c r="I467" s="26"/>
    </row>
    <row r="468">
      <c r="H468" s="26"/>
      <c r="I468" s="26"/>
    </row>
    <row r="469">
      <c r="H469" s="26"/>
      <c r="I469" s="26"/>
    </row>
    <row r="470">
      <c r="H470" s="26"/>
      <c r="I470" s="26"/>
    </row>
    <row r="471">
      <c r="H471" s="26"/>
      <c r="I471" s="26"/>
    </row>
    <row r="472">
      <c r="H472" s="26"/>
      <c r="I472" s="26"/>
    </row>
    <row r="473">
      <c r="H473" s="26"/>
      <c r="I473" s="26"/>
    </row>
    <row r="474">
      <c r="H474" s="26"/>
      <c r="I474" s="26"/>
    </row>
    <row r="475">
      <c r="H475" s="26"/>
      <c r="I475" s="26"/>
    </row>
    <row r="476">
      <c r="H476" s="26"/>
      <c r="I476" s="26"/>
    </row>
    <row r="477">
      <c r="H477" s="26"/>
      <c r="I477" s="26"/>
    </row>
    <row r="478">
      <c r="H478" s="26"/>
      <c r="I478" s="26"/>
    </row>
    <row r="479">
      <c r="H479" s="26"/>
      <c r="I479" s="26"/>
    </row>
    <row r="480">
      <c r="H480" s="26"/>
      <c r="I480" s="26"/>
    </row>
    <row r="481">
      <c r="H481" s="26"/>
      <c r="I481" s="26"/>
    </row>
    <row r="482">
      <c r="H482" s="26"/>
      <c r="I482" s="26"/>
    </row>
    <row r="483">
      <c r="H483" s="26"/>
      <c r="I483" s="26"/>
    </row>
    <row r="484">
      <c r="H484" s="26"/>
      <c r="I484" s="26"/>
    </row>
    <row r="485">
      <c r="H485" s="26"/>
      <c r="I485" s="26"/>
    </row>
    <row r="486">
      <c r="H486" s="26"/>
      <c r="I486" s="26"/>
    </row>
    <row r="487">
      <c r="H487" s="26"/>
      <c r="I487" s="26"/>
    </row>
    <row r="488">
      <c r="H488" s="26"/>
      <c r="I488" s="26"/>
    </row>
    <row r="489">
      <c r="H489" s="26"/>
      <c r="I489" s="26"/>
    </row>
    <row r="490">
      <c r="H490" s="26"/>
      <c r="I490" s="26"/>
    </row>
    <row r="491">
      <c r="H491" s="26"/>
      <c r="I491" s="26"/>
    </row>
    <row r="492">
      <c r="H492" s="26"/>
      <c r="I492" s="26"/>
    </row>
    <row r="493">
      <c r="H493" s="26"/>
      <c r="I493" s="26"/>
    </row>
    <row r="494">
      <c r="H494" s="26"/>
      <c r="I494" s="26"/>
    </row>
    <row r="495">
      <c r="H495" s="26"/>
      <c r="I495" s="26"/>
    </row>
    <row r="496">
      <c r="H496" s="26"/>
      <c r="I496" s="26"/>
    </row>
    <row r="497">
      <c r="H497" s="26"/>
      <c r="I497" s="26"/>
    </row>
    <row r="498">
      <c r="H498" s="26"/>
      <c r="I498" s="26"/>
    </row>
    <row r="499">
      <c r="H499" s="26"/>
      <c r="I499" s="26"/>
    </row>
    <row r="500">
      <c r="H500" s="26"/>
      <c r="I500" s="26"/>
    </row>
    <row r="501">
      <c r="H501" s="26"/>
      <c r="I501" s="26"/>
    </row>
    <row r="502">
      <c r="H502" s="26"/>
      <c r="I502" s="26"/>
    </row>
    <row r="503">
      <c r="H503" s="26"/>
      <c r="I503" s="26"/>
    </row>
    <row r="504">
      <c r="H504" s="26"/>
      <c r="I504" s="26"/>
    </row>
    <row r="505">
      <c r="H505" s="26"/>
      <c r="I505" s="26"/>
    </row>
    <row r="506">
      <c r="H506" s="26"/>
      <c r="I506" s="26"/>
    </row>
    <row r="507">
      <c r="H507" s="26"/>
      <c r="I507" s="26"/>
    </row>
    <row r="508">
      <c r="H508" s="26"/>
      <c r="I508" s="26"/>
    </row>
    <row r="509">
      <c r="H509" s="26"/>
      <c r="I509" s="26"/>
    </row>
    <row r="510">
      <c r="H510" s="26"/>
      <c r="I510" s="26"/>
    </row>
    <row r="511">
      <c r="H511" s="26"/>
      <c r="I511" s="26"/>
    </row>
    <row r="512">
      <c r="H512" s="26"/>
      <c r="I512" s="26"/>
    </row>
    <row r="513">
      <c r="H513" s="26"/>
      <c r="I513" s="26"/>
    </row>
    <row r="514">
      <c r="H514" s="26"/>
      <c r="I514" s="26"/>
    </row>
    <row r="515">
      <c r="H515" s="26"/>
      <c r="I515" s="26"/>
    </row>
    <row r="516">
      <c r="H516" s="26"/>
      <c r="I516" s="26"/>
    </row>
    <row r="517">
      <c r="H517" s="26"/>
      <c r="I517" s="26"/>
    </row>
    <row r="518">
      <c r="H518" s="26"/>
      <c r="I518" s="26"/>
    </row>
    <row r="519">
      <c r="H519" s="26"/>
      <c r="I519" s="26"/>
    </row>
    <row r="520">
      <c r="H520" s="26"/>
      <c r="I520" s="26"/>
    </row>
    <row r="521">
      <c r="H521" s="26"/>
      <c r="I521" s="26"/>
    </row>
    <row r="522">
      <c r="H522" s="26"/>
      <c r="I522" s="26"/>
    </row>
    <row r="523">
      <c r="H523" s="26"/>
      <c r="I523" s="26"/>
    </row>
    <row r="524">
      <c r="H524" s="26"/>
      <c r="I524" s="26"/>
    </row>
    <row r="525">
      <c r="H525" s="26"/>
      <c r="I525" s="26"/>
    </row>
    <row r="526">
      <c r="H526" s="26"/>
      <c r="I526" s="26"/>
    </row>
    <row r="527">
      <c r="H527" s="26"/>
      <c r="I527" s="26"/>
    </row>
    <row r="528">
      <c r="H528" s="26"/>
      <c r="I528" s="26"/>
    </row>
    <row r="529">
      <c r="H529" s="26"/>
      <c r="I529" s="26"/>
    </row>
    <row r="530">
      <c r="H530" s="26"/>
      <c r="I530" s="26"/>
    </row>
    <row r="531">
      <c r="H531" s="26"/>
      <c r="I531" s="26"/>
    </row>
    <row r="532">
      <c r="H532" s="26"/>
      <c r="I532" s="26"/>
    </row>
    <row r="533">
      <c r="H533" s="26"/>
      <c r="I533" s="26"/>
    </row>
    <row r="534">
      <c r="H534" s="26"/>
      <c r="I534" s="26"/>
    </row>
    <row r="535">
      <c r="H535" s="26"/>
      <c r="I535" s="26"/>
    </row>
    <row r="536">
      <c r="H536" s="26"/>
      <c r="I536" s="26"/>
    </row>
    <row r="537">
      <c r="H537" s="26"/>
      <c r="I537" s="26"/>
    </row>
    <row r="538">
      <c r="H538" s="26"/>
      <c r="I538" s="26"/>
    </row>
    <row r="539">
      <c r="H539" s="26"/>
      <c r="I539" s="26"/>
    </row>
    <row r="540">
      <c r="H540" s="26"/>
      <c r="I540" s="26"/>
    </row>
    <row r="541">
      <c r="H541" s="26"/>
      <c r="I541" s="26"/>
    </row>
    <row r="542">
      <c r="H542" s="26"/>
      <c r="I542" s="26"/>
    </row>
    <row r="543">
      <c r="H543" s="26"/>
      <c r="I543" s="26"/>
    </row>
    <row r="544">
      <c r="H544" s="26"/>
      <c r="I544" s="26"/>
    </row>
    <row r="545">
      <c r="H545" s="26"/>
      <c r="I545" s="26"/>
    </row>
    <row r="546">
      <c r="H546" s="26"/>
      <c r="I546" s="26"/>
    </row>
    <row r="547">
      <c r="H547" s="26"/>
      <c r="I547" s="26"/>
    </row>
    <row r="548">
      <c r="H548" s="26"/>
      <c r="I548" s="26"/>
    </row>
    <row r="549">
      <c r="H549" s="26"/>
      <c r="I549" s="26"/>
    </row>
    <row r="550">
      <c r="H550" s="26"/>
      <c r="I550" s="26"/>
    </row>
    <row r="551">
      <c r="H551" s="26"/>
      <c r="I551" s="26"/>
    </row>
    <row r="552">
      <c r="H552" s="26"/>
      <c r="I552" s="26"/>
    </row>
    <row r="553">
      <c r="H553" s="26"/>
      <c r="I553" s="26"/>
    </row>
    <row r="554">
      <c r="H554" s="26"/>
      <c r="I554" s="26"/>
    </row>
    <row r="555">
      <c r="H555" s="26"/>
      <c r="I555" s="26"/>
    </row>
    <row r="556">
      <c r="H556" s="26"/>
      <c r="I556" s="26"/>
    </row>
    <row r="557">
      <c r="H557" s="26"/>
      <c r="I557" s="26"/>
    </row>
    <row r="558">
      <c r="H558" s="26"/>
      <c r="I558" s="26"/>
    </row>
    <row r="559">
      <c r="H559" s="26"/>
      <c r="I559" s="26"/>
    </row>
    <row r="560">
      <c r="H560" s="26"/>
      <c r="I560" s="26"/>
    </row>
    <row r="561">
      <c r="H561" s="26"/>
      <c r="I561" s="26"/>
    </row>
    <row r="562">
      <c r="H562" s="26"/>
      <c r="I562" s="26"/>
    </row>
    <row r="563">
      <c r="H563" s="26"/>
      <c r="I563" s="26"/>
    </row>
    <row r="564">
      <c r="H564" s="26"/>
      <c r="I564" s="26"/>
    </row>
    <row r="565">
      <c r="H565" s="26"/>
      <c r="I565" s="26"/>
    </row>
    <row r="566">
      <c r="H566" s="26"/>
      <c r="I566" s="26"/>
    </row>
    <row r="567">
      <c r="H567" s="26"/>
      <c r="I567" s="26"/>
    </row>
    <row r="568">
      <c r="H568" s="26"/>
      <c r="I568" s="26"/>
    </row>
    <row r="569">
      <c r="H569" s="26"/>
      <c r="I569" s="26"/>
    </row>
    <row r="570">
      <c r="H570" s="26"/>
      <c r="I570" s="26"/>
    </row>
    <row r="571">
      <c r="H571" s="26"/>
      <c r="I571" s="26"/>
    </row>
    <row r="572">
      <c r="H572" s="26"/>
      <c r="I572" s="26"/>
    </row>
    <row r="573">
      <c r="H573" s="26"/>
      <c r="I573" s="26"/>
    </row>
    <row r="574">
      <c r="H574" s="26"/>
      <c r="I574" s="26"/>
    </row>
    <row r="575">
      <c r="H575" s="26"/>
      <c r="I575" s="26"/>
    </row>
    <row r="576">
      <c r="H576" s="26"/>
      <c r="I576" s="26"/>
    </row>
    <row r="577">
      <c r="H577" s="26"/>
      <c r="I577" s="26"/>
    </row>
    <row r="578">
      <c r="H578" s="26"/>
      <c r="I578" s="26"/>
    </row>
    <row r="579">
      <c r="H579" s="26"/>
      <c r="I579" s="26"/>
    </row>
    <row r="580">
      <c r="H580" s="26"/>
      <c r="I580" s="26"/>
    </row>
    <row r="581">
      <c r="H581" s="26"/>
      <c r="I581" s="26"/>
    </row>
    <row r="582">
      <c r="H582" s="26"/>
      <c r="I582" s="26"/>
    </row>
    <row r="583">
      <c r="H583" s="26"/>
      <c r="I583" s="26"/>
    </row>
    <row r="584">
      <c r="H584" s="26"/>
      <c r="I584" s="26"/>
    </row>
    <row r="585">
      <c r="H585" s="26"/>
      <c r="I585" s="26"/>
    </row>
    <row r="586">
      <c r="H586" s="26"/>
      <c r="I586" s="26"/>
    </row>
    <row r="587">
      <c r="H587" s="26"/>
      <c r="I587" s="26"/>
    </row>
    <row r="588">
      <c r="H588" s="26"/>
      <c r="I588" s="26"/>
    </row>
    <row r="589">
      <c r="H589" s="26"/>
      <c r="I589" s="26"/>
    </row>
    <row r="590">
      <c r="H590" s="26"/>
      <c r="I590" s="26"/>
    </row>
    <row r="591">
      <c r="H591" s="26"/>
      <c r="I591" s="26"/>
    </row>
    <row r="592">
      <c r="H592" s="26"/>
      <c r="I592" s="26"/>
    </row>
    <row r="593">
      <c r="H593" s="26"/>
      <c r="I593" s="26"/>
    </row>
    <row r="594">
      <c r="H594" s="26"/>
      <c r="I594" s="26"/>
    </row>
    <row r="595">
      <c r="H595" s="26"/>
      <c r="I595" s="26"/>
    </row>
    <row r="596">
      <c r="H596" s="26"/>
      <c r="I596" s="26"/>
    </row>
    <row r="597">
      <c r="H597" s="26"/>
      <c r="I597" s="26"/>
    </row>
    <row r="598">
      <c r="H598" s="26"/>
      <c r="I598" s="26"/>
    </row>
    <row r="599">
      <c r="H599" s="26"/>
      <c r="I599" s="26"/>
    </row>
    <row r="600">
      <c r="H600" s="26"/>
      <c r="I600" s="26"/>
    </row>
    <row r="601">
      <c r="H601" s="26"/>
      <c r="I601" s="26"/>
    </row>
    <row r="602">
      <c r="H602" s="26"/>
      <c r="I602" s="26"/>
    </row>
    <row r="603">
      <c r="H603" s="26"/>
      <c r="I603" s="26"/>
    </row>
    <row r="604">
      <c r="H604" s="26"/>
      <c r="I604" s="26"/>
    </row>
    <row r="605">
      <c r="H605" s="26"/>
      <c r="I605" s="26"/>
    </row>
    <row r="606">
      <c r="H606" s="26"/>
      <c r="I606" s="26"/>
    </row>
    <row r="607">
      <c r="H607" s="26"/>
      <c r="I607" s="26"/>
    </row>
    <row r="608">
      <c r="H608" s="26"/>
      <c r="I608" s="26"/>
    </row>
    <row r="609">
      <c r="H609" s="26"/>
      <c r="I609" s="26"/>
    </row>
    <row r="610">
      <c r="H610" s="26"/>
      <c r="I610" s="26"/>
    </row>
    <row r="611">
      <c r="H611" s="26"/>
      <c r="I611" s="26"/>
    </row>
    <row r="612">
      <c r="H612" s="26"/>
      <c r="I612" s="26"/>
    </row>
    <row r="613">
      <c r="H613" s="26"/>
      <c r="I613" s="26"/>
    </row>
    <row r="614">
      <c r="H614" s="26"/>
      <c r="I614" s="26"/>
    </row>
    <row r="615">
      <c r="H615" s="26"/>
      <c r="I615" s="26"/>
    </row>
    <row r="616">
      <c r="H616" s="26"/>
      <c r="I616" s="26"/>
    </row>
    <row r="617">
      <c r="H617" s="26"/>
      <c r="I617" s="26"/>
    </row>
    <row r="618">
      <c r="H618" s="26"/>
      <c r="I618" s="26"/>
    </row>
    <row r="619">
      <c r="H619" s="26"/>
      <c r="I619" s="26"/>
    </row>
    <row r="620">
      <c r="H620" s="26"/>
      <c r="I620" s="26"/>
    </row>
    <row r="621">
      <c r="H621" s="26"/>
      <c r="I621" s="26"/>
    </row>
    <row r="622">
      <c r="H622" s="26"/>
      <c r="I622" s="26"/>
    </row>
    <row r="623">
      <c r="H623" s="26"/>
      <c r="I623" s="26"/>
    </row>
    <row r="624">
      <c r="H624" s="26"/>
      <c r="I624" s="26"/>
    </row>
    <row r="625">
      <c r="H625" s="26"/>
      <c r="I625" s="26"/>
    </row>
    <row r="626">
      <c r="H626" s="26"/>
      <c r="I626" s="26"/>
    </row>
    <row r="627">
      <c r="H627" s="26"/>
      <c r="I627" s="26"/>
    </row>
    <row r="628">
      <c r="H628" s="26"/>
      <c r="I628" s="26"/>
    </row>
    <row r="629">
      <c r="H629" s="26"/>
      <c r="I629" s="26"/>
    </row>
    <row r="630">
      <c r="H630" s="26"/>
      <c r="I630" s="26"/>
    </row>
    <row r="631">
      <c r="H631" s="26"/>
      <c r="I631" s="26"/>
    </row>
    <row r="632">
      <c r="H632" s="26"/>
      <c r="I632" s="26"/>
    </row>
    <row r="633">
      <c r="H633" s="26"/>
      <c r="I633" s="26"/>
    </row>
    <row r="634">
      <c r="H634" s="26"/>
      <c r="I634" s="26"/>
    </row>
    <row r="635">
      <c r="H635" s="26"/>
      <c r="I635" s="26"/>
    </row>
    <row r="636">
      <c r="H636" s="26"/>
      <c r="I636" s="26"/>
    </row>
    <row r="637">
      <c r="H637" s="26"/>
      <c r="I637" s="26"/>
    </row>
    <row r="638">
      <c r="H638" s="26"/>
      <c r="I638" s="26"/>
    </row>
    <row r="639">
      <c r="H639" s="26"/>
      <c r="I639" s="26"/>
    </row>
    <row r="640">
      <c r="H640" s="26"/>
      <c r="I640" s="26"/>
    </row>
    <row r="641">
      <c r="H641" s="26"/>
      <c r="I641" s="26"/>
    </row>
    <row r="642">
      <c r="H642" s="26"/>
      <c r="I642" s="26"/>
    </row>
    <row r="643">
      <c r="H643" s="26"/>
      <c r="I643" s="26"/>
    </row>
    <row r="644">
      <c r="H644" s="26"/>
      <c r="I644" s="26"/>
    </row>
    <row r="645">
      <c r="H645" s="26"/>
      <c r="I645" s="26"/>
    </row>
    <row r="646">
      <c r="H646" s="26"/>
      <c r="I646" s="26"/>
    </row>
    <row r="647">
      <c r="H647" s="26"/>
      <c r="I647" s="26"/>
    </row>
    <row r="648">
      <c r="H648" s="26"/>
      <c r="I648" s="26"/>
    </row>
    <row r="649">
      <c r="H649" s="26"/>
      <c r="I649" s="26"/>
    </row>
    <row r="650">
      <c r="H650" s="26"/>
      <c r="I650" s="26"/>
    </row>
    <row r="651">
      <c r="H651" s="26"/>
      <c r="I651" s="26"/>
    </row>
    <row r="652">
      <c r="H652" s="26"/>
      <c r="I652" s="26"/>
    </row>
    <row r="653">
      <c r="H653" s="26"/>
      <c r="I653" s="26"/>
    </row>
    <row r="654">
      <c r="H654" s="26"/>
      <c r="I654" s="26"/>
    </row>
    <row r="655">
      <c r="H655" s="26"/>
      <c r="I655" s="26"/>
    </row>
    <row r="656">
      <c r="H656" s="26"/>
      <c r="I656" s="26"/>
    </row>
    <row r="657">
      <c r="H657" s="26"/>
      <c r="I657" s="26"/>
    </row>
    <row r="658">
      <c r="H658" s="26"/>
      <c r="I658" s="26"/>
    </row>
    <row r="659">
      <c r="H659" s="26"/>
      <c r="I659" s="26"/>
    </row>
    <row r="660">
      <c r="H660" s="26"/>
      <c r="I660" s="26"/>
    </row>
    <row r="661">
      <c r="H661" s="26"/>
      <c r="I661" s="26"/>
    </row>
    <row r="662">
      <c r="H662" s="26"/>
      <c r="I662" s="26"/>
    </row>
    <row r="663">
      <c r="H663" s="26"/>
      <c r="I663" s="26"/>
    </row>
    <row r="664">
      <c r="H664" s="26"/>
      <c r="I664" s="26"/>
    </row>
    <row r="665">
      <c r="H665" s="26"/>
      <c r="I665" s="26"/>
    </row>
    <row r="666">
      <c r="H666" s="26"/>
      <c r="I666" s="26"/>
    </row>
    <row r="667">
      <c r="H667" s="26"/>
      <c r="I667" s="26"/>
    </row>
    <row r="668">
      <c r="H668" s="26"/>
      <c r="I668" s="26"/>
    </row>
    <row r="669">
      <c r="H669" s="26"/>
      <c r="I669" s="26"/>
    </row>
    <row r="670">
      <c r="H670" s="26"/>
      <c r="I670" s="26"/>
    </row>
    <row r="671">
      <c r="H671" s="26"/>
      <c r="I671" s="26"/>
    </row>
    <row r="672">
      <c r="H672" s="26"/>
      <c r="I672" s="26"/>
    </row>
    <row r="673">
      <c r="H673" s="26"/>
      <c r="I673" s="26"/>
    </row>
    <row r="674">
      <c r="H674" s="26"/>
      <c r="I674" s="26"/>
    </row>
    <row r="675">
      <c r="H675" s="26"/>
      <c r="I675" s="26"/>
    </row>
    <row r="676">
      <c r="H676" s="26"/>
      <c r="I676" s="26"/>
    </row>
    <row r="677">
      <c r="H677" s="26"/>
      <c r="I677" s="26"/>
    </row>
    <row r="678">
      <c r="H678" s="26"/>
      <c r="I678" s="26"/>
    </row>
    <row r="679">
      <c r="H679" s="26"/>
      <c r="I679" s="26"/>
    </row>
    <row r="680">
      <c r="H680" s="26"/>
      <c r="I680" s="26"/>
    </row>
    <row r="681">
      <c r="H681" s="26"/>
      <c r="I681" s="26"/>
    </row>
    <row r="682">
      <c r="H682" s="26"/>
      <c r="I682" s="26"/>
    </row>
    <row r="683">
      <c r="H683" s="26"/>
      <c r="I683" s="26"/>
    </row>
    <row r="684">
      <c r="H684" s="26"/>
      <c r="I684" s="26"/>
    </row>
    <row r="685">
      <c r="H685" s="26"/>
      <c r="I685" s="26"/>
    </row>
    <row r="686">
      <c r="H686" s="26"/>
      <c r="I686" s="26"/>
    </row>
    <row r="687">
      <c r="H687" s="26"/>
      <c r="I687" s="26"/>
    </row>
    <row r="688">
      <c r="H688" s="26"/>
      <c r="I688" s="26"/>
    </row>
    <row r="689">
      <c r="H689" s="26"/>
      <c r="I689" s="26"/>
    </row>
    <row r="690">
      <c r="H690" s="26"/>
      <c r="I690" s="26"/>
    </row>
    <row r="691">
      <c r="H691" s="26"/>
      <c r="I691" s="26"/>
    </row>
    <row r="692">
      <c r="H692" s="26"/>
      <c r="I692" s="26"/>
    </row>
    <row r="693">
      <c r="H693" s="26"/>
      <c r="I693" s="26"/>
    </row>
    <row r="694">
      <c r="H694" s="26"/>
      <c r="I694" s="26"/>
    </row>
    <row r="695">
      <c r="H695" s="26"/>
      <c r="I695" s="26"/>
    </row>
    <row r="696">
      <c r="H696" s="26"/>
      <c r="I696" s="26"/>
    </row>
    <row r="697">
      <c r="H697" s="26"/>
      <c r="I697" s="26"/>
    </row>
    <row r="698">
      <c r="H698" s="26"/>
      <c r="I698" s="26"/>
    </row>
    <row r="699">
      <c r="H699" s="26"/>
      <c r="I699" s="26"/>
    </row>
    <row r="700">
      <c r="H700" s="26"/>
      <c r="I700" s="26"/>
    </row>
    <row r="701">
      <c r="H701" s="26"/>
      <c r="I701" s="26"/>
    </row>
    <row r="702">
      <c r="H702" s="26"/>
      <c r="I702" s="26"/>
    </row>
    <row r="703">
      <c r="H703" s="26"/>
      <c r="I703" s="26"/>
    </row>
    <row r="704">
      <c r="H704" s="26"/>
      <c r="I704" s="26"/>
    </row>
    <row r="705">
      <c r="H705" s="26"/>
      <c r="I705" s="26"/>
    </row>
    <row r="706">
      <c r="H706" s="26"/>
      <c r="I706" s="26"/>
    </row>
    <row r="707">
      <c r="H707" s="26"/>
      <c r="I707" s="26"/>
    </row>
    <row r="708">
      <c r="H708" s="26"/>
      <c r="I708" s="26"/>
    </row>
    <row r="709">
      <c r="H709" s="26"/>
      <c r="I709" s="26"/>
    </row>
    <row r="710">
      <c r="H710" s="26"/>
      <c r="I710" s="26"/>
    </row>
    <row r="711">
      <c r="H711" s="26"/>
      <c r="I711" s="26"/>
    </row>
    <row r="712">
      <c r="H712" s="26"/>
      <c r="I712" s="26"/>
    </row>
    <row r="713">
      <c r="H713" s="26"/>
      <c r="I713" s="26"/>
    </row>
    <row r="714">
      <c r="H714" s="26"/>
      <c r="I714" s="26"/>
    </row>
    <row r="715">
      <c r="H715" s="26"/>
      <c r="I715" s="26"/>
    </row>
    <row r="716">
      <c r="H716" s="26"/>
      <c r="I716" s="26"/>
    </row>
    <row r="717">
      <c r="H717" s="26"/>
      <c r="I717" s="26"/>
    </row>
    <row r="718">
      <c r="H718" s="26"/>
      <c r="I718" s="26"/>
    </row>
    <row r="719">
      <c r="H719" s="26"/>
      <c r="I719" s="26"/>
    </row>
    <row r="720">
      <c r="H720" s="26"/>
      <c r="I720" s="26"/>
    </row>
    <row r="721">
      <c r="H721" s="26"/>
      <c r="I721" s="26"/>
    </row>
    <row r="722">
      <c r="H722" s="26"/>
      <c r="I722" s="26"/>
    </row>
    <row r="723">
      <c r="H723" s="26"/>
      <c r="I723" s="26"/>
    </row>
    <row r="724">
      <c r="H724" s="26"/>
      <c r="I724" s="26"/>
    </row>
    <row r="725">
      <c r="H725" s="26"/>
      <c r="I725" s="26"/>
    </row>
    <row r="726">
      <c r="H726" s="26"/>
      <c r="I726" s="26"/>
    </row>
    <row r="727">
      <c r="H727" s="26"/>
      <c r="I727" s="26"/>
    </row>
    <row r="728">
      <c r="H728" s="26"/>
      <c r="I728" s="26"/>
    </row>
    <row r="729">
      <c r="H729" s="26"/>
      <c r="I729" s="26"/>
    </row>
    <row r="730">
      <c r="H730" s="26"/>
      <c r="I730" s="26"/>
    </row>
    <row r="731">
      <c r="H731" s="26"/>
      <c r="I731" s="26"/>
    </row>
    <row r="732">
      <c r="H732" s="26"/>
      <c r="I732" s="26"/>
    </row>
    <row r="733">
      <c r="H733" s="26"/>
      <c r="I733" s="26"/>
    </row>
    <row r="734">
      <c r="H734" s="26"/>
      <c r="I734" s="26"/>
    </row>
    <row r="735">
      <c r="H735" s="26"/>
      <c r="I735" s="26"/>
    </row>
    <row r="736">
      <c r="H736" s="26"/>
      <c r="I736" s="26"/>
    </row>
    <row r="737">
      <c r="H737" s="26"/>
      <c r="I737" s="26"/>
    </row>
    <row r="738">
      <c r="H738" s="26"/>
      <c r="I738" s="26"/>
    </row>
    <row r="739">
      <c r="H739" s="26"/>
      <c r="I739" s="26"/>
    </row>
    <row r="740">
      <c r="H740" s="26"/>
      <c r="I740" s="26"/>
    </row>
    <row r="741">
      <c r="H741" s="26"/>
      <c r="I741" s="26"/>
    </row>
    <row r="742">
      <c r="H742" s="26"/>
      <c r="I742" s="26"/>
    </row>
    <row r="743">
      <c r="H743" s="26"/>
      <c r="I743" s="26"/>
    </row>
    <row r="744">
      <c r="H744" s="26"/>
      <c r="I744" s="26"/>
    </row>
    <row r="745">
      <c r="H745" s="26"/>
      <c r="I745" s="26"/>
    </row>
    <row r="746">
      <c r="H746" s="26"/>
      <c r="I746" s="26"/>
    </row>
    <row r="747">
      <c r="H747" s="26"/>
      <c r="I747" s="26"/>
    </row>
    <row r="748">
      <c r="H748" s="26"/>
      <c r="I748" s="26"/>
    </row>
    <row r="749">
      <c r="H749" s="26"/>
      <c r="I749" s="26"/>
    </row>
    <row r="750">
      <c r="H750" s="26"/>
      <c r="I750" s="26"/>
    </row>
    <row r="751">
      <c r="H751" s="26"/>
      <c r="I751" s="26"/>
    </row>
    <row r="752">
      <c r="H752" s="26"/>
      <c r="I752" s="26"/>
    </row>
    <row r="753">
      <c r="H753" s="26"/>
      <c r="I753" s="26"/>
    </row>
    <row r="754">
      <c r="H754" s="26"/>
      <c r="I754" s="26"/>
    </row>
    <row r="755">
      <c r="H755" s="26"/>
      <c r="I755" s="26"/>
    </row>
    <row r="756">
      <c r="H756" s="26"/>
      <c r="I756" s="26"/>
    </row>
    <row r="757">
      <c r="H757" s="26"/>
      <c r="I757" s="26"/>
    </row>
    <row r="758">
      <c r="H758" s="26"/>
      <c r="I758" s="26"/>
    </row>
    <row r="759">
      <c r="H759" s="26"/>
      <c r="I759" s="26"/>
    </row>
    <row r="760">
      <c r="H760" s="26"/>
      <c r="I760" s="26"/>
    </row>
    <row r="761">
      <c r="H761" s="26"/>
      <c r="I761" s="26"/>
    </row>
    <row r="762">
      <c r="H762" s="26"/>
      <c r="I762" s="26"/>
    </row>
    <row r="763">
      <c r="H763" s="26"/>
      <c r="I763" s="26"/>
    </row>
    <row r="764">
      <c r="H764" s="26"/>
      <c r="I764" s="26"/>
    </row>
    <row r="765">
      <c r="H765" s="26"/>
      <c r="I765" s="26"/>
    </row>
    <row r="766">
      <c r="H766" s="26"/>
      <c r="I766" s="26"/>
    </row>
    <row r="767">
      <c r="H767" s="26"/>
      <c r="I767" s="26"/>
    </row>
    <row r="768">
      <c r="H768" s="26"/>
      <c r="I768" s="26"/>
    </row>
    <row r="769">
      <c r="H769" s="26"/>
      <c r="I769" s="26"/>
    </row>
    <row r="770">
      <c r="H770" s="26"/>
      <c r="I770" s="26"/>
    </row>
    <row r="771">
      <c r="H771" s="26"/>
      <c r="I771" s="26"/>
    </row>
    <row r="772">
      <c r="H772" s="26"/>
      <c r="I772" s="26"/>
    </row>
    <row r="773">
      <c r="H773" s="26"/>
      <c r="I773" s="26"/>
    </row>
    <row r="774">
      <c r="H774" s="26"/>
      <c r="I774" s="26"/>
    </row>
    <row r="775">
      <c r="H775" s="26"/>
      <c r="I775" s="26"/>
    </row>
    <row r="776">
      <c r="H776" s="26"/>
      <c r="I776" s="26"/>
    </row>
    <row r="777">
      <c r="H777" s="26"/>
      <c r="I777" s="26"/>
    </row>
    <row r="778">
      <c r="H778" s="26"/>
      <c r="I778" s="26"/>
    </row>
    <row r="779">
      <c r="H779" s="26"/>
      <c r="I779" s="26"/>
    </row>
    <row r="780">
      <c r="H780" s="26"/>
      <c r="I780" s="26"/>
    </row>
    <row r="781">
      <c r="H781" s="26"/>
      <c r="I781" s="26"/>
    </row>
    <row r="782">
      <c r="H782" s="26"/>
      <c r="I782" s="26"/>
    </row>
    <row r="783">
      <c r="H783" s="26"/>
      <c r="I783" s="26"/>
    </row>
    <row r="784">
      <c r="H784" s="26"/>
      <c r="I784" s="26"/>
    </row>
    <row r="785">
      <c r="H785" s="26"/>
      <c r="I785" s="26"/>
    </row>
    <row r="786">
      <c r="H786" s="26"/>
      <c r="I786" s="26"/>
    </row>
    <row r="787">
      <c r="H787" s="26"/>
      <c r="I787" s="26"/>
    </row>
    <row r="788">
      <c r="H788" s="26"/>
      <c r="I788" s="26"/>
    </row>
    <row r="789">
      <c r="H789" s="26"/>
      <c r="I789" s="26"/>
    </row>
    <row r="790">
      <c r="H790" s="26"/>
      <c r="I790" s="26"/>
    </row>
    <row r="791">
      <c r="H791" s="26"/>
      <c r="I791" s="26"/>
    </row>
    <row r="792">
      <c r="H792" s="26"/>
      <c r="I792" s="26"/>
    </row>
    <row r="793">
      <c r="H793" s="26"/>
      <c r="I793" s="26"/>
    </row>
    <row r="794">
      <c r="H794" s="26"/>
      <c r="I794" s="26"/>
    </row>
    <row r="795">
      <c r="H795" s="26"/>
      <c r="I795" s="26"/>
    </row>
    <row r="796">
      <c r="H796" s="26"/>
      <c r="I796" s="26"/>
    </row>
    <row r="797">
      <c r="H797" s="26"/>
      <c r="I797" s="26"/>
    </row>
    <row r="798">
      <c r="H798" s="26"/>
      <c r="I798" s="26"/>
    </row>
    <row r="799">
      <c r="H799" s="26"/>
      <c r="I799" s="26"/>
    </row>
    <row r="800">
      <c r="H800" s="26"/>
      <c r="I800" s="26"/>
    </row>
    <row r="801">
      <c r="H801" s="26"/>
      <c r="I801" s="26"/>
    </row>
    <row r="802">
      <c r="H802" s="26"/>
      <c r="I802" s="26"/>
    </row>
    <row r="803">
      <c r="H803" s="26"/>
      <c r="I803" s="26"/>
    </row>
    <row r="804">
      <c r="H804" s="26"/>
      <c r="I804" s="26"/>
    </row>
    <row r="805">
      <c r="H805" s="26"/>
      <c r="I805" s="26"/>
    </row>
    <row r="806">
      <c r="H806" s="26"/>
      <c r="I806" s="26"/>
    </row>
    <row r="807">
      <c r="H807" s="26"/>
      <c r="I807" s="26"/>
    </row>
    <row r="808">
      <c r="H808" s="26"/>
      <c r="I808" s="26"/>
    </row>
    <row r="809">
      <c r="H809" s="26"/>
      <c r="I809" s="26"/>
    </row>
    <row r="810">
      <c r="H810" s="26"/>
      <c r="I810" s="26"/>
    </row>
    <row r="811">
      <c r="H811" s="26"/>
      <c r="I811" s="26"/>
    </row>
    <row r="812">
      <c r="H812" s="26"/>
      <c r="I812" s="26"/>
    </row>
    <row r="813">
      <c r="H813" s="26"/>
      <c r="I813" s="26"/>
    </row>
    <row r="814">
      <c r="H814" s="26"/>
      <c r="I814" s="26"/>
    </row>
    <row r="815">
      <c r="H815" s="26"/>
      <c r="I815" s="26"/>
    </row>
    <row r="816">
      <c r="H816" s="26"/>
      <c r="I816" s="26"/>
    </row>
    <row r="817">
      <c r="H817" s="26"/>
      <c r="I817" s="26"/>
    </row>
    <row r="818">
      <c r="H818" s="26"/>
      <c r="I818" s="26"/>
    </row>
    <row r="819">
      <c r="H819" s="26"/>
      <c r="I819" s="26"/>
    </row>
    <row r="820">
      <c r="H820" s="26"/>
      <c r="I820" s="26"/>
    </row>
    <row r="821">
      <c r="H821" s="26"/>
      <c r="I821" s="26"/>
    </row>
    <row r="822">
      <c r="H822" s="26"/>
      <c r="I822" s="26"/>
    </row>
    <row r="823">
      <c r="H823" s="26"/>
      <c r="I823" s="26"/>
    </row>
    <row r="824">
      <c r="H824" s="26"/>
      <c r="I824" s="26"/>
    </row>
    <row r="825">
      <c r="H825" s="26"/>
      <c r="I825" s="26"/>
    </row>
    <row r="826">
      <c r="H826" s="26"/>
      <c r="I826" s="26"/>
    </row>
    <row r="827">
      <c r="H827" s="26"/>
      <c r="I827" s="26"/>
    </row>
    <row r="828">
      <c r="H828" s="26"/>
      <c r="I828" s="26"/>
    </row>
    <row r="829">
      <c r="H829" s="26"/>
      <c r="I829" s="26"/>
    </row>
    <row r="830">
      <c r="H830" s="26"/>
      <c r="I830" s="26"/>
    </row>
    <row r="831">
      <c r="H831" s="26"/>
      <c r="I831" s="26"/>
    </row>
    <row r="832">
      <c r="H832" s="26"/>
      <c r="I832" s="26"/>
    </row>
    <row r="833">
      <c r="H833" s="26"/>
      <c r="I833" s="26"/>
    </row>
    <row r="834">
      <c r="H834" s="26"/>
      <c r="I834" s="26"/>
    </row>
    <row r="835">
      <c r="H835" s="26"/>
      <c r="I835" s="26"/>
    </row>
    <row r="836">
      <c r="H836" s="26"/>
      <c r="I836" s="26"/>
    </row>
    <row r="837">
      <c r="H837" s="26"/>
      <c r="I837" s="26"/>
    </row>
    <row r="838">
      <c r="H838" s="26"/>
      <c r="I838" s="26"/>
    </row>
    <row r="839">
      <c r="H839" s="26"/>
      <c r="I839" s="26"/>
    </row>
    <row r="840">
      <c r="H840" s="26"/>
      <c r="I840" s="26"/>
    </row>
    <row r="841">
      <c r="H841" s="26"/>
      <c r="I841" s="26"/>
    </row>
    <row r="842">
      <c r="H842" s="26"/>
      <c r="I842" s="26"/>
    </row>
    <row r="843">
      <c r="H843" s="26"/>
      <c r="I843" s="26"/>
    </row>
    <row r="844">
      <c r="H844" s="26"/>
      <c r="I844" s="26"/>
    </row>
    <row r="845">
      <c r="H845" s="26"/>
      <c r="I845" s="26"/>
    </row>
    <row r="846">
      <c r="H846" s="26"/>
      <c r="I846" s="26"/>
    </row>
    <row r="847">
      <c r="H847" s="26"/>
      <c r="I847" s="26"/>
    </row>
    <row r="848">
      <c r="H848" s="26"/>
      <c r="I848" s="26"/>
    </row>
    <row r="849">
      <c r="H849" s="26"/>
      <c r="I849" s="26"/>
    </row>
    <row r="850">
      <c r="H850" s="26"/>
      <c r="I850" s="26"/>
    </row>
    <row r="851">
      <c r="H851" s="26"/>
      <c r="I851" s="26"/>
    </row>
    <row r="852">
      <c r="H852" s="26"/>
      <c r="I852" s="26"/>
    </row>
    <row r="853">
      <c r="H853" s="26"/>
      <c r="I853" s="26"/>
    </row>
    <row r="854">
      <c r="H854" s="26"/>
      <c r="I854" s="26"/>
    </row>
    <row r="855">
      <c r="H855" s="26"/>
      <c r="I855" s="26"/>
    </row>
    <row r="856">
      <c r="H856" s="26"/>
      <c r="I856" s="26"/>
    </row>
    <row r="857">
      <c r="H857" s="26"/>
      <c r="I857" s="26"/>
    </row>
    <row r="858">
      <c r="H858" s="26"/>
      <c r="I858" s="26"/>
    </row>
    <row r="859">
      <c r="H859" s="26"/>
      <c r="I859" s="26"/>
    </row>
    <row r="860">
      <c r="H860" s="26"/>
      <c r="I860" s="26"/>
    </row>
    <row r="861">
      <c r="H861" s="26"/>
      <c r="I861" s="26"/>
    </row>
    <row r="862">
      <c r="H862" s="26"/>
      <c r="I862" s="26"/>
    </row>
    <row r="863">
      <c r="H863" s="26"/>
      <c r="I863" s="26"/>
    </row>
    <row r="864">
      <c r="H864" s="26"/>
      <c r="I864" s="26"/>
    </row>
    <row r="865">
      <c r="H865" s="26"/>
      <c r="I865" s="26"/>
    </row>
    <row r="866">
      <c r="H866" s="26"/>
      <c r="I866" s="26"/>
    </row>
    <row r="867">
      <c r="H867" s="26"/>
      <c r="I867" s="26"/>
    </row>
    <row r="868">
      <c r="H868" s="26"/>
      <c r="I868" s="26"/>
    </row>
    <row r="869">
      <c r="H869" s="26"/>
      <c r="I869" s="26"/>
    </row>
    <row r="870">
      <c r="H870" s="26"/>
      <c r="I870" s="26"/>
    </row>
    <row r="871">
      <c r="H871" s="26"/>
      <c r="I871" s="26"/>
    </row>
    <row r="872">
      <c r="H872" s="26"/>
      <c r="I872" s="26"/>
    </row>
    <row r="873">
      <c r="H873" s="26"/>
      <c r="I873" s="26"/>
    </row>
    <row r="874">
      <c r="H874" s="26"/>
      <c r="I874" s="26"/>
    </row>
    <row r="875">
      <c r="H875" s="26"/>
      <c r="I875" s="26"/>
    </row>
    <row r="876">
      <c r="H876" s="26"/>
      <c r="I876" s="26"/>
    </row>
    <row r="877">
      <c r="H877" s="26"/>
      <c r="I877" s="26"/>
    </row>
    <row r="878">
      <c r="H878" s="26"/>
      <c r="I878" s="26"/>
    </row>
    <row r="879">
      <c r="H879" s="26"/>
      <c r="I879" s="26"/>
    </row>
    <row r="880">
      <c r="H880" s="26"/>
      <c r="I880" s="26"/>
    </row>
    <row r="881">
      <c r="H881" s="26"/>
      <c r="I881" s="26"/>
    </row>
    <row r="882">
      <c r="H882" s="26"/>
      <c r="I882" s="26"/>
    </row>
    <row r="883">
      <c r="H883" s="26"/>
      <c r="I883" s="26"/>
    </row>
    <row r="884">
      <c r="H884" s="26"/>
      <c r="I884" s="26"/>
    </row>
    <row r="885">
      <c r="H885" s="26"/>
      <c r="I885" s="26"/>
    </row>
    <row r="886">
      <c r="H886" s="26"/>
      <c r="I886" s="26"/>
    </row>
    <row r="887">
      <c r="H887" s="26"/>
      <c r="I887" s="26"/>
    </row>
    <row r="888">
      <c r="H888" s="26"/>
      <c r="I888" s="26"/>
    </row>
    <row r="889">
      <c r="H889" s="26"/>
      <c r="I889" s="26"/>
    </row>
    <row r="890">
      <c r="H890" s="26"/>
      <c r="I890" s="26"/>
    </row>
    <row r="891">
      <c r="H891" s="26"/>
      <c r="I891" s="26"/>
    </row>
    <row r="892">
      <c r="H892" s="26"/>
      <c r="I892" s="26"/>
    </row>
    <row r="893">
      <c r="H893" s="26"/>
      <c r="I893" s="26"/>
    </row>
    <row r="894">
      <c r="H894" s="26"/>
      <c r="I894" s="26"/>
    </row>
    <row r="895">
      <c r="H895" s="26"/>
      <c r="I895" s="26"/>
    </row>
    <row r="896">
      <c r="H896" s="26"/>
      <c r="I896" s="26"/>
    </row>
    <row r="897">
      <c r="H897" s="26"/>
      <c r="I897" s="26"/>
    </row>
    <row r="898">
      <c r="H898" s="26"/>
      <c r="I898" s="26"/>
    </row>
    <row r="899">
      <c r="H899" s="26"/>
      <c r="I899" s="26"/>
    </row>
    <row r="900">
      <c r="H900" s="26"/>
      <c r="I900" s="26"/>
    </row>
    <row r="901">
      <c r="H901" s="26"/>
      <c r="I901" s="26"/>
    </row>
    <row r="902">
      <c r="H902" s="26"/>
      <c r="I902" s="26"/>
    </row>
    <row r="903">
      <c r="H903" s="26"/>
      <c r="I903" s="26"/>
    </row>
    <row r="904">
      <c r="H904" s="26"/>
      <c r="I904" s="26"/>
    </row>
    <row r="905">
      <c r="H905" s="26"/>
      <c r="I905" s="26"/>
    </row>
    <row r="906">
      <c r="H906" s="26"/>
      <c r="I906" s="26"/>
    </row>
    <row r="907">
      <c r="H907" s="26"/>
      <c r="I907" s="26"/>
    </row>
    <row r="908">
      <c r="H908" s="26"/>
      <c r="I908" s="26"/>
    </row>
    <row r="909">
      <c r="H909" s="26"/>
      <c r="I909" s="26"/>
    </row>
    <row r="910">
      <c r="H910" s="26"/>
      <c r="I910" s="26"/>
    </row>
    <row r="911">
      <c r="H911" s="26"/>
      <c r="I911" s="26"/>
    </row>
    <row r="912">
      <c r="H912" s="26"/>
      <c r="I912" s="26"/>
    </row>
    <row r="913">
      <c r="H913" s="26"/>
      <c r="I913" s="26"/>
    </row>
    <row r="914">
      <c r="H914" s="26"/>
      <c r="I914" s="26"/>
    </row>
    <row r="915">
      <c r="H915" s="26"/>
      <c r="I915" s="26"/>
    </row>
    <row r="916">
      <c r="H916" s="26"/>
      <c r="I916" s="26"/>
    </row>
    <row r="917">
      <c r="H917" s="26"/>
      <c r="I917" s="26"/>
    </row>
    <row r="918">
      <c r="H918" s="26"/>
      <c r="I918" s="26"/>
    </row>
    <row r="919">
      <c r="H919" s="26"/>
      <c r="I919" s="26"/>
    </row>
    <row r="920">
      <c r="H920" s="26"/>
      <c r="I920" s="26"/>
    </row>
    <row r="921">
      <c r="H921" s="26"/>
      <c r="I921" s="26"/>
    </row>
    <row r="922">
      <c r="H922" s="26"/>
      <c r="I922" s="26"/>
    </row>
    <row r="923">
      <c r="H923" s="26"/>
      <c r="I923" s="26"/>
    </row>
    <row r="924">
      <c r="H924" s="26"/>
      <c r="I924" s="26"/>
    </row>
    <row r="925">
      <c r="H925" s="26"/>
      <c r="I925" s="26"/>
    </row>
    <row r="926">
      <c r="H926" s="26"/>
      <c r="I926" s="26"/>
    </row>
    <row r="927">
      <c r="H927" s="26"/>
      <c r="I927" s="26"/>
    </row>
    <row r="928">
      <c r="H928" s="26"/>
      <c r="I928" s="26"/>
    </row>
    <row r="929">
      <c r="H929" s="26"/>
      <c r="I929" s="26"/>
    </row>
    <row r="930">
      <c r="H930" s="26"/>
      <c r="I930" s="26"/>
    </row>
    <row r="931">
      <c r="H931" s="26"/>
      <c r="I931" s="26"/>
    </row>
    <row r="932">
      <c r="H932" s="26"/>
      <c r="I932" s="26"/>
    </row>
    <row r="933">
      <c r="H933" s="26"/>
      <c r="I933" s="26"/>
    </row>
    <row r="934">
      <c r="H934" s="26"/>
      <c r="I934" s="26"/>
    </row>
    <row r="935">
      <c r="H935" s="26"/>
      <c r="I935" s="26"/>
    </row>
    <row r="936">
      <c r="H936" s="26"/>
      <c r="I936" s="26"/>
    </row>
    <row r="937">
      <c r="H937" s="26"/>
      <c r="I937" s="26"/>
    </row>
    <row r="938">
      <c r="H938" s="26"/>
      <c r="I938" s="26"/>
    </row>
    <row r="939">
      <c r="H939" s="26"/>
      <c r="I939" s="26"/>
    </row>
    <row r="940">
      <c r="H940" s="26"/>
      <c r="I940" s="26"/>
    </row>
    <row r="941">
      <c r="H941" s="26"/>
      <c r="I941" s="26"/>
    </row>
    <row r="942">
      <c r="H942" s="26"/>
      <c r="I942" s="26"/>
    </row>
    <row r="943">
      <c r="H943" s="26"/>
      <c r="I943" s="26"/>
    </row>
    <row r="944">
      <c r="H944" s="26"/>
      <c r="I944" s="26"/>
    </row>
    <row r="945">
      <c r="H945" s="26"/>
      <c r="I945" s="26"/>
    </row>
    <row r="946">
      <c r="H946" s="26"/>
      <c r="I946" s="26"/>
    </row>
    <row r="947">
      <c r="H947" s="26"/>
      <c r="I947" s="26"/>
    </row>
    <row r="948">
      <c r="H948" s="26"/>
      <c r="I948" s="26"/>
    </row>
    <row r="949">
      <c r="H949" s="26"/>
      <c r="I949" s="26"/>
    </row>
    <row r="950">
      <c r="H950" s="26"/>
      <c r="I950" s="26"/>
    </row>
    <row r="951">
      <c r="H951" s="26"/>
      <c r="I951" s="26"/>
    </row>
    <row r="952">
      <c r="H952" s="26"/>
      <c r="I952" s="26"/>
    </row>
    <row r="953">
      <c r="H953" s="26"/>
      <c r="I953" s="26"/>
    </row>
    <row r="954">
      <c r="H954" s="26"/>
      <c r="I954" s="26"/>
    </row>
    <row r="955">
      <c r="H955" s="26"/>
      <c r="I955" s="26"/>
    </row>
    <row r="956">
      <c r="H956" s="26"/>
      <c r="I956" s="26"/>
    </row>
    <row r="957">
      <c r="H957" s="26"/>
      <c r="I957" s="26"/>
    </row>
    <row r="958">
      <c r="H958" s="26"/>
      <c r="I958" s="26"/>
    </row>
    <row r="959">
      <c r="H959" s="26"/>
      <c r="I959" s="26"/>
    </row>
    <row r="960">
      <c r="H960" s="26"/>
      <c r="I960" s="26"/>
    </row>
    <row r="961">
      <c r="H961" s="26"/>
      <c r="I961" s="26"/>
    </row>
    <row r="962">
      <c r="H962" s="26"/>
      <c r="I962" s="26"/>
    </row>
    <row r="963">
      <c r="H963" s="26"/>
      <c r="I963" s="26"/>
    </row>
    <row r="964">
      <c r="H964" s="26"/>
      <c r="I964" s="26"/>
    </row>
    <row r="965">
      <c r="H965" s="26"/>
      <c r="I965" s="26"/>
    </row>
    <row r="966">
      <c r="H966" s="26"/>
      <c r="I966" s="26"/>
    </row>
    <row r="967">
      <c r="H967" s="26"/>
      <c r="I967" s="26"/>
    </row>
    <row r="968">
      <c r="H968" s="26"/>
      <c r="I968" s="26"/>
    </row>
    <row r="969">
      <c r="H969" s="26"/>
      <c r="I969" s="26"/>
    </row>
    <row r="970">
      <c r="H970" s="26"/>
      <c r="I970" s="26"/>
    </row>
    <row r="971">
      <c r="H971" s="26"/>
      <c r="I971" s="26"/>
    </row>
    <row r="972">
      <c r="H972" s="26"/>
      <c r="I972" s="26"/>
    </row>
    <row r="973">
      <c r="H973" s="26"/>
      <c r="I973" s="26"/>
    </row>
    <row r="974">
      <c r="H974" s="26"/>
      <c r="I974" s="26"/>
    </row>
    <row r="975">
      <c r="H975" s="26"/>
      <c r="I975" s="26"/>
    </row>
    <row r="976">
      <c r="H976" s="26"/>
      <c r="I976" s="26"/>
    </row>
    <row r="977">
      <c r="H977" s="26"/>
      <c r="I977" s="26"/>
    </row>
    <row r="978">
      <c r="H978" s="26"/>
      <c r="I978" s="26"/>
    </row>
    <row r="979">
      <c r="H979" s="26"/>
      <c r="I979" s="26"/>
    </row>
    <row r="980">
      <c r="H980" s="26"/>
      <c r="I980" s="26"/>
    </row>
    <row r="981">
      <c r="H981" s="26"/>
      <c r="I981" s="26"/>
    </row>
    <row r="982">
      <c r="H982" s="26"/>
      <c r="I982" s="26"/>
    </row>
    <row r="983">
      <c r="H983" s="26"/>
      <c r="I983" s="26"/>
    </row>
    <row r="984">
      <c r="H984" s="26"/>
      <c r="I984" s="26"/>
    </row>
    <row r="985">
      <c r="H985" s="26"/>
      <c r="I985" s="26"/>
    </row>
    <row r="986">
      <c r="H986" s="26"/>
      <c r="I986" s="26"/>
    </row>
    <row r="987">
      <c r="H987" s="26"/>
      <c r="I987" s="26"/>
    </row>
    <row r="988">
      <c r="H988" s="26"/>
      <c r="I988" s="26"/>
    </row>
    <row r="989">
      <c r="H989" s="26"/>
      <c r="I989" s="26"/>
    </row>
    <row r="990">
      <c r="H990" s="26"/>
      <c r="I990" s="26"/>
    </row>
    <row r="991">
      <c r="H991" s="26"/>
      <c r="I991" s="26"/>
    </row>
    <row r="992">
      <c r="H992" s="26"/>
      <c r="I992" s="26"/>
    </row>
    <row r="993">
      <c r="H993" s="26"/>
      <c r="I993" s="26"/>
    </row>
    <row r="994">
      <c r="H994" s="26"/>
      <c r="I994" s="26"/>
    </row>
    <row r="995">
      <c r="H995" s="26"/>
      <c r="I995" s="26"/>
    </row>
    <row r="996">
      <c r="H996" s="26"/>
      <c r="I996" s="26"/>
    </row>
    <row r="997">
      <c r="H997" s="26"/>
      <c r="I997" s="26"/>
    </row>
    <row r="998">
      <c r="H998" s="26"/>
      <c r="I998" s="26"/>
    </row>
    <row r="999">
      <c r="H999" s="26"/>
      <c r="I999" s="26"/>
    </row>
    <row r="1000">
      <c r="H1000" s="26"/>
      <c r="I1000" s="26"/>
    </row>
  </sheetData>
  <mergeCells count="1">
    <mergeCell ref="E22:G23"/>
  </mergeCells>
  <drawing r:id="rId1"/>
</worksheet>
</file>