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C\Desktop\data pro\"/>
    </mc:Choice>
  </mc:AlternateContent>
  <xr:revisionPtr revIDLastSave="0" documentId="13_ncr:1_{DB6E1D06-F249-457C-AE20-55EE6A31A6CB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4" i="1" l="1"/>
  <c r="H253" i="1"/>
  <c r="F253" i="1"/>
  <c r="B256" i="1" l="1"/>
  <c r="F256" i="1" s="1"/>
  <c r="F257" i="1" s="1"/>
  <c r="F258" i="1" s="1"/>
  <c r="F255" i="1"/>
  <c r="K198" i="1"/>
  <c r="K193" i="1"/>
  <c r="F260" i="1" l="1"/>
  <c r="F259" i="1"/>
  <c r="O216" i="1"/>
  <c r="Q216" i="1" s="1"/>
  <c r="O220" i="1"/>
  <c r="Q220" i="1" s="1"/>
  <c r="M222" i="1"/>
  <c r="O222" i="1" s="1"/>
  <c r="Q222" i="1" s="1"/>
  <c r="M221" i="1"/>
  <c r="O221" i="1" s="1"/>
  <c r="Q221" i="1" s="1"/>
  <c r="M220" i="1"/>
  <c r="M219" i="1"/>
  <c r="O219" i="1" s="1"/>
  <c r="Q219" i="1" s="1"/>
  <c r="M218" i="1"/>
  <c r="O218" i="1" s="1"/>
  <c r="Q218" i="1" s="1"/>
  <c r="M217" i="1"/>
  <c r="O217" i="1" s="1"/>
  <c r="Q217" i="1" s="1"/>
  <c r="M216" i="1"/>
  <c r="M215" i="1"/>
  <c r="O215" i="1" s="1"/>
  <c r="Q215" i="1" s="1"/>
  <c r="K229" i="1" s="1"/>
  <c r="J217" i="1"/>
  <c r="J218" i="1"/>
  <c r="J221" i="1"/>
  <c r="J222" i="1"/>
  <c r="H222" i="1"/>
  <c r="H221" i="1"/>
  <c r="H220" i="1"/>
  <c r="J220" i="1" s="1"/>
  <c r="H219" i="1"/>
  <c r="J219" i="1" s="1"/>
  <c r="H218" i="1"/>
  <c r="H217" i="1"/>
  <c r="H216" i="1"/>
  <c r="J216" i="1" s="1"/>
  <c r="H215" i="1"/>
  <c r="J215" i="1" s="1"/>
  <c r="K224" i="1" l="1"/>
  <c r="K225" i="1" s="1"/>
  <c r="K227" i="1"/>
  <c r="K228" i="1" s="1"/>
  <c r="K230" i="1" s="1"/>
  <c r="K231" i="1" s="1"/>
  <c r="K232" i="1" s="1"/>
  <c r="K194" i="1"/>
  <c r="K234" i="1" l="1"/>
  <c r="K233" i="1"/>
  <c r="K197" i="1"/>
  <c r="K196" i="1"/>
  <c r="K195" i="1"/>
  <c r="K201" i="1" s="1"/>
  <c r="K202" i="1" s="1"/>
  <c r="M193" i="1" s="1"/>
  <c r="N193" i="1" s="1"/>
  <c r="E197" i="1"/>
  <c r="E201" i="1"/>
  <c r="E205" i="1"/>
  <c r="D194" i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193" i="1"/>
  <c r="C208" i="1"/>
  <c r="B208" i="1"/>
  <c r="E194" i="1" s="1"/>
  <c r="K175" i="1"/>
  <c r="K176" i="1"/>
  <c r="K177" i="1"/>
  <c r="K178" i="1"/>
  <c r="K180" i="1" s="1"/>
  <c r="K181" i="1" s="1"/>
  <c r="K179" i="1"/>
  <c r="K174" i="1"/>
  <c r="K183" i="1" s="1"/>
  <c r="K184" i="1" s="1"/>
  <c r="K185" i="1" s="1"/>
  <c r="K186" i="1" s="1"/>
  <c r="E182" i="1"/>
  <c r="E177" i="1"/>
  <c r="E178" i="1"/>
  <c r="E181" i="1"/>
  <c r="E183" i="1"/>
  <c r="E186" i="1"/>
  <c r="E187" i="1"/>
  <c r="D174" i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C189" i="1"/>
  <c r="B189" i="1"/>
  <c r="E175" i="1" s="1"/>
  <c r="G158" i="1"/>
  <c r="G160" i="1" s="1"/>
  <c r="H157" i="1"/>
  <c r="H156" i="1"/>
  <c r="H155" i="1"/>
  <c r="H154" i="1"/>
  <c r="H159" i="1" s="1"/>
  <c r="G161" i="1" s="1"/>
  <c r="G162" i="1" s="1"/>
  <c r="H153" i="1"/>
  <c r="H152" i="1"/>
  <c r="E153" i="1"/>
  <c r="E154" i="1"/>
  <c r="E155" i="1"/>
  <c r="E156" i="1"/>
  <c r="E157" i="1"/>
  <c r="I155" i="1" l="1"/>
  <c r="K188" i="1"/>
  <c r="K189" i="1"/>
  <c r="K187" i="1"/>
  <c r="I157" i="1"/>
  <c r="I153" i="1"/>
  <c r="I156" i="1"/>
  <c r="E193" i="1"/>
  <c r="E204" i="1"/>
  <c r="E200" i="1"/>
  <c r="E196" i="1"/>
  <c r="I152" i="1"/>
  <c r="I154" i="1"/>
  <c r="E174" i="1"/>
  <c r="E189" i="1" s="1"/>
  <c r="E185" i="1"/>
  <c r="E180" i="1"/>
  <c r="E176" i="1"/>
  <c r="E207" i="1"/>
  <c r="E203" i="1"/>
  <c r="E199" i="1"/>
  <c r="E195" i="1"/>
  <c r="K200" i="1"/>
  <c r="L193" i="1" s="1"/>
  <c r="O193" i="1" s="1"/>
  <c r="E188" i="1"/>
  <c r="E184" i="1"/>
  <c r="E179" i="1"/>
  <c r="E206" i="1"/>
  <c r="E202" i="1"/>
  <c r="E198" i="1"/>
  <c r="I32" i="1"/>
  <c r="H32" i="1"/>
  <c r="P193" i="1" l="1"/>
  <c r="Q193" i="1"/>
  <c r="G165" i="1"/>
  <c r="G166" i="1" s="1"/>
  <c r="G167" i="1" s="1"/>
  <c r="G168" i="1" s="1"/>
  <c r="G163" i="1"/>
  <c r="G164" i="1" s="1"/>
  <c r="E134" i="1"/>
  <c r="G134" i="1" s="1"/>
  <c r="E133" i="1"/>
  <c r="G133" i="1" s="1"/>
  <c r="E132" i="1"/>
  <c r="G132" i="1" s="1"/>
  <c r="E130" i="1"/>
  <c r="E129" i="1"/>
  <c r="E128" i="1"/>
  <c r="E131" i="1" s="1"/>
  <c r="D119" i="1"/>
  <c r="D120" i="1" s="1"/>
  <c r="D117" i="1"/>
  <c r="D116" i="1"/>
  <c r="G115" i="1"/>
  <c r="G114" i="1"/>
  <c r="G113" i="1"/>
  <c r="G112" i="1"/>
  <c r="D115" i="1"/>
  <c r="D114" i="1"/>
  <c r="D113" i="1"/>
  <c r="D112" i="1"/>
  <c r="D109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E100" i="1"/>
  <c r="E99" i="1"/>
  <c r="E98" i="1"/>
  <c r="E97" i="1"/>
  <c r="E96" i="1"/>
  <c r="E95" i="1"/>
  <c r="E94" i="1"/>
  <c r="E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C89" i="1"/>
  <c r="E81" i="1"/>
  <c r="E80" i="1"/>
  <c r="E79" i="1"/>
  <c r="E78" i="1"/>
  <c r="E77" i="1"/>
  <c r="E76" i="1"/>
  <c r="E75" i="1"/>
  <c r="E74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H56" i="1"/>
  <c r="H55" i="1"/>
  <c r="H54" i="1"/>
  <c r="E56" i="1"/>
  <c r="E55" i="1"/>
  <c r="D55" i="1"/>
  <c r="E54" i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D51" i="1"/>
  <c r="E45" i="1"/>
  <c r="E44" i="1"/>
  <c r="E43" i="1"/>
  <c r="E42" i="1"/>
  <c r="H40" i="1" s="1"/>
  <c r="I40" i="1" s="1"/>
  <c r="E41" i="1"/>
  <c r="E40" i="1"/>
  <c r="H31" i="1"/>
  <c r="I31" i="1" s="1"/>
  <c r="G31" i="1"/>
  <c r="K31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H25" i="1"/>
  <c r="H26" i="1" s="1"/>
  <c r="B23" i="1"/>
  <c r="G21" i="1"/>
  <c r="G23" i="1" s="1"/>
  <c r="E21" i="1"/>
  <c r="E23" i="1" s="1"/>
  <c r="D21" i="1"/>
  <c r="D23" i="1" s="1"/>
  <c r="I13" i="1"/>
  <c r="I14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E9" i="1"/>
  <c r="E11" i="1" s="1"/>
  <c r="D9" i="1"/>
  <c r="D11" i="1" s="1"/>
  <c r="B11" i="1"/>
  <c r="K6" i="1"/>
  <c r="G170" i="1" l="1"/>
  <c r="G169" i="1"/>
  <c r="B25" i="1"/>
  <c r="E82" i="1"/>
  <c r="E83" i="1" s="1"/>
  <c r="E84" i="1" s="1"/>
  <c r="E85" i="1" s="1"/>
  <c r="D118" i="1"/>
  <c r="D122" i="1" s="1"/>
  <c r="J32" i="1"/>
  <c r="E135" i="1"/>
  <c r="E136" i="1" s="1"/>
  <c r="E137" i="1" s="1"/>
  <c r="E139" i="1"/>
  <c r="H23" i="1"/>
  <c r="E101" i="1"/>
  <c r="E102" i="1" s="1"/>
  <c r="E103" i="1" s="1"/>
  <c r="E104" i="1" s="1"/>
  <c r="G40" i="1"/>
  <c r="J40" i="1" s="1"/>
  <c r="E57" i="1"/>
  <c r="H57" i="1"/>
  <c r="E59" i="1" s="1"/>
  <c r="E60" i="1" s="1"/>
  <c r="E61" i="1" s="1"/>
  <c r="C25" i="1"/>
  <c r="C26" i="1" s="1"/>
  <c r="B26" i="1"/>
  <c r="L31" i="1"/>
  <c r="J31" i="1"/>
  <c r="D123" i="1"/>
  <c r="D121" i="1"/>
  <c r="E13" i="1"/>
  <c r="E14" i="1" s="1"/>
  <c r="N11" i="1"/>
  <c r="N12" i="1" s="1"/>
  <c r="K40" i="1" l="1"/>
  <c r="L40" i="1"/>
  <c r="E87" i="1"/>
  <c r="E58" i="1"/>
  <c r="E64" i="1" s="1"/>
  <c r="E138" i="1"/>
  <c r="E106" i="1"/>
  <c r="E105" i="1"/>
  <c r="E86" i="1"/>
  <c r="E62" i="1" l="1"/>
  <c r="J57" i="1"/>
  <c r="E63" i="1"/>
</calcChain>
</file>

<file path=xl/sharedStrings.xml><?xml version="1.0" encoding="utf-8"?>
<sst xmlns="http://schemas.openxmlformats.org/spreadsheetml/2006/main" count="286" uniqueCount="181">
  <si>
    <t>H.H</t>
  </si>
  <si>
    <t>N0</t>
  </si>
  <si>
    <t>N=</t>
  </si>
  <si>
    <t>n=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</si>
  <si>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</si>
  <si>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</si>
  <si>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</si>
  <si>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</si>
  <si>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</si>
  <si>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</si>
  <si>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</si>
  <si>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</si>
  <si>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</si>
  <si>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(1,1)</t>
  </si>
  <si>
    <t>(1,2)</t>
  </si>
  <si>
    <t>1,3</t>
  </si>
  <si>
    <t>2,1</t>
  </si>
  <si>
    <t>2,2</t>
  </si>
  <si>
    <t>2,3</t>
  </si>
  <si>
    <t>3,1</t>
  </si>
  <si>
    <t>3,2</t>
  </si>
  <si>
    <t>3,3</t>
  </si>
  <si>
    <t>mean</t>
  </si>
  <si>
    <t>sum</t>
  </si>
  <si>
    <t>n=6</t>
  </si>
  <si>
    <t>sample mean</t>
  </si>
  <si>
    <t>SD(sample mean)</t>
  </si>
  <si>
    <t>var (sample mean)=</t>
  </si>
  <si>
    <t>var (pop )=</t>
  </si>
  <si>
    <t>SD(pop)</t>
  </si>
  <si>
    <t>all po sample (SRSWOR)</t>
  </si>
  <si>
    <t>all po sample (SRSWR)</t>
  </si>
  <si>
    <t>1,2</t>
  </si>
  <si>
    <t xml:space="preserve">No2 </t>
  </si>
  <si>
    <t>N=15</t>
  </si>
  <si>
    <t>No</t>
  </si>
  <si>
    <t xml:space="preserve">Age </t>
  </si>
  <si>
    <t>random sample</t>
  </si>
  <si>
    <t>SRSWR</t>
  </si>
  <si>
    <t>var</t>
  </si>
  <si>
    <t>SD</t>
  </si>
  <si>
    <t>CV</t>
  </si>
  <si>
    <t>95% CI up</t>
  </si>
  <si>
    <t>95% CI Lo</t>
  </si>
  <si>
    <t>SRSWOR</t>
  </si>
  <si>
    <t>k=</t>
  </si>
  <si>
    <t>no2</t>
  </si>
  <si>
    <t>sys sample</t>
  </si>
  <si>
    <t>n1=3</t>
  </si>
  <si>
    <t>n2=3</t>
  </si>
  <si>
    <t>R sample n1</t>
  </si>
  <si>
    <t>Age n1</t>
  </si>
  <si>
    <t>R samplen2</t>
  </si>
  <si>
    <t>Age n2</t>
  </si>
  <si>
    <t xml:space="preserve">var(y hat) </t>
  </si>
  <si>
    <t>var sys(y hat)</t>
  </si>
  <si>
    <t>mean( y hat)</t>
  </si>
  <si>
    <t>sys mean (y hat)</t>
  </si>
  <si>
    <t>SD ( y hat)</t>
  </si>
  <si>
    <t>No4</t>
  </si>
  <si>
    <t>Prop estimate</t>
  </si>
  <si>
    <t>TV</t>
  </si>
  <si>
    <t>HH size</t>
  </si>
  <si>
    <t xml:space="preserve">random sample </t>
  </si>
  <si>
    <t>p hat</t>
  </si>
  <si>
    <t>var ( p hat)</t>
  </si>
  <si>
    <t>SD ( p hat)</t>
  </si>
  <si>
    <t>SYS sample</t>
  </si>
  <si>
    <t>random sample  n1</t>
  </si>
  <si>
    <t>random sample  n2</t>
  </si>
  <si>
    <t>p1 hat</t>
  </si>
  <si>
    <t>p2 hat</t>
  </si>
  <si>
    <t xml:space="preserve">p hat </t>
  </si>
  <si>
    <t>var p hat</t>
  </si>
  <si>
    <t xml:space="preserve">SD p hat </t>
  </si>
  <si>
    <t>TownA</t>
  </si>
  <si>
    <t>TownB</t>
  </si>
  <si>
    <t>TownC</t>
  </si>
  <si>
    <t>mean T(A)</t>
  </si>
  <si>
    <t>mean T(B)</t>
  </si>
  <si>
    <t>mean T(C)</t>
  </si>
  <si>
    <t>mean( hat)</t>
  </si>
  <si>
    <t>varT(A)</t>
  </si>
  <si>
    <t>varT(B)</t>
  </si>
  <si>
    <t>varT(C)</t>
  </si>
  <si>
    <t>var(hat)</t>
  </si>
  <si>
    <t>sd error</t>
  </si>
  <si>
    <t>95% CI LOW</t>
  </si>
  <si>
    <t>95%CI UP</t>
  </si>
  <si>
    <t>srtatified random sampling</t>
  </si>
  <si>
    <t>hh</t>
  </si>
  <si>
    <t>hh-size</t>
  </si>
  <si>
    <t>expend-hh</t>
  </si>
  <si>
    <t>Random numbers</t>
  </si>
  <si>
    <t>hh-size(X)</t>
  </si>
  <si>
    <t>expenditures(Y)</t>
  </si>
  <si>
    <t>sample</t>
  </si>
  <si>
    <t>mean(X)</t>
  </si>
  <si>
    <t>mean(Y)</t>
  </si>
  <si>
    <t>Xhat</t>
  </si>
  <si>
    <t>Yhat</t>
  </si>
  <si>
    <t>Rhat</t>
  </si>
  <si>
    <t>Zi=Yi-R-hat*xi</t>
  </si>
  <si>
    <t>Mean(Z)</t>
  </si>
  <si>
    <t>Z-hat</t>
  </si>
  <si>
    <t>Var(Z)</t>
  </si>
  <si>
    <t>Var(Z)-hat</t>
  </si>
  <si>
    <t>MSE hat(R hat)</t>
  </si>
  <si>
    <t>95 % CI L</t>
  </si>
  <si>
    <t>95 % CI U</t>
  </si>
  <si>
    <t>PPSWR</t>
  </si>
  <si>
    <t>hh-size (Xi)</t>
  </si>
  <si>
    <t>Total</t>
  </si>
  <si>
    <t>Ci =  cum tot Xi</t>
  </si>
  <si>
    <t>Pi</t>
  </si>
  <si>
    <t>selected unit</t>
  </si>
  <si>
    <t>Pi sample</t>
  </si>
  <si>
    <t>hhld-size(Xi)</t>
  </si>
  <si>
    <t>Expenditure(Yi)</t>
  </si>
  <si>
    <t>Yi/Pi</t>
  </si>
  <si>
    <t>tHH</t>
  </si>
  <si>
    <t>S^(2)zi</t>
  </si>
  <si>
    <t>S^(2)zi/n</t>
  </si>
  <si>
    <t>V(tHH)hat</t>
  </si>
  <si>
    <t>SDthh hat</t>
  </si>
  <si>
    <t>CI-L</t>
  </si>
  <si>
    <t>CV-UP</t>
  </si>
  <si>
    <t>sampling by unequal probability sampling(Probability Proportional to size)</t>
  </si>
  <si>
    <t>Probability Proportional to Size smpling(PPSWOR)</t>
  </si>
  <si>
    <t>ti</t>
  </si>
  <si>
    <t xml:space="preserve">Note </t>
  </si>
  <si>
    <t>Aveg(ti)=tD</t>
  </si>
  <si>
    <t>V(tD)</t>
  </si>
  <si>
    <t>V(tD)hat=V(tD)/n</t>
  </si>
  <si>
    <t xml:space="preserve">Y(mean) hat </t>
  </si>
  <si>
    <t>var hat Y(mean) hat</t>
  </si>
  <si>
    <t>SE  ( Y mean hat)</t>
  </si>
  <si>
    <t xml:space="preserve">95 % CI L </t>
  </si>
  <si>
    <t>CV hat(Y men hat)</t>
  </si>
  <si>
    <t>Use 15 hhs popolation Ratio, draw a sample of 6hhs.</t>
  </si>
  <si>
    <t>tHH/N</t>
  </si>
  <si>
    <t>Two stage Claster Smpling (SRSWOR)</t>
  </si>
  <si>
    <t>Sampled village sl. No.</t>
  </si>
  <si>
    <t>Total no. of hhs</t>
  </si>
  <si>
    <t>no. of sample hhs mi</t>
  </si>
  <si>
    <t>Water-area in Satak in sampled hhs</t>
  </si>
  <si>
    <t>2nd stage sample mean</t>
  </si>
  <si>
    <t>2nd stage total estimate Yihat</t>
  </si>
  <si>
    <t>Aver(Yhat)</t>
  </si>
  <si>
    <t>2nd stage sample variance</t>
  </si>
  <si>
    <t>V2hat(Y,meanhat)</t>
  </si>
  <si>
    <t>V2hat(Yihat)</t>
  </si>
  <si>
    <t>sample variance using 2nd stage total estimate values</t>
  </si>
  <si>
    <t>1st term of Vhat(Yhat)</t>
  </si>
  <si>
    <t>2nd term of Vhat(Yhat)</t>
  </si>
  <si>
    <t>Vhat(Yhat)</t>
  </si>
  <si>
    <t>SEhat(Yhat)</t>
  </si>
  <si>
    <t>Cvhat(Yhat)</t>
  </si>
  <si>
    <t>95% CI lower</t>
  </si>
  <si>
    <t>95% CI upper</t>
  </si>
  <si>
    <t>IMPUTATION TECHNIQUES</t>
  </si>
  <si>
    <t>farm</t>
  </si>
  <si>
    <t>manure production</t>
  </si>
  <si>
    <t>region</t>
  </si>
  <si>
    <t>number of pigs</t>
  </si>
  <si>
    <t>North</t>
  </si>
  <si>
    <t>South</t>
  </si>
  <si>
    <t>???????</t>
  </si>
  <si>
    <t>????????</t>
  </si>
  <si>
    <t>Soln</t>
  </si>
  <si>
    <t>By group mean Imputation</t>
  </si>
  <si>
    <t>Mean(North)</t>
  </si>
  <si>
    <t>Mean(south)</t>
  </si>
  <si>
    <t>Sample Mean</t>
  </si>
  <si>
    <t>Varience</t>
  </si>
  <si>
    <t>CI Lower</t>
  </si>
  <si>
    <t>CI UP</t>
  </si>
  <si>
    <t>Different Techniques on Sample Survey Questions</t>
  </si>
  <si>
    <t>Author</t>
  </si>
  <si>
    <t>Mbogolela Felix</t>
  </si>
  <si>
    <t>Indian Statistical Institute(ISEC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</si>
</sst>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0" borderId="2" xfId="0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0" xfId="0" applyFill="1" applyBorder="1"/>
    <xf numFmtId="0" fontId="0" fillId="3" borderId="2" xfId="0" applyFill="1" applyBorder="1"/>
    <xf numFmtId="0" fontId="2" fillId="0" borderId="1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" fillId="5" borderId="4" xfId="0" applyFont="1" applyFill="1" applyBorder="1"/>
    <xf numFmtId="0" fontId="1" fillId="5" borderId="0" xfId="0" applyFont="1" applyFill="1" applyBorder="1"/>
    <xf numFmtId="20" fontId="0" fillId="0" borderId="0" xfId="0" applyNumberFormat="1" applyBorder="1"/>
    <xf numFmtId="2" fontId="0" fillId="0" borderId="0" xfId="0" applyNumberFormat="1" applyBorder="1"/>
    <xf numFmtId="0" fontId="0" fillId="5" borderId="4" xfId="0" applyFill="1" applyBorder="1"/>
    <xf numFmtId="0" fontId="0" fillId="2" borderId="5" xfId="0" applyFill="1" applyBorder="1"/>
    <xf numFmtId="0" fontId="0" fillId="6" borderId="0" xfId="0" applyFill="1" applyBorder="1"/>
    <xf numFmtId="0" fontId="0" fillId="7" borderId="0" xfId="0" applyFill="1" applyBorder="1"/>
    <xf numFmtId="0" fontId="1" fillId="0" borderId="2" xfId="0" applyFont="1" applyBorder="1" applyAlignment="1">
      <alignment horizontal="center"/>
    </xf>
    <xf numFmtId="0" fontId="0" fillId="2" borderId="7" xfId="0" applyFill="1" applyBorder="1"/>
    <xf numFmtId="0" fontId="3" fillId="0" borderId="1" xfId="0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wrapText="1"/>
    </xf>
    <xf numFmtId="0" fontId="1" fillId="0" borderId="2" xfId="0" applyFont="1" applyBorder="1" applyAlignment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1" fillId="2" borderId="5" xfId="0" applyFont="1" applyFill="1" applyBorder="1" applyAlignment="1">
      <alignment wrapText="1"/>
    </xf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1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60"/>
  <sheetViews>
    <sheetView tabSelected="1" workbookViewId="0">
      <selection activeCell="G3" sqref="G3"/>
    </sheetView>
  </sheetViews>
  <sheetFormatPr defaultRowHeight="14.4" x14ac:dyDescent="0.3"/>
  <cols>
    <col min="3" max="3" width="10.109375" customWidth="1"/>
    <col min="4" max="4" width="11.88671875" customWidth="1"/>
    <col min="6" max="6" width="12" bestFit="1" customWidth="1"/>
    <col min="7" max="7" width="11" bestFit="1" customWidth="1"/>
    <col min="9" max="9" width="11.33203125" customWidth="1"/>
    <col min="11" max="11" width="11" bestFit="1" customWidth="1"/>
    <col min="14" max="14" width="10.77734375" customWidth="1"/>
    <col min="17" max="17" width="10.88671875" customWidth="1"/>
  </cols>
  <sheetData>
    <row r="2" spans="1:15" x14ac:dyDescent="0.3">
      <c r="A2" s="49" t="s">
        <v>177</v>
      </c>
      <c r="B2" s="49"/>
      <c r="C2" s="49"/>
      <c r="D2" s="49"/>
      <c r="E2" s="49"/>
    </row>
    <row r="3" spans="1:15" x14ac:dyDescent="0.3">
      <c r="A3" s="49" t="s">
        <v>178</v>
      </c>
      <c r="B3" s="49" t="s">
        <v>179</v>
      </c>
      <c r="C3" s="49"/>
      <c r="D3" s="49"/>
      <c r="E3" s="49"/>
    </row>
    <row r="4" spans="1:15" x14ac:dyDescent="0.3">
      <c r="A4" s="49"/>
      <c r="B4" s="49" t="s">
        <v>180</v>
      </c>
      <c r="C4" s="49"/>
      <c r="D4" s="49"/>
      <c r="E4" s="49"/>
    </row>
    <row r="5" spans="1:15" ht="15" thickBot="1" x14ac:dyDescent="0.35"/>
    <row r="6" spans="1:15" x14ac:dyDescent="0.3">
      <c r="A6" s="1"/>
      <c r="B6" s="2"/>
      <c r="C6" s="2" t="s">
        <v>2</v>
      </c>
      <c r="D6" s="2">
        <v>3</v>
      </c>
      <c r="E6" s="2" t="s">
        <v>3</v>
      </c>
      <c r="F6" s="2"/>
      <c r="G6" s="2">
        <v>2</v>
      </c>
      <c r="H6" s="2"/>
      <c r="I6" s="18" t="s">
        <v>31</v>
      </c>
      <c r="J6" s="18"/>
      <c r="K6" s="2">
        <f>3*3</f>
        <v>9</v>
      </c>
      <c r="L6" s="2"/>
      <c r="M6" s="2"/>
      <c r="N6" s="2"/>
      <c r="O6" s="3"/>
    </row>
    <row r="7" spans="1:15" x14ac:dyDescent="0.3">
      <c r="A7" s="4" t="s">
        <v>1</v>
      </c>
      <c r="B7" s="5" t="s">
        <v>0</v>
      </c>
      <c r="C7" s="5"/>
      <c r="D7" s="5" t="s">
        <v>4</v>
      </c>
      <c r="E7" s="5" t="s">
        <v>5</v>
      </c>
      <c r="F7" s="5"/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/>
      <c r="O7" s="6"/>
    </row>
    <row r="8" spans="1:15" x14ac:dyDescent="0.3">
      <c r="A8" s="4">
        <v>1</v>
      </c>
      <c r="B8" s="5">
        <v>7</v>
      </c>
      <c r="C8" s="5"/>
      <c r="D8" s="5" t="s">
        <v>13</v>
      </c>
      <c r="E8" s="5" t="s">
        <v>14</v>
      </c>
      <c r="F8" s="5"/>
      <c r="G8" s="5" t="s">
        <v>15</v>
      </c>
      <c r="H8" s="5" t="s">
        <v>16</v>
      </c>
      <c r="I8" s="5" t="s">
        <v>17</v>
      </c>
      <c r="J8" s="5" t="s">
        <v>18</v>
      </c>
      <c r="K8" s="5" t="s">
        <v>19</v>
      </c>
      <c r="L8" s="5" t="s">
        <v>20</v>
      </c>
      <c r="M8" s="5" t="s">
        <v>21</v>
      </c>
      <c r="N8" s="5"/>
      <c r="O8" s="6"/>
    </row>
    <row r="9" spans="1:15" x14ac:dyDescent="0.3">
      <c r="A9" s="4">
        <v>2</v>
      </c>
      <c r="B9" s="5">
        <v>5</v>
      </c>
      <c r="C9" s="5" t="s">
        <v>23</v>
      </c>
      <c r="D9" s="5">
        <f>B8+B8</f>
        <v>14</v>
      </c>
      <c r="E9" s="5">
        <f>B8+B9</f>
        <v>12</v>
      </c>
      <c r="F9" s="5"/>
      <c r="G9" s="5">
        <f>B8+B10</f>
        <v>15</v>
      </c>
      <c r="H9" s="5">
        <f>B9+B8</f>
        <v>12</v>
      </c>
      <c r="I9" s="5">
        <f>B9+B9</f>
        <v>10</v>
      </c>
      <c r="J9" s="5">
        <f>B9+B10</f>
        <v>13</v>
      </c>
      <c r="K9" s="5">
        <f>B10+B8</f>
        <v>15</v>
      </c>
      <c r="L9" s="5">
        <f>B9+B10</f>
        <v>13</v>
      </c>
      <c r="M9" s="5">
        <f>B10+B10</f>
        <v>16</v>
      </c>
      <c r="N9" s="5"/>
      <c r="O9" s="6"/>
    </row>
    <row r="10" spans="1:15" ht="15" thickBot="1" x14ac:dyDescent="0.35">
      <c r="A10" s="9">
        <v>3</v>
      </c>
      <c r="B10" s="10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5" ht="28.8" x14ac:dyDescent="0.3">
      <c r="A11" s="1" t="s">
        <v>22</v>
      </c>
      <c r="B11" s="12">
        <f>AVERAGE(B8:B10)</f>
        <v>6.666666666666667</v>
      </c>
      <c r="C11" s="13" t="s">
        <v>25</v>
      </c>
      <c r="D11" s="2">
        <f>D9/2</f>
        <v>7</v>
      </c>
      <c r="E11" s="2">
        <f t="shared" ref="E11:M11" si="0">E9/2</f>
        <v>6</v>
      </c>
      <c r="F11" s="2"/>
      <c r="G11" s="2">
        <f t="shared" si="0"/>
        <v>7.5</v>
      </c>
      <c r="H11" s="2">
        <f t="shared" si="0"/>
        <v>6</v>
      </c>
      <c r="I11" s="2">
        <f t="shared" si="0"/>
        <v>5</v>
      </c>
      <c r="J11" s="2">
        <f t="shared" si="0"/>
        <v>6.5</v>
      </c>
      <c r="K11" s="2">
        <f t="shared" si="0"/>
        <v>7.5</v>
      </c>
      <c r="L11" s="2">
        <f t="shared" si="0"/>
        <v>6.5</v>
      </c>
      <c r="M11" s="2">
        <f t="shared" si="0"/>
        <v>8</v>
      </c>
      <c r="N11" s="2">
        <f>SUM(D11:M11)</f>
        <v>60</v>
      </c>
      <c r="O11" s="3"/>
    </row>
    <row r="12" spans="1:15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>
        <f>N11/9</f>
        <v>6.666666666666667</v>
      </c>
      <c r="O12" s="6"/>
    </row>
    <row r="13" spans="1:15" ht="28.8" x14ac:dyDescent="0.3">
      <c r="A13" s="4"/>
      <c r="B13" s="5"/>
      <c r="C13" s="5"/>
      <c r="D13" s="8" t="s">
        <v>27</v>
      </c>
      <c r="E13" s="5">
        <f>VAR(D11:M11)</f>
        <v>0.875</v>
      </c>
      <c r="F13" s="5"/>
      <c r="G13" s="5"/>
      <c r="H13" s="8" t="s">
        <v>28</v>
      </c>
      <c r="I13" s="5">
        <f>VARP(B8:B10)</f>
        <v>1.5555555555555556</v>
      </c>
      <c r="J13" s="5"/>
      <c r="K13" s="5"/>
      <c r="L13" s="5"/>
      <c r="M13" s="5"/>
      <c r="N13" s="5"/>
      <c r="O13" s="6"/>
    </row>
    <row r="14" spans="1:15" ht="28.8" x14ac:dyDescent="0.3">
      <c r="A14" s="4"/>
      <c r="B14" s="5"/>
      <c r="C14" s="5"/>
      <c r="D14" s="8" t="s">
        <v>26</v>
      </c>
      <c r="E14" s="5">
        <f>SQRT(E13)</f>
        <v>0.93541434669348533</v>
      </c>
      <c r="F14" s="5"/>
      <c r="G14" s="5"/>
      <c r="H14" s="8" t="s">
        <v>29</v>
      </c>
      <c r="I14" s="5">
        <f>SQRT(I13)</f>
        <v>1.247219128924647</v>
      </c>
      <c r="J14" s="5"/>
      <c r="K14" s="5"/>
      <c r="L14" s="5"/>
      <c r="M14" s="5"/>
      <c r="N14" s="5"/>
      <c r="O14" s="6"/>
    </row>
    <row r="15" spans="1:15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x14ac:dyDescent="0.3">
      <c r="A17" s="4"/>
      <c r="B17" s="5"/>
      <c r="C17" s="5"/>
      <c r="D17" s="5"/>
      <c r="E17" s="14" t="s">
        <v>30</v>
      </c>
      <c r="F17" s="14"/>
      <c r="G17" s="15"/>
      <c r="H17" s="5"/>
      <c r="I17" s="5"/>
      <c r="J17" s="5"/>
      <c r="K17" s="5"/>
      <c r="L17" s="5"/>
      <c r="M17" s="5"/>
      <c r="N17" s="5"/>
      <c r="O17" s="6"/>
    </row>
    <row r="18" spans="1:15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1:15" x14ac:dyDescent="0.3">
      <c r="A19" s="4" t="s">
        <v>1</v>
      </c>
      <c r="B19" s="5" t="s">
        <v>0</v>
      </c>
      <c r="C19" s="5"/>
      <c r="D19" s="5" t="s">
        <v>4</v>
      </c>
      <c r="E19" s="5" t="s">
        <v>5</v>
      </c>
      <c r="F19" s="5"/>
      <c r="G19" s="5" t="s">
        <v>6</v>
      </c>
      <c r="H19" s="5"/>
      <c r="I19" s="5"/>
      <c r="J19" s="5"/>
      <c r="K19" s="5"/>
      <c r="L19" s="5"/>
      <c r="M19" s="5"/>
      <c r="N19" s="5"/>
      <c r="O19" s="6"/>
    </row>
    <row r="20" spans="1:15" x14ac:dyDescent="0.3">
      <c r="A20" s="4">
        <v>1</v>
      </c>
      <c r="B20" s="5">
        <v>7</v>
      </c>
      <c r="C20" s="5"/>
      <c r="D20" s="5" t="s">
        <v>32</v>
      </c>
      <c r="E20" s="5" t="s">
        <v>15</v>
      </c>
      <c r="F20" s="5"/>
      <c r="G20" s="5" t="s">
        <v>18</v>
      </c>
      <c r="H20" s="5"/>
      <c r="I20" s="5"/>
      <c r="J20" s="5"/>
      <c r="K20" s="5"/>
      <c r="L20" s="5"/>
      <c r="M20" s="5"/>
      <c r="N20" s="5"/>
      <c r="O20" s="6"/>
    </row>
    <row r="21" spans="1:15" x14ac:dyDescent="0.3">
      <c r="A21" s="4">
        <v>2</v>
      </c>
      <c r="B21" s="5">
        <v>5</v>
      </c>
      <c r="C21" s="5" t="s">
        <v>23</v>
      </c>
      <c r="D21" s="5">
        <f>B20+B21</f>
        <v>12</v>
      </c>
      <c r="E21" s="5">
        <f>B20+B22</f>
        <v>15</v>
      </c>
      <c r="F21" s="5"/>
      <c r="G21" s="5">
        <f>B21+B22</f>
        <v>13</v>
      </c>
      <c r="H21" s="5"/>
      <c r="I21" s="5"/>
      <c r="J21" s="5"/>
      <c r="K21" s="5"/>
      <c r="L21" s="5"/>
      <c r="M21" s="5"/>
      <c r="N21" s="5"/>
      <c r="O21" s="6"/>
    </row>
    <row r="22" spans="1:15" x14ac:dyDescent="0.3">
      <c r="A22" s="4">
        <v>3</v>
      </c>
      <c r="B22" s="5">
        <v>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1:15" ht="28.8" x14ac:dyDescent="0.3">
      <c r="A23" s="4" t="s">
        <v>22</v>
      </c>
      <c r="B23" s="7">
        <f>AVERAGE(B20:B22)</f>
        <v>6.666666666666667</v>
      </c>
      <c r="C23" s="8" t="s">
        <v>25</v>
      </c>
      <c r="D23" s="5">
        <f>D21/2</f>
        <v>6</v>
      </c>
      <c r="E23" s="5">
        <f t="shared" ref="E23:G23" si="1">E21/2</f>
        <v>7.5</v>
      </c>
      <c r="F23" s="5"/>
      <c r="G23" s="5">
        <f t="shared" si="1"/>
        <v>6.5</v>
      </c>
      <c r="H23" s="7">
        <f>SUM(D23:G23)/3</f>
        <v>6.666666666666667</v>
      </c>
      <c r="I23" s="5"/>
      <c r="J23" s="5"/>
      <c r="K23" s="5"/>
      <c r="L23" s="5"/>
      <c r="M23" s="5"/>
      <c r="N23" s="5"/>
      <c r="O23" s="6"/>
    </row>
    <row r="24" spans="1:15" ht="22.2" customHeight="1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34.799999999999997" customHeight="1" x14ac:dyDescent="0.3">
      <c r="A25" s="16" t="s">
        <v>27</v>
      </c>
      <c r="B25" s="5">
        <f>VAR(D23:G23)</f>
        <v>0.58333333333333337</v>
      </c>
      <c r="C25" s="17">
        <f>((1/2)-(1/3))*B25</f>
        <v>9.7222222222222238E-2</v>
      </c>
      <c r="D25" s="5"/>
      <c r="E25" s="5"/>
      <c r="F25" s="5"/>
      <c r="G25" s="8" t="s">
        <v>28</v>
      </c>
      <c r="H25" s="5">
        <f>VARP(B20:B22)</f>
        <v>1.5555555555555556</v>
      </c>
      <c r="I25" s="5"/>
      <c r="J25" s="5"/>
      <c r="K25" s="5"/>
      <c r="L25" s="5"/>
      <c r="M25" s="5"/>
      <c r="N25" s="5"/>
      <c r="O25" s="6"/>
    </row>
    <row r="26" spans="1:15" ht="28.8" x14ac:dyDescent="0.3">
      <c r="A26" s="16" t="s">
        <v>26</v>
      </c>
      <c r="B26" s="5">
        <f>SQRT(B25)</f>
        <v>0.76376261582597338</v>
      </c>
      <c r="C26" s="17">
        <f>SQRT(C25)</f>
        <v>0.31180478223116181</v>
      </c>
      <c r="D26" s="5"/>
      <c r="E26" s="5"/>
      <c r="F26" s="5"/>
      <c r="G26" s="8" t="s">
        <v>29</v>
      </c>
      <c r="H26" s="5">
        <f>SQRT(H25)</f>
        <v>1.247219128924647</v>
      </c>
      <c r="I26" s="5"/>
      <c r="J26" s="5"/>
      <c r="K26" s="5"/>
      <c r="L26" s="5"/>
      <c r="M26" s="5"/>
      <c r="N26" s="5"/>
      <c r="O26" s="6"/>
    </row>
    <row r="27" spans="1:15" ht="15" thickBot="1" x14ac:dyDescent="0.3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1:15" x14ac:dyDescent="0.3">
      <c r="A28" s="19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</row>
    <row r="29" spans="1:15" x14ac:dyDescent="0.3">
      <c r="A29" s="4"/>
      <c r="B29" s="5" t="s">
        <v>34</v>
      </c>
      <c r="C29" s="5" t="s">
        <v>24</v>
      </c>
      <c r="D29" s="20" t="s">
        <v>38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1:15" x14ac:dyDescent="0.3">
      <c r="A30" s="4"/>
      <c r="B30" s="5" t="s">
        <v>35</v>
      </c>
      <c r="C30" s="5" t="s">
        <v>36</v>
      </c>
      <c r="D30" s="5" t="s">
        <v>37</v>
      </c>
      <c r="E30" s="5" t="s">
        <v>36</v>
      </c>
      <c r="F30" s="5"/>
      <c r="G30" s="5" t="s">
        <v>22</v>
      </c>
      <c r="H30" s="5" t="s">
        <v>39</v>
      </c>
      <c r="I30" s="5" t="s">
        <v>40</v>
      </c>
      <c r="J30" s="5" t="s">
        <v>41</v>
      </c>
      <c r="K30" s="5" t="s">
        <v>43</v>
      </c>
      <c r="L30" s="5" t="s">
        <v>42</v>
      </c>
      <c r="M30" s="5"/>
      <c r="N30" s="5"/>
      <c r="O30" s="6"/>
    </row>
    <row r="31" spans="1:15" x14ac:dyDescent="0.3">
      <c r="A31" s="4"/>
      <c r="B31" s="5">
        <v>1</v>
      </c>
      <c r="C31" s="5">
        <v>31</v>
      </c>
      <c r="D31" s="5">
        <v>12</v>
      </c>
      <c r="E31" s="5">
        <v>34</v>
      </c>
      <c r="F31" s="5"/>
      <c r="G31" s="5">
        <f>AVERAGE(E31:E36)</f>
        <v>40.166666666666664</v>
      </c>
      <c r="H31" s="5">
        <f>VAR(E31:E36)</f>
        <v>36.166666666666785</v>
      </c>
      <c r="I31" s="5">
        <f>SQRT(H31)</f>
        <v>6.013872850889582</v>
      </c>
      <c r="J31" s="5">
        <f>(I31/G31)*100</f>
        <v>14.972297554081948</v>
      </c>
      <c r="K31" s="20">
        <f>G31-1.96*I31</f>
        <v>28.379475878923081</v>
      </c>
      <c r="L31" s="20">
        <f>G31+1.96*I31</f>
        <v>51.953857454410247</v>
      </c>
      <c r="M31" s="5"/>
      <c r="N31" s="5"/>
      <c r="O31" s="6"/>
    </row>
    <row r="32" spans="1:15" x14ac:dyDescent="0.3">
      <c r="A32" s="4"/>
      <c r="B32" s="5">
        <f>B31+1</f>
        <v>2</v>
      </c>
      <c r="C32" s="5">
        <v>34</v>
      </c>
      <c r="D32" s="5">
        <v>13</v>
      </c>
      <c r="E32" s="5">
        <v>44</v>
      </c>
      <c r="F32" s="5"/>
      <c r="G32" s="5"/>
      <c r="H32" s="5">
        <f>_xlfn.VAR.S(E31:E36)</f>
        <v>36.166666666666785</v>
      </c>
      <c r="I32" s="5">
        <f>_xlfn.STDEV.S(E31:E36)</f>
        <v>6.013872850889582</v>
      </c>
      <c r="J32" s="5">
        <f>(I32/G31)*100</f>
        <v>14.972297554081948</v>
      </c>
      <c r="K32" s="5"/>
      <c r="L32" s="5"/>
      <c r="M32" s="5"/>
      <c r="N32" s="5"/>
      <c r="O32" s="6"/>
    </row>
    <row r="33" spans="1:15" x14ac:dyDescent="0.3">
      <c r="A33" s="4"/>
      <c r="B33" s="5">
        <f t="shared" ref="B33:B45" si="2">B32+1</f>
        <v>3</v>
      </c>
      <c r="C33" s="5">
        <v>31</v>
      </c>
      <c r="D33" s="5">
        <v>13</v>
      </c>
      <c r="E33" s="5">
        <v>44</v>
      </c>
      <c r="F33" s="5"/>
      <c r="G33" s="5"/>
      <c r="H33" s="5"/>
      <c r="I33" s="5"/>
      <c r="J33" s="5"/>
      <c r="K33" s="5"/>
      <c r="L33" s="5"/>
      <c r="M33" s="5"/>
      <c r="N33" s="5"/>
      <c r="O33" s="6"/>
    </row>
    <row r="34" spans="1:15" x14ac:dyDescent="0.3">
      <c r="A34" s="4"/>
      <c r="B34" s="5">
        <f t="shared" si="2"/>
        <v>4</v>
      </c>
      <c r="C34" s="5">
        <v>39</v>
      </c>
      <c r="D34" s="5">
        <v>14</v>
      </c>
      <c r="E34" s="5">
        <v>44</v>
      </c>
      <c r="F34" s="5"/>
      <c r="G34" s="5"/>
      <c r="H34" s="5"/>
      <c r="I34" s="5"/>
      <c r="J34" s="5"/>
      <c r="K34" s="5"/>
      <c r="L34" s="5"/>
      <c r="M34" s="5"/>
      <c r="N34" s="5"/>
      <c r="O34" s="6"/>
    </row>
    <row r="35" spans="1:15" x14ac:dyDescent="0.3">
      <c r="A35" s="4"/>
      <c r="B35" s="5">
        <f t="shared" si="2"/>
        <v>5</v>
      </c>
      <c r="C35" s="5">
        <v>29</v>
      </c>
      <c r="D35" s="5">
        <v>14</v>
      </c>
      <c r="E35" s="5">
        <v>44</v>
      </c>
      <c r="F35" s="5"/>
      <c r="G35" s="5"/>
      <c r="H35" s="5"/>
      <c r="I35" s="5"/>
      <c r="J35" s="5"/>
      <c r="K35" s="5"/>
      <c r="L35" s="5"/>
      <c r="M35" s="5"/>
      <c r="N35" s="5"/>
      <c r="O35" s="6"/>
    </row>
    <row r="36" spans="1:15" x14ac:dyDescent="0.3">
      <c r="A36" s="4"/>
      <c r="B36" s="5">
        <f t="shared" si="2"/>
        <v>6</v>
      </c>
      <c r="C36" s="5">
        <v>32</v>
      </c>
      <c r="D36" s="5">
        <v>15</v>
      </c>
      <c r="E36" s="5">
        <v>31</v>
      </c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1:15" x14ac:dyDescent="0.3">
      <c r="A37" s="4"/>
      <c r="B37" s="5">
        <f t="shared" si="2"/>
        <v>7</v>
      </c>
      <c r="C37" s="5">
        <v>29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</row>
    <row r="38" spans="1:15" x14ac:dyDescent="0.3">
      <c r="A38" s="4"/>
      <c r="B38" s="5">
        <f t="shared" si="2"/>
        <v>8</v>
      </c>
      <c r="C38" s="5">
        <v>42</v>
      </c>
      <c r="D38" s="20" t="s">
        <v>44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</row>
    <row r="39" spans="1:15" x14ac:dyDescent="0.3">
      <c r="A39" s="4"/>
      <c r="B39" s="5">
        <f t="shared" si="2"/>
        <v>9</v>
      </c>
      <c r="C39" s="5">
        <v>37</v>
      </c>
      <c r="D39" s="5" t="s">
        <v>37</v>
      </c>
      <c r="E39" s="5" t="s">
        <v>36</v>
      </c>
      <c r="F39" s="5"/>
      <c r="G39" s="5" t="s">
        <v>22</v>
      </c>
      <c r="H39" s="5" t="s">
        <v>39</v>
      </c>
      <c r="I39" s="5" t="s">
        <v>40</v>
      </c>
      <c r="J39" s="5" t="s">
        <v>41</v>
      </c>
      <c r="K39" s="5" t="s">
        <v>43</v>
      </c>
      <c r="L39" s="5" t="s">
        <v>42</v>
      </c>
      <c r="M39" s="5"/>
      <c r="N39" s="5"/>
      <c r="O39" s="6"/>
    </row>
    <row r="40" spans="1:15" x14ac:dyDescent="0.3">
      <c r="A40" s="4"/>
      <c r="B40" s="5">
        <f t="shared" si="2"/>
        <v>10</v>
      </c>
      <c r="C40" s="5">
        <v>34</v>
      </c>
      <c r="D40" s="5">
        <v>5</v>
      </c>
      <c r="E40" s="5">
        <f>C35</f>
        <v>29</v>
      </c>
      <c r="F40" s="5"/>
      <c r="G40" s="5">
        <f>AVERAGE(E40:E45)</f>
        <v>35.166666666666664</v>
      </c>
      <c r="H40" s="5">
        <f>(VAR(E40:E45)*((1/6)-(1/15)))</f>
        <v>3.0166666666666604</v>
      </c>
      <c r="I40" s="5">
        <f>SQRT(H40)</f>
        <v>1.7368553960150686</v>
      </c>
      <c r="J40" s="5">
        <f>(I40/G40)*100</f>
        <v>4.9389252967253139</v>
      </c>
      <c r="K40" s="20">
        <f>G40-1.96*I40</f>
        <v>31.762430090477132</v>
      </c>
      <c r="L40" s="20">
        <f>G40+1.96*I40</f>
        <v>38.570903242856197</v>
      </c>
      <c r="M40" s="5"/>
      <c r="N40" s="5"/>
      <c r="O40" s="6"/>
    </row>
    <row r="41" spans="1:15" x14ac:dyDescent="0.3">
      <c r="A41" s="4"/>
      <c r="B41" s="5">
        <f t="shared" si="2"/>
        <v>11</v>
      </c>
      <c r="C41" s="5">
        <v>26</v>
      </c>
      <c r="D41" s="5">
        <v>15</v>
      </c>
      <c r="E41" s="5">
        <f>C45</f>
        <v>31</v>
      </c>
      <c r="F41" s="5"/>
      <c r="G41" s="5"/>
      <c r="H41" s="5"/>
      <c r="I41" s="5"/>
      <c r="J41" s="5"/>
      <c r="K41" s="5"/>
      <c r="L41" s="5"/>
      <c r="M41" s="5"/>
      <c r="N41" s="5"/>
      <c r="O41" s="6"/>
    </row>
    <row r="42" spans="1:15" x14ac:dyDescent="0.3">
      <c r="A42" s="4"/>
      <c r="B42" s="5">
        <f t="shared" si="2"/>
        <v>12</v>
      </c>
      <c r="C42" s="5">
        <v>34</v>
      </c>
      <c r="D42" s="5">
        <v>13</v>
      </c>
      <c r="E42" s="5">
        <f>C43</f>
        <v>44</v>
      </c>
      <c r="F42" s="5"/>
      <c r="G42" s="5"/>
      <c r="H42" s="5"/>
      <c r="I42" s="5"/>
      <c r="J42" s="5"/>
      <c r="K42" s="5"/>
      <c r="L42" s="5"/>
      <c r="M42" s="5"/>
      <c r="N42" s="5"/>
      <c r="O42" s="6"/>
    </row>
    <row r="43" spans="1:15" x14ac:dyDescent="0.3">
      <c r="A43" s="4"/>
      <c r="B43" s="5">
        <f t="shared" si="2"/>
        <v>13</v>
      </c>
      <c r="C43" s="5">
        <v>44</v>
      </c>
      <c r="D43" s="5">
        <v>4</v>
      </c>
      <c r="E43" s="5">
        <f>C34</f>
        <v>39</v>
      </c>
      <c r="F43" s="5"/>
      <c r="G43" s="5"/>
      <c r="H43" s="5"/>
      <c r="I43" s="5"/>
      <c r="J43" s="5"/>
      <c r="K43" s="5"/>
      <c r="L43" s="5"/>
      <c r="M43" s="5"/>
      <c r="N43" s="5"/>
      <c r="O43" s="6"/>
    </row>
    <row r="44" spans="1:15" x14ac:dyDescent="0.3">
      <c r="A44" s="4"/>
      <c r="B44" s="5">
        <f t="shared" si="2"/>
        <v>14</v>
      </c>
      <c r="C44" s="5">
        <v>44</v>
      </c>
      <c r="D44" s="5">
        <v>10</v>
      </c>
      <c r="E44" s="5">
        <f>C40</f>
        <v>34</v>
      </c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1:15" x14ac:dyDescent="0.3">
      <c r="A45" s="4"/>
      <c r="B45" s="5">
        <f t="shared" si="2"/>
        <v>15</v>
      </c>
      <c r="C45" s="5">
        <v>31</v>
      </c>
      <c r="D45" s="5">
        <v>12</v>
      </c>
      <c r="E45" s="5">
        <f>C42</f>
        <v>34</v>
      </c>
      <c r="F45" s="5"/>
      <c r="G45" s="5"/>
      <c r="H45" s="5"/>
      <c r="I45" s="5"/>
      <c r="J45" s="5"/>
      <c r="K45" s="5"/>
      <c r="L45" s="5"/>
      <c r="M45" s="5"/>
      <c r="N45" s="5"/>
      <c r="O45" s="6"/>
    </row>
    <row r="46" spans="1:15" ht="15" thickBot="1" x14ac:dyDescent="0.3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</row>
    <row r="47" spans="1:15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</row>
    <row r="48" spans="1:15" x14ac:dyDescent="0.3">
      <c r="A48" s="22" t="s">
        <v>46</v>
      </c>
      <c r="B48" s="23" t="s">
        <v>47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</row>
    <row r="49" spans="1:15" x14ac:dyDescent="0.3">
      <c r="A49" s="4"/>
      <c r="B49" s="5"/>
      <c r="C49" s="5" t="s">
        <v>2</v>
      </c>
      <c r="D49" s="5">
        <v>15</v>
      </c>
      <c r="E49" s="5"/>
      <c r="F49" s="5"/>
      <c r="G49" s="5" t="s">
        <v>48</v>
      </c>
      <c r="H49" s="5" t="s">
        <v>49</v>
      </c>
      <c r="I49" s="5"/>
      <c r="J49" s="5"/>
      <c r="K49" s="5"/>
      <c r="L49" s="5"/>
      <c r="M49" s="5"/>
      <c r="N49" s="5"/>
      <c r="O49" s="6"/>
    </row>
    <row r="50" spans="1:15" x14ac:dyDescent="0.3">
      <c r="A50" s="4"/>
      <c r="B50" s="5"/>
      <c r="C50" s="5" t="s">
        <v>3</v>
      </c>
      <c r="D50" s="5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</row>
    <row r="51" spans="1:15" x14ac:dyDescent="0.3">
      <c r="A51" s="4"/>
      <c r="B51" s="5"/>
      <c r="C51" s="5" t="s">
        <v>45</v>
      </c>
      <c r="D51" s="5">
        <f>D49/D50</f>
        <v>2.5</v>
      </c>
      <c r="E51" s="5">
        <v>3</v>
      </c>
      <c r="F51" s="5"/>
      <c r="G51" s="5"/>
      <c r="H51" s="5"/>
      <c r="I51" s="5"/>
      <c r="J51" s="5"/>
      <c r="K51" s="5"/>
      <c r="L51" s="5"/>
      <c r="M51" s="5"/>
      <c r="N51" s="5"/>
      <c r="O51" s="6"/>
    </row>
    <row r="52" spans="1:15" x14ac:dyDescent="0.3">
      <c r="A52" s="4"/>
      <c r="B52" s="5"/>
      <c r="C52" s="5"/>
      <c r="D52" s="24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</row>
    <row r="53" spans="1:15" x14ac:dyDescent="0.3">
      <c r="A53" s="4"/>
      <c r="B53" s="5" t="s">
        <v>35</v>
      </c>
      <c r="C53" s="5" t="s">
        <v>36</v>
      </c>
      <c r="D53" s="5" t="s">
        <v>50</v>
      </c>
      <c r="E53" s="5" t="s">
        <v>51</v>
      </c>
      <c r="F53" s="5"/>
      <c r="G53" s="5" t="s">
        <v>52</v>
      </c>
      <c r="H53" s="5" t="s">
        <v>53</v>
      </c>
      <c r="I53" s="5"/>
      <c r="J53" s="5"/>
      <c r="K53" s="5"/>
      <c r="L53" s="5"/>
      <c r="M53" s="5"/>
      <c r="N53" s="5"/>
      <c r="O53" s="6"/>
    </row>
    <row r="54" spans="1:15" x14ac:dyDescent="0.3">
      <c r="A54" s="4"/>
      <c r="B54" s="5">
        <v>1</v>
      </c>
      <c r="C54" s="5">
        <v>31</v>
      </c>
      <c r="D54" s="5">
        <v>10</v>
      </c>
      <c r="E54" s="5">
        <f>C63</f>
        <v>34</v>
      </c>
      <c r="F54" s="5"/>
      <c r="G54" s="5">
        <v>4</v>
      </c>
      <c r="H54" s="5">
        <f>C57</f>
        <v>39</v>
      </c>
      <c r="I54" s="5"/>
      <c r="J54" s="5"/>
      <c r="K54" s="5"/>
      <c r="L54" s="5"/>
      <c r="M54" s="5"/>
      <c r="N54" s="5"/>
      <c r="O54" s="6"/>
    </row>
    <row r="55" spans="1:15" x14ac:dyDescent="0.3">
      <c r="A55" s="4"/>
      <c r="B55" s="5">
        <f>B54+1</f>
        <v>2</v>
      </c>
      <c r="C55" s="5">
        <v>34</v>
      </c>
      <c r="D55" s="5">
        <f>10+3</f>
        <v>13</v>
      </c>
      <c r="E55" s="5">
        <f>C66</f>
        <v>44</v>
      </c>
      <c r="F55" s="5"/>
      <c r="G55" s="5">
        <v>7</v>
      </c>
      <c r="H55" s="5">
        <f>C60</f>
        <v>29</v>
      </c>
      <c r="I55" s="5"/>
      <c r="J55" s="5"/>
      <c r="K55" s="5"/>
      <c r="L55" s="5"/>
      <c r="M55" s="5"/>
      <c r="N55" s="5"/>
      <c r="O55" s="6"/>
    </row>
    <row r="56" spans="1:15" x14ac:dyDescent="0.3">
      <c r="A56" s="4"/>
      <c r="B56" s="5">
        <f t="shared" ref="B56:B68" si="3">B55+1</f>
        <v>3</v>
      </c>
      <c r="C56" s="5">
        <v>31</v>
      </c>
      <c r="D56" s="5">
        <v>1</v>
      </c>
      <c r="E56" s="5">
        <f>C54</f>
        <v>31</v>
      </c>
      <c r="F56" s="5"/>
      <c r="G56" s="5">
        <v>10</v>
      </c>
      <c r="H56" s="5">
        <f>C63</f>
        <v>34</v>
      </c>
      <c r="I56" s="5"/>
      <c r="J56" s="5"/>
      <c r="K56" s="5"/>
      <c r="L56" s="5"/>
      <c r="M56" s="5"/>
      <c r="N56" s="5"/>
      <c r="O56" s="6"/>
    </row>
    <row r="57" spans="1:15" x14ac:dyDescent="0.3">
      <c r="A57" s="4"/>
      <c r="B57" s="5">
        <f t="shared" si="3"/>
        <v>4</v>
      </c>
      <c r="C57" s="5">
        <v>39</v>
      </c>
      <c r="D57" s="21" t="s">
        <v>56</v>
      </c>
      <c r="E57" s="25">
        <f>AVERAGE(E54:E56)</f>
        <v>36.333333333333336</v>
      </c>
      <c r="F57" s="25"/>
      <c r="G57" s="5"/>
      <c r="H57" s="5">
        <f>AVERAGE(H54:H56)</f>
        <v>34</v>
      </c>
      <c r="I57" s="5"/>
      <c r="J57" s="5">
        <f>((E57-E58)^2+(H57-E58)^2)/2</f>
        <v>1.3611111111111138</v>
      </c>
      <c r="K57" s="5"/>
      <c r="L57" s="25"/>
      <c r="M57" s="5"/>
      <c r="N57" s="5"/>
      <c r="O57" s="6"/>
    </row>
    <row r="58" spans="1:15" x14ac:dyDescent="0.3">
      <c r="A58" s="4"/>
      <c r="B58" s="5">
        <f t="shared" si="3"/>
        <v>5</v>
      </c>
      <c r="C58" s="5">
        <v>29</v>
      </c>
      <c r="D58" s="21" t="s">
        <v>57</v>
      </c>
      <c r="E58" s="25">
        <f>(E57+H57)/2</f>
        <v>35.166666666666671</v>
      </c>
      <c r="F58" s="25"/>
      <c r="G58" s="5"/>
      <c r="H58" s="5"/>
      <c r="I58" s="5"/>
      <c r="J58" s="5"/>
      <c r="K58" s="5"/>
      <c r="L58" s="5"/>
      <c r="M58" s="5"/>
      <c r="N58" s="5"/>
      <c r="O58" s="6"/>
    </row>
    <row r="59" spans="1:15" x14ac:dyDescent="0.3">
      <c r="A59" s="4"/>
      <c r="B59" s="5">
        <f t="shared" si="3"/>
        <v>6</v>
      </c>
      <c r="C59" s="5">
        <v>32</v>
      </c>
      <c r="D59" s="21" t="s">
        <v>54</v>
      </c>
      <c r="E59" s="5">
        <f>VAR(E57,H57)</f>
        <v>2.7222222222222276</v>
      </c>
      <c r="F59" s="5"/>
      <c r="G59" s="5"/>
      <c r="H59" s="5"/>
      <c r="I59" s="5"/>
      <c r="J59" s="5"/>
      <c r="K59" s="5"/>
      <c r="L59" s="5"/>
      <c r="M59" s="5"/>
      <c r="N59" s="5"/>
      <c r="O59" s="6"/>
    </row>
    <row r="60" spans="1:15" x14ac:dyDescent="0.3">
      <c r="A60" s="4"/>
      <c r="B60" s="5">
        <f t="shared" si="3"/>
        <v>7</v>
      </c>
      <c r="C60" s="5">
        <v>29</v>
      </c>
      <c r="D60" s="21" t="s">
        <v>55</v>
      </c>
      <c r="E60" s="5">
        <f>E59/2</f>
        <v>1.3611111111111138</v>
      </c>
      <c r="F60" s="5"/>
      <c r="G60" s="5"/>
      <c r="H60" s="5"/>
      <c r="I60" s="5"/>
      <c r="J60" s="5"/>
      <c r="K60" s="5"/>
      <c r="L60" s="5"/>
      <c r="M60" s="5"/>
      <c r="N60" s="5"/>
      <c r="O60" s="6"/>
    </row>
    <row r="61" spans="1:15" x14ac:dyDescent="0.3">
      <c r="A61" s="4"/>
      <c r="B61" s="5">
        <f t="shared" si="3"/>
        <v>8</v>
      </c>
      <c r="C61" s="5">
        <v>42</v>
      </c>
      <c r="D61" s="21" t="s">
        <v>58</v>
      </c>
      <c r="E61" s="5">
        <f>SQRT(E60)</f>
        <v>1.1666666666666679</v>
      </c>
      <c r="F61" s="5"/>
      <c r="G61" s="5"/>
      <c r="H61" s="5"/>
      <c r="I61" s="5"/>
      <c r="J61" s="5"/>
      <c r="K61" s="5"/>
      <c r="L61" s="5"/>
      <c r="M61" s="5"/>
      <c r="N61" s="5"/>
      <c r="O61" s="6"/>
    </row>
    <row r="62" spans="1:15" x14ac:dyDescent="0.3">
      <c r="A62" s="4"/>
      <c r="B62" s="5">
        <f t="shared" si="3"/>
        <v>9</v>
      </c>
      <c r="C62" s="5">
        <v>37</v>
      </c>
      <c r="D62" s="21" t="s">
        <v>41</v>
      </c>
      <c r="E62" s="5">
        <f>(E61/E58)*100</f>
        <v>3.3175355450236999</v>
      </c>
      <c r="F62" s="5"/>
      <c r="G62" s="5"/>
      <c r="H62" s="5"/>
      <c r="I62" s="5"/>
      <c r="J62" s="5"/>
      <c r="K62" s="5"/>
      <c r="L62" s="5"/>
      <c r="M62" s="5"/>
      <c r="N62" s="5"/>
      <c r="O62" s="6"/>
    </row>
    <row r="63" spans="1:15" x14ac:dyDescent="0.3">
      <c r="A63" s="4"/>
      <c r="B63" s="5">
        <f t="shared" si="3"/>
        <v>10</v>
      </c>
      <c r="C63" s="5">
        <v>34</v>
      </c>
      <c r="D63" s="21" t="s">
        <v>43</v>
      </c>
      <c r="E63" s="20">
        <f>E58-1.96*E61</f>
        <v>32.880000000000003</v>
      </c>
      <c r="F63" s="20"/>
      <c r="G63" s="5"/>
      <c r="H63" s="5"/>
      <c r="I63" s="5"/>
      <c r="J63" s="5"/>
      <c r="K63" s="5"/>
      <c r="L63" s="5"/>
      <c r="M63" s="5"/>
      <c r="N63" s="5"/>
      <c r="O63" s="6"/>
    </row>
    <row r="64" spans="1:15" x14ac:dyDescent="0.3">
      <c r="A64" s="4"/>
      <c r="B64" s="5">
        <f t="shared" si="3"/>
        <v>11</v>
      </c>
      <c r="C64" s="5">
        <v>26</v>
      </c>
      <c r="D64" s="21" t="s">
        <v>42</v>
      </c>
      <c r="E64" s="20">
        <f>E58+1.96*E61</f>
        <v>37.45333333333334</v>
      </c>
      <c r="F64" s="20"/>
      <c r="G64" s="5"/>
      <c r="H64" s="5"/>
      <c r="I64" s="5"/>
      <c r="J64" s="5"/>
      <c r="K64" s="5"/>
      <c r="L64" s="5"/>
      <c r="M64" s="5"/>
      <c r="N64" s="5"/>
      <c r="O64" s="6"/>
    </row>
    <row r="65" spans="1:15" x14ac:dyDescent="0.3">
      <c r="A65" s="4"/>
      <c r="B65" s="5">
        <f t="shared" si="3"/>
        <v>12</v>
      </c>
      <c r="C65" s="5">
        <v>34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</row>
    <row r="66" spans="1:15" x14ac:dyDescent="0.3">
      <c r="A66" s="4"/>
      <c r="B66" s="5">
        <f t="shared" si="3"/>
        <v>13</v>
      </c>
      <c r="C66" s="5">
        <v>44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x14ac:dyDescent="0.3">
      <c r="A67" s="4"/>
      <c r="B67" s="5">
        <f t="shared" si="3"/>
        <v>14</v>
      </c>
      <c r="C67" s="5">
        <v>44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</row>
    <row r="68" spans="1:15" ht="15" thickBot="1" x14ac:dyDescent="0.35">
      <c r="A68" s="9"/>
      <c r="B68" s="10">
        <f t="shared" si="3"/>
        <v>15</v>
      </c>
      <c r="C68" s="10">
        <v>31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</row>
    <row r="69" spans="1:15" ht="15" thickBot="1" x14ac:dyDescent="0.35"/>
    <row r="70" spans="1:15" x14ac:dyDescent="0.3">
      <c r="A70" s="59" t="s">
        <v>59</v>
      </c>
      <c r="B70" s="60" t="s">
        <v>60</v>
      </c>
      <c r="C70" s="60"/>
      <c r="D70" s="2"/>
      <c r="E70" s="2"/>
      <c r="F70" s="2"/>
      <c r="G70" s="2"/>
      <c r="H70" s="3"/>
    </row>
    <row r="71" spans="1:15" x14ac:dyDescent="0.3">
      <c r="A71" s="4"/>
      <c r="B71" s="5"/>
      <c r="C71" s="5"/>
      <c r="D71" s="5" t="s">
        <v>2</v>
      </c>
      <c r="E71" s="5">
        <v>15</v>
      </c>
      <c r="F71" s="5"/>
      <c r="G71" s="5" t="s">
        <v>3</v>
      </c>
      <c r="H71" s="6">
        <v>8</v>
      </c>
    </row>
    <row r="72" spans="1:15" x14ac:dyDescent="0.3">
      <c r="A72" s="26" t="s">
        <v>38</v>
      </c>
      <c r="B72" s="5"/>
      <c r="C72" s="5"/>
      <c r="D72" s="5"/>
      <c r="E72" s="5"/>
      <c r="F72" s="5"/>
      <c r="G72" s="5"/>
      <c r="H72" s="6"/>
    </row>
    <row r="73" spans="1:15" x14ac:dyDescent="0.3">
      <c r="A73" s="4" t="s">
        <v>35</v>
      </c>
      <c r="B73" s="5" t="s">
        <v>62</v>
      </c>
      <c r="C73" s="5" t="s">
        <v>61</v>
      </c>
      <c r="D73" s="5" t="s">
        <v>63</v>
      </c>
      <c r="E73" s="5" t="s">
        <v>61</v>
      </c>
      <c r="F73" s="5"/>
      <c r="G73" s="5"/>
      <c r="H73" s="6"/>
    </row>
    <row r="74" spans="1:15" x14ac:dyDescent="0.3">
      <c r="A74" s="4">
        <v>1</v>
      </c>
      <c r="B74" s="5">
        <v>8</v>
      </c>
      <c r="C74" s="5">
        <v>0</v>
      </c>
      <c r="D74" s="5">
        <v>15</v>
      </c>
      <c r="E74" s="5">
        <f>C88</f>
        <v>0</v>
      </c>
      <c r="F74" s="5"/>
      <c r="G74" s="5"/>
      <c r="H74" s="6"/>
    </row>
    <row r="75" spans="1:15" x14ac:dyDescent="0.3">
      <c r="A75" s="4">
        <f>A74+1</f>
        <v>2</v>
      </c>
      <c r="B75" s="5">
        <v>6</v>
      </c>
      <c r="C75" s="5">
        <v>0</v>
      </c>
      <c r="D75" s="5">
        <v>14</v>
      </c>
      <c r="E75" s="5">
        <f>C87</f>
        <v>0</v>
      </c>
      <c r="F75" s="5"/>
      <c r="G75" s="5"/>
      <c r="H75" s="6"/>
    </row>
    <row r="76" spans="1:15" x14ac:dyDescent="0.3">
      <c r="A76" s="4">
        <f t="shared" ref="A76:A88" si="4">A75+1</f>
        <v>3</v>
      </c>
      <c r="B76" s="5">
        <v>5</v>
      </c>
      <c r="C76" s="5">
        <v>1</v>
      </c>
      <c r="D76" s="5">
        <v>11</v>
      </c>
      <c r="E76" s="5">
        <f>C84</f>
        <v>1</v>
      </c>
      <c r="F76" s="5"/>
      <c r="G76" s="5"/>
      <c r="H76" s="6"/>
    </row>
    <row r="77" spans="1:15" x14ac:dyDescent="0.3">
      <c r="A77" s="4">
        <f t="shared" si="4"/>
        <v>4</v>
      </c>
      <c r="B77" s="5">
        <v>4</v>
      </c>
      <c r="C77" s="5">
        <v>1</v>
      </c>
      <c r="D77" s="5">
        <v>5</v>
      </c>
      <c r="E77" s="5">
        <f>C78</f>
        <v>0</v>
      </c>
      <c r="F77" s="5"/>
      <c r="G77" s="5"/>
      <c r="H77" s="6"/>
    </row>
    <row r="78" spans="1:15" x14ac:dyDescent="0.3">
      <c r="A78" s="4">
        <f t="shared" si="4"/>
        <v>5</v>
      </c>
      <c r="B78" s="5">
        <v>3</v>
      </c>
      <c r="C78" s="5">
        <v>0</v>
      </c>
      <c r="D78" s="5">
        <v>13</v>
      </c>
      <c r="E78" s="5">
        <f>C86</f>
        <v>1</v>
      </c>
      <c r="F78" s="5"/>
      <c r="G78" s="5"/>
      <c r="H78" s="6"/>
    </row>
    <row r="79" spans="1:15" x14ac:dyDescent="0.3">
      <c r="A79" s="4">
        <f t="shared" si="4"/>
        <v>6</v>
      </c>
      <c r="B79" s="5">
        <v>6</v>
      </c>
      <c r="C79" s="5">
        <v>1</v>
      </c>
      <c r="D79" s="5">
        <v>8</v>
      </c>
      <c r="E79" s="5">
        <f>C81</f>
        <v>0</v>
      </c>
      <c r="F79" s="5"/>
      <c r="G79" s="5"/>
      <c r="H79" s="6"/>
    </row>
    <row r="80" spans="1:15" x14ac:dyDescent="0.3">
      <c r="A80" s="4">
        <f t="shared" si="4"/>
        <v>7</v>
      </c>
      <c r="B80" s="5">
        <v>2</v>
      </c>
      <c r="C80" s="5">
        <v>1</v>
      </c>
      <c r="D80" s="5">
        <v>10</v>
      </c>
      <c r="E80" s="5">
        <f>C83</f>
        <v>1</v>
      </c>
      <c r="F80" s="5"/>
      <c r="G80" s="5"/>
      <c r="H80" s="6"/>
    </row>
    <row r="81" spans="1:8" x14ac:dyDescent="0.3">
      <c r="A81" s="4">
        <f t="shared" si="4"/>
        <v>8</v>
      </c>
      <c r="B81" s="5">
        <v>5</v>
      </c>
      <c r="C81" s="5">
        <v>0</v>
      </c>
      <c r="D81" s="5">
        <v>3</v>
      </c>
      <c r="E81" s="5">
        <f>C76</f>
        <v>1</v>
      </c>
      <c r="F81" s="5"/>
      <c r="G81" s="5"/>
      <c r="H81" s="6"/>
    </row>
    <row r="82" spans="1:8" x14ac:dyDescent="0.3">
      <c r="A82" s="4">
        <f t="shared" si="4"/>
        <v>9</v>
      </c>
      <c r="B82" s="5">
        <v>7</v>
      </c>
      <c r="C82" s="5">
        <v>0</v>
      </c>
      <c r="D82" s="5" t="s">
        <v>64</v>
      </c>
      <c r="E82" s="5">
        <f>(SUM(E74:E81)/8)</f>
        <v>0.5</v>
      </c>
      <c r="F82" s="5"/>
      <c r="G82" s="5"/>
      <c r="H82" s="6"/>
    </row>
    <row r="83" spans="1:8" x14ac:dyDescent="0.3">
      <c r="A83" s="4">
        <f t="shared" si="4"/>
        <v>10</v>
      </c>
      <c r="B83" s="5">
        <v>6</v>
      </c>
      <c r="C83" s="5">
        <v>1</v>
      </c>
      <c r="D83" s="5" t="s">
        <v>65</v>
      </c>
      <c r="E83" s="5">
        <f>(E82*(1-E82))/(7)</f>
        <v>3.5714285714285712E-2</v>
      </c>
      <c r="F83" s="5"/>
      <c r="G83" s="5"/>
      <c r="H83" s="6"/>
    </row>
    <row r="84" spans="1:8" x14ac:dyDescent="0.3">
      <c r="A84" s="4">
        <f t="shared" si="4"/>
        <v>11</v>
      </c>
      <c r="B84" s="5">
        <v>8</v>
      </c>
      <c r="C84" s="5">
        <v>1</v>
      </c>
      <c r="D84" s="5" t="s">
        <v>66</v>
      </c>
      <c r="E84" s="5">
        <f>SQRT(E83)</f>
        <v>0.1889822365046136</v>
      </c>
      <c r="F84" s="5"/>
      <c r="G84" s="5"/>
      <c r="H84" s="6"/>
    </row>
    <row r="85" spans="1:8" x14ac:dyDescent="0.3">
      <c r="A85" s="4">
        <f t="shared" si="4"/>
        <v>12</v>
      </c>
      <c r="B85" s="5">
        <v>3</v>
      </c>
      <c r="C85" s="5">
        <v>0</v>
      </c>
      <c r="D85" s="5" t="s">
        <v>41</v>
      </c>
      <c r="E85" s="5">
        <f>(E84/E82)*100</f>
        <v>37.796447300922722</v>
      </c>
      <c r="F85" s="5"/>
      <c r="G85" s="5"/>
      <c r="H85" s="6"/>
    </row>
    <row r="86" spans="1:8" x14ac:dyDescent="0.3">
      <c r="A86" s="4">
        <f t="shared" si="4"/>
        <v>13</v>
      </c>
      <c r="B86" s="5">
        <v>4</v>
      </c>
      <c r="C86" s="5">
        <v>1</v>
      </c>
      <c r="D86" s="21" t="s">
        <v>43</v>
      </c>
      <c r="E86" s="20">
        <f>E82-1.96*E84</f>
        <v>0.12959481645095733</v>
      </c>
      <c r="F86" s="20"/>
      <c r="G86" s="5"/>
      <c r="H86" s="6"/>
    </row>
    <row r="87" spans="1:8" x14ac:dyDescent="0.3">
      <c r="A87" s="4">
        <f t="shared" si="4"/>
        <v>14</v>
      </c>
      <c r="B87" s="5">
        <v>2</v>
      </c>
      <c r="C87" s="5">
        <v>0</v>
      </c>
      <c r="D87" s="21" t="s">
        <v>42</v>
      </c>
      <c r="E87" s="20">
        <f>E82+1.96*E84</f>
        <v>0.87040518354904273</v>
      </c>
      <c r="F87" s="20"/>
      <c r="G87" s="5"/>
      <c r="H87" s="6"/>
    </row>
    <row r="88" spans="1:8" ht="15" thickBot="1" x14ac:dyDescent="0.35">
      <c r="A88" s="9">
        <f t="shared" si="4"/>
        <v>15</v>
      </c>
      <c r="B88" s="5">
        <v>2</v>
      </c>
      <c r="C88" s="5">
        <v>0</v>
      </c>
      <c r="D88" s="5"/>
      <c r="E88" s="5"/>
      <c r="F88" s="5"/>
      <c r="G88" s="5"/>
      <c r="H88" s="6"/>
    </row>
    <row r="89" spans="1:8" ht="15" thickBot="1" x14ac:dyDescent="0.35">
      <c r="A89" s="9"/>
      <c r="B89" s="10"/>
      <c r="C89" s="10">
        <f>SUM(C74:C88)</f>
        <v>7</v>
      </c>
      <c r="D89" s="10"/>
      <c r="E89" s="10"/>
      <c r="F89" s="10"/>
      <c r="G89" s="10"/>
      <c r="H89" s="11"/>
    </row>
    <row r="90" spans="1:8" x14ac:dyDescent="0.3">
      <c r="A90" s="26" t="s">
        <v>44</v>
      </c>
      <c r="B90" s="5"/>
      <c r="C90" s="5"/>
      <c r="D90" s="5"/>
      <c r="E90" s="5"/>
      <c r="F90" s="5"/>
      <c r="G90" s="6"/>
    </row>
    <row r="91" spans="1:8" x14ac:dyDescent="0.3">
      <c r="A91" s="4"/>
      <c r="B91" s="5"/>
      <c r="C91" s="5"/>
      <c r="D91" s="5"/>
      <c r="E91" s="5"/>
      <c r="F91" s="5"/>
      <c r="G91" s="6"/>
    </row>
    <row r="92" spans="1:8" x14ac:dyDescent="0.3">
      <c r="A92" s="4" t="s">
        <v>35</v>
      </c>
      <c r="B92" s="5" t="s">
        <v>61</v>
      </c>
      <c r="C92" s="5"/>
      <c r="D92" s="5" t="s">
        <v>63</v>
      </c>
      <c r="E92" s="5" t="s">
        <v>61</v>
      </c>
      <c r="F92" s="5"/>
      <c r="G92" s="6"/>
    </row>
    <row r="93" spans="1:8" x14ac:dyDescent="0.3">
      <c r="A93" s="4">
        <v>1</v>
      </c>
      <c r="B93" s="5">
        <v>0</v>
      </c>
      <c r="C93" s="5"/>
      <c r="D93" s="5">
        <v>13</v>
      </c>
      <c r="E93" s="5">
        <f>B105</f>
        <v>1</v>
      </c>
      <c r="F93" s="5"/>
      <c r="G93" s="6"/>
    </row>
    <row r="94" spans="1:8" x14ac:dyDescent="0.3">
      <c r="A94" s="4">
        <f>A93+1</f>
        <v>2</v>
      </c>
      <c r="B94" s="5">
        <v>0</v>
      </c>
      <c r="C94" s="5"/>
      <c r="D94" s="5">
        <v>2</v>
      </c>
      <c r="E94" s="5">
        <f>B94</f>
        <v>0</v>
      </c>
      <c r="F94" s="5"/>
      <c r="G94" s="6"/>
    </row>
    <row r="95" spans="1:8" x14ac:dyDescent="0.3">
      <c r="A95" s="4">
        <f t="shared" ref="A95:A107" si="5">A94+1</f>
        <v>3</v>
      </c>
      <c r="B95" s="5">
        <v>1</v>
      </c>
      <c r="C95" s="5"/>
      <c r="D95" s="5">
        <v>15</v>
      </c>
      <c r="E95" s="5">
        <f>B107</f>
        <v>0</v>
      </c>
      <c r="F95" s="5"/>
      <c r="G95" s="6"/>
    </row>
    <row r="96" spans="1:8" x14ac:dyDescent="0.3">
      <c r="A96" s="4">
        <f t="shared" si="5"/>
        <v>4</v>
      </c>
      <c r="B96" s="5">
        <v>1</v>
      </c>
      <c r="C96" s="5"/>
      <c r="D96" s="5">
        <v>6</v>
      </c>
      <c r="E96" s="5">
        <f>B98</f>
        <v>1</v>
      </c>
      <c r="F96" s="5"/>
      <c r="G96" s="6"/>
    </row>
    <row r="97" spans="1:7" x14ac:dyDescent="0.3">
      <c r="A97" s="4">
        <f t="shared" si="5"/>
        <v>5</v>
      </c>
      <c r="B97" s="5">
        <v>0</v>
      </c>
      <c r="C97" s="5"/>
      <c r="D97" s="5">
        <v>14</v>
      </c>
      <c r="E97" s="5">
        <f>B106</f>
        <v>0</v>
      </c>
      <c r="F97" s="5"/>
      <c r="G97" s="6"/>
    </row>
    <row r="98" spans="1:7" x14ac:dyDescent="0.3">
      <c r="A98" s="4">
        <f t="shared" si="5"/>
        <v>6</v>
      </c>
      <c r="B98" s="5">
        <v>1</v>
      </c>
      <c r="C98" s="5"/>
      <c r="D98" s="5">
        <v>12</v>
      </c>
      <c r="E98" s="5">
        <f>B104</f>
        <v>0</v>
      </c>
      <c r="F98" s="5"/>
      <c r="G98" s="6"/>
    </row>
    <row r="99" spans="1:7" x14ac:dyDescent="0.3">
      <c r="A99" s="4">
        <f t="shared" si="5"/>
        <v>7</v>
      </c>
      <c r="B99" s="5">
        <v>1</v>
      </c>
      <c r="C99" s="5"/>
      <c r="D99" s="5">
        <v>9</v>
      </c>
      <c r="E99" s="5">
        <f>B101</f>
        <v>0</v>
      </c>
      <c r="F99" s="5"/>
      <c r="G99" s="6"/>
    </row>
    <row r="100" spans="1:7" x14ac:dyDescent="0.3">
      <c r="A100" s="4">
        <f t="shared" si="5"/>
        <v>8</v>
      </c>
      <c r="B100" s="5">
        <v>0</v>
      </c>
      <c r="C100" s="5"/>
      <c r="D100" s="5">
        <v>7</v>
      </c>
      <c r="E100" s="5">
        <f>B99</f>
        <v>1</v>
      </c>
      <c r="F100" s="5"/>
      <c r="G100" s="6"/>
    </row>
    <row r="101" spans="1:7" x14ac:dyDescent="0.3">
      <c r="A101" s="4">
        <f t="shared" si="5"/>
        <v>9</v>
      </c>
      <c r="B101" s="5">
        <v>0</v>
      </c>
      <c r="C101" s="5"/>
      <c r="D101" s="5" t="s">
        <v>64</v>
      </c>
      <c r="E101" s="5">
        <f>(SUM(E93:E100)/8)</f>
        <v>0.375</v>
      </c>
      <c r="F101" s="5"/>
      <c r="G101" s="6"/>
    </row>
    <row r="102" spans="1:7" x14ac:dyDescent="0.3">
      <c r="A102" s="4">
        <f t="shared" si="5"/>
        <v>10</v>
      </c>
      <c r="B102" s="5">
        <v>1</v>
      </c>
      <c r="C102" s="5"/>
      <c r="D102" s="5" t="s">
        <v>65</v>
      </c>
      <c r="E102" s="5">
        <f>((1-(8/15))*(((E101)*(1-E101))/7))</f>
        <v>1.5625E-2</v>
      </c>
      <c r="F102" s="5"/>
      <c r="G102" s="6"/>
    </row>
    <row r="103" spans="1:7" x14ac:dyDescent="0.3">
      <c r="A103" s="4">
        <f t="shared" si="5"/>
        <v>11</v>
      </c>
      <c r="B103" s="5">
        <v>1</v>
      </c>
      <c r="C103" s="5"/>
      <c r="D103" s="5" t="s">
        <v>66</v>
      </c>
      <c r="E103" s="5">
        <f>SQRT(E102)</f>
        <v>0.125</v>
      </c>
      <c r="F103" s="5"/>
      <c r="G103" s="6"/>
    </row>
    <row r="104" spans="1:7" x14ac:dyDescent="0.3">
      <c r="A104" s="4">
        <f t="shared" si="5"/>
        <v>12</v>
      </c>
      <c r="B104" s="5">
        <v>0</v>
      </c>
      <c r="C104" s="5"/>
      <c r="D104" s="5" t="s">
        <v>41</v>
      </c>
      <c r="E104" s="25">
        <f>(E103/E101)*100</f>
        <v>33.333333333333329</v>
      </c>
      <c r="F104" s="25"/>
      <c r="G104" s="6"/>
    </row>
    <row r="105" spans="1:7" x14ac:dyDescent="0.3">
      <c r="A105" s="4">
        <f t="shared" si="5"/>
        <v>13</v>
      </c>
      <c r="B105" s="5">
        <v>1</v>
      </c>
      <c r="C105" s="5"/>
      <c r="D105" s="21" t="s">
        <v>43</v>
      </c>
      <c r="E105" s="20">
        <f>E101-1.96*E103</f>
        <v>0.13</v>
      </c>
      <c r="F105" s="20"/>
      <c r="G105" s="6"/>
    </row>
    <row r="106" spans="1:7" x14ac:dyDescent="0.3">
      <c r="A106" s="4">
        <f t="shared" si="5"/>
        <v>14</v>
      </c>
      <c r="B106" s="5">
        <v>0</v>
      </c>
      <c r="C106" s="5"/>
      <c r="D106" s="21" t="s">
        <v>42</v>
      </c>
      <c r="E106" s="20">
        <f>E101+1.96*E103</f>
        <v>0.62</v>
      </c>
      <c r="F106" s="20"/>
      <c r="G106" s="6"/>
    </row>
    <row r="107" spans="1:7" ht="15" thickBot="1" x14ac:dyDescent="0.35">
      <c r="A107" s="9">
        <f t="shared" si="5"/>
        <v>15</v>
      </c>
      <c r="B107" s="10">
        <v>0</v>
      </c>
      <c r="C107" s="10"/>
      <c r="D107" s="10"/>
      <c r="E107" s="10"/>
      <c r="F107" s="10"/>
      <c r="G107" s="11"/>
    </row>
    <row r="108" spans="1:7" x14ac:dyDescent="0.3">
      <c r="A108" s="1"/>
      <c r="B108" s="2"/>
      <c r="C108" s="2"/>
      <c r="D108" s="2"/>
      <c r="E108" s="2"/>
      <c r="F108" s="2"/>
      <c r="G108" s="3"/>
    </row>
    <row r="109" spans="1:7" x14ac:dyDescent="0.3">
      <c r="A109" s="26" t="s">
        <v>67</v>
      </c>
      <c r="B109" s="5"/>
      <c r="C109" s="5" t="s">
        <v>45</v>
      </c>
      <c r="D109" s="5">
        <f>15/8</f>
        <v>1.875</v>
      </c>
      <c r="E109" s="5">
        <v>2</v>
      </c>
      <c r="F109" s="5"/>
      <c r="G109" s="6"/>
    </row>
    <row r="110" spans="1:7" x14ac:dyDescent="0.3">
      <c r="A110" s="4"/>
      <c r="B110" s="5"/>
      <c r="C110" s="5"/>
      <c r="D110" s="5"/>
      <c r="E110" s="5"/>
      <c r="F110" s="5"/>
      <c r="G110" s="6"/>
    </row>
    <row r="111" spans="1:7" x14ac:dyDescent="0.3">
      <c r="A111" s="4" t="s">
        <v>35</v>
      </c>
      <c r="B111" s="5" t="s">
        <v>61</v>
      </c>
      <c r="C111" s="5" t="s">
        <v>68</v>
      </c>
      <c r="D111" s="5" t="s">
        <v>61</v>
      </c>
      <c r="E111" s="5" t="s">
        <v>69</v>
      </c>
      <c r="F111" s="5"/>
      <c r="G111" s="6" t="s">
        <v>61</v>
      </c>
    </row>
    <row r="112" spans="1:7" x14ac:dyDescent="0.3">
      <c r="A112" s="4">
        <v>1</v>
      </c>
      <c r="B112" s="5">
        <v>0</v>
      </c>
      <c r="C112" s="5">
        <v>8</v>
      </c>
      <c r="D112" s="5">
        <f>B119</f>
        <v>0</v>
      </c>
      <c r="E112" s="5">
        <v>9</v>
      </c>
      <c r="F112" s="5"/>
      <c r="G112" s="6">
        <f>B120</f>
        <v>0</v>
      </c>
    </row>
    <row r="113" spans="1:7" x14ac:dyDescent="0.3">
      <c r="A113" s="4">
        <f>A112+1</f>
        <v>2</v>
      </c>
      <c r="B113" s="5">
        <v>0</v>
      </c>
      <c r="C113" s="5">
        <v>10</v>
      </c>
      <c r="D113" s="5">
        <f>B121</f>
        <v>1</v>
      </c>
      <c r="E113" s="5">
        <v>11</v>
      </c>
      <c r="F113" s="5"/>
      <c r="G113" s="6">
        <f>B122</f>
        <v>1</v>
      </c>
    </row>
    <row r="114" spans="1:7" x14ac:dyDescent="0.3">
      <c r="A114" s="4">
        <f t="shared" ref="A114:A126" si="6">A113+1</f>
        <v>3</v>
      </c>
      <c r="B114" s="5">
        <v>1</v>
      </c>
      <c r="C114" s="5">
        <v>12</v>
      </c>
      <c r="D114" s="5">
        <f>B123</f>
        <v>0</v>
      </c>
      <c r="E114" s="5">
        <v>13</v>
      </c>
      <c r="F114" s="5"/>
      <c r="G114" s="6">
        <f>B124</f>
        <v>1</v>
      </c>
    </row>
    <row r="115" spans="1:7" x14ac:dyDescent="0.3">
      <c r="A115" s="4">
        <f t="shared" si="6"/>
        <v>4</v>
      </c>
      <c r="B115" s="5">
        <v>1</v>
      </c>
      <c r="C115" s="5">
        <v>14</v>
      </c>
      <c r="D115" s="5">
        <f>B125</f>
        <v>0</v>
      </c>
      <c r="E115" s="5">
        <v>15</v>
      </c>
      <c r="F115" s="5"/>
      <c r="G115" s="6">
        <f>B126</f>
        <v>0</v>
      </c>
    </row>
    <row r="116" spans="1:7" x14ac:dyDescent="0.3">
      <c r="A116" s="4">
        <f t="shared" si="6"/>
        <v>5</v>
      </c>
      <c r="B116" s="5">
        <v>0</v>
      </c>
      <c r="C116" s="5" t="s">
        <v>70</v>
      </c>
      <c r="D116" s="5">
        <f>1/4</f>
        <v>0.25</v>
      </c>
      <c r="E116" s="5"/>
      <c r="F116" s="5"/>
      <c r="G116" s="6"/>
    </row>
    <row r="117" spans="1:7" x14ac:dyDescent="0.3">
      <c r="A117" s="4">
        <f t="shared" si="6"/>
        <v>6</v>
      </c>
      <c r="B117" s="5">
        <v>1</v>
      </c>
      <c r="C117" s="5" t="s">
        <v>71</v>
      </c>
      <c r="D117" s="5">
        <f>2/4</f>
        <v>0.5</v>
      </c>
      <c r="E117" s="5"/>
      <c r="F117" s="5"/>
      <c r="G117" s="6"/>
    </row>
    <row r="118" spans="1:7" x14ac:dyDescent="0.3">
      <c r="A118" s="4">
        <f t="shared" si="6"/>
        <v>7</v>
      </c>
      <c r="B118" s="5">
        <v>1</v>
      </c>
      <c r="C118" s="5" t="s">
        <v>72</v>
      </c>
      <c r="D118" s="5">
        <f>(D116+D117)/2</f>
        <v>0.375</v>
      </c>
      <c r="E118" s="5"/>
      <c r="F118" s="5"/>
      <c r="G118" s="6"/>
    </row>
    <row r="119" spans="1:7" x14ac:dyDescent="0.3">
      <c r="A119" s="4">
        <f t="shared" si="6"/>
        <v>8</v>
      </c>
      <c r="B119" s="5">
        <v>0</v>
      </c>
      <c r="C119" s="5" t="s">
        <v>73</v>
      </c>
      <c r="D119" s="5">
        <f>(VAR(D116,D117)/2)</f>
        <v>1.5625E-2</v>
      </c>
      <c r="E119" s="5"/>
      <c r="F119" s="5"/>
      <c r="G119" s="6"/>
    </row>
    <row r="120" spans="1:7" x14ac:dyDescent="0.3">
      <c r="A120" s="4">
        <f t="shared" si="6"/>
        <v>9</v>
      </c>
      <c r="B120" s="5">
        <v>0</v>
      </c>
      <c r="C120" s="5" t="s">
        <v>74</v>
      </c>
      <c r="D120" s="5">
        <f>SQRT(D119)</f>
        <v>0.125</v>
      </c>
      <c r="E120" s="5"/>
      <c r="F120" s="5"/>
      <c r="G120" s="6"/>
    </row>
    <row r="121" spans="1:7" x14ac:dyDescent="0.3">
      <c r="A121" s="4">
        <f t="shared" si="6"/>
        <v>10</v>
      </c>
      <c r="B121" s="5">
        <v>1</v>
      </c>
      <c r="C121" s="5" t="s">
        <v>41</v>
      </c>
      <c r="D121" s="25">
        <f>(D120/D118)*100</f>
        <v>33.333333333333329</v>
      </c>
      <c r="E121" s="5"/>
      <c r="F121" s="5"/>
      <c r="G121" s="6"/>
    </row>
    <row r="122" spans="1:7" x14ac:dyDescent="0.3">
      <c r="A122" s="4">
        <f t="shared" si="6"/>
        <v>11</v>
      </c>
      <c r="B122" s="5">
        <v>1</v>
      </c>
      <c r="C122" s="21" t="s">
        <v>43</v>
      </c>
      <c r="D122" s="20">
        <f>D118-1.96*D120</f>
        <v>0.13</v>
      </c>
      <c r="E122" s="5"/>
      <c r="F122" s="5"/>
      <c r="G122" s="6"/>
    </row>
    <row r="123" spans="1:7" x14ac:dyDescent="0.3">
      <c r="A123" s="4">
        <f t="shared" si="6"/>
        <v>12</v>
      </c>
      <c r="B123" s="5">
        <v>0</v>
      </c>
      <c r="C123" s="21" t="s">
        <v>42</v>
      </c>
      <c r="D123" s="20">
        <f>D118+1.96*D120</f>
        <v>0.62</v>
      </c>
      <c r="E123" s="5"/>
      <c r="F123" s="5"/>
      <c r="G123" s="6"/>
    </row>
    <row r="124" spans="1:7" x14ac:dyDescent="0.3">
      <c r="A124" s="4">
        <f t="shared" si="6"/>
        <v>13</v>
      </c>
      <c r="B124" s="5">
        <v>1</v>
      </c>
      <c r="C124" s="5"/>
      <c r="D124" s="5"/>
      <c r="E124" s="5"/>
      <c r="F124" s="5"/>
      <c r="G124" s="6"/>
    </row>
    <row r="125" spans="1:7" x14ac:dyDescent="0.3">
      <c r="A125" s="4">
        <f t="shared" si="6"/>
        <v>14</v>
      </c>
      <c r="B125" s="5">
        <v>0</v>
      </c>
      <c r="C125" s="5"/>
      <c r="D125" s="5"/>
      <c r="E125" s="5"/>
      <c r="F125" s="5"/>
      <c r="G125" s="6"/>
    </row>
    <row r="126" spans="1:7" ht="15" thickBot="1" x14ac:dyDescent="0.35">
      <c r="A126" s="9">
        <f t="shared" si="6"/>
        <v>15</v>
      </c>
      <c r="B126" s="10">
        <v>0</v>
      </c>
      <c r="C126" s="10"/>
      <c r="D126" s="10"/>
      <c r="E126" s="10"/>
      <c r="F126" s="10"/>
      <c r="G126" s="11"/>
    </row>
    <row r="127" spans="1:7" x14ac:dyDescent="0.3">
      <c r="A127" s="1" t="s">
        <v>89</v>
      </c>
      <c r="B127" s="2"/>
      <c r="C127" s="2"/>
      <c r="D127" s="2"/>
      <c r="E127" s="2"/>
      <c r="F127" s="2"/>
      <c r="G127" s="3"/>
    </row>
    <row r="128" spans="1:7" x14ac:dyDescent="0.3">
      <c r="A128" s="4" t="s">
        <v>75</v>
      </c>
      <c r="B128" s="5" t="s">
        <v>76</v>
      </c>
      <c r="C128" s="5" t="s">
        <v>77</v>
      </c>
      <c r="D128" s="5" t="s">
        <v>78</v>
      </c>
      <c r="E128" s="5">
        <f>AVERAGE(A129:A148)</f>
        <v>33.9</v>
      </c>
      <c r="F128" s="5"/>
      <c r="G128" s="6"/>
    </row>
    <row r="129" spans="1:7" x14ac:dyDescent="0.3">
      <c r="A129" s="4">
        <v>35</v>
      </c>
      <c r="B129" s="5">
        <v>27</v>
      </c>
      <c r="C129" s="5">
        <v>8</v>
      </c>
      <c r="D129" s="5" t="s">
        <v>79</v>
      </c>
      <c r="E129" s="5">
        <f>AVERAGE(B129:B136)</f>
        <v>25.125</v>
      </c>
      <c r="F129" s="5"/>
      <c r="G129" s="6"/>
    </row>
    <row r="130" spans="1:7" x14ac:dyDescent="0.3">
      <c r="A130" s="4">
        <v>43</v>
      </c>
      <c r="B130" s="5">
        <v>15</v>
      </c>
      <c r="C130" s="5">
        <v>14</v>
      </c>
      <c r="D130" s="5" t="s">
        <v>80</v>
      </c>
      <c r="E130" s="5">
        <f>AVERAGE(C129:C140)</f>
        <v>19</v>
      </c>
      <c r="F130" s="5"/>
      <c r="G130" s="6"/>
    </row>
    <row r="131" spans="1:7" x14ac:dyDescent="0.3">
      <c r="A131" s="4">
        <v>36</v>
      </c>
      <c r="B131" s="5">
        <v>4</v>
      </c>
      <c r="C131" s="5">
        <v>12</v>
      </c>
      <c r="D131" s="5" t="s">
        <v>81</v>
      </c>
      <c r="E131" s="5">
        <f>((155/310)*E128+(62/310)*E129+(93/310)*E130)</f>
        <v>27.675000000000001</v>
      </c>
      <c r="F131" s="5"/>
      <c r="G131" s="6"/>
    </row>
    <row r="132" spans="1:7" x14ac:dyDescent="0.3">
      <c r="A132" s="4">
        <v>39</v>
      </c>
      <c r="B132" s="5">
        <v>41</v>
      </c>
      <c r="C132" s="5">
        <v>15</v>
      </c>
      <c r="D132" s="5" t="s">
        <v>82</v>
      </c>
      <c r="E132" s="5">
        <f>_xlfn.VAR.S(A129:A148)</f>
        <v>35.35789473684207</v>
      </c>
      <c r="F132" s="5"/>
      <c r="G132" s="27">
        <f>(((155/310)^2)*(1/20-1/155)*E132)</f>
        <v>0.38494482173174832</v>
      </c>
    </row>
    <row r="133" spans="1:7" x14ac:dyDescent="0.3">
      <c r="A133" s="4">
        <v>28</v>
      </c>
      <c r="B133" s="5">
        <v>49</v>
      </c>
      <c r="C133" s="5">
        <v>30</v>
      </c>
      <c r="D133" s="5" t="s">
        <v>83</v>
      </c>
      <c r="E133" s="5">
        <f>_xlfn.VAR.S(B129:B136)</f>
        <v>232.41071428571428</v>
      </c>
      <c r="F133" s="5"/>
      <c r="G133" s="27">
        <f>(((62/310)^2)*(1/8-1/62)*E133)</f>
        <v>1.0121111751152074</v>
      </c>
    </row>
    <row r="134" spans="1:7" x14ac:dyDescent="0.3">
      <c r="A134" s="4">
        <v>28</v>
      </c>
      <c r="B134" s="5">
        <v>25</v>
      </c>
      <c r="C134" s="5">
        <v>32</v>
      </c>
      <c r="D134" s="5" t="s">
        <v>84</v>
      </c>
      <c r="E134" s="5">
        <f>_xlfn.VAR.S(C129:C140)</f>
        <v>87.63636363636364</v>
      </c>
      <c r="F134" s="5"/>
      <c r="G134" s="27">
        <f>(((93/310)^2)*(1/12-1/93)*E134)</f>
        <v>0.57246334310850433</v>
      </c>
    </row>
    <row r="135" spans="1:7" x14ac:dyDescent="0.3">
      <c r="A135" s="4">
        <v>29</v>
      </c>
      <c r="B135" s="5">
        <v>10</v>
      </c>
      <c r="C135" s="5">
        <v>21</v>
      </c>
      <c r="D135" s="5" t="s">
        <v>85</v>
      </c>
      <c r="E135" s="28">
        <f>SUM(G132:G134)</f>
        <v>1.9695193399554602</v>
      </c>
      <c r="F135" s="28"/>
      <c r="G135" s="6"/>
    </row>
    <row r="136" spans="1:7" x14ac:dyDescent="0.3">
      <c r="A136" s="4">
        <v>25</v>
      </c>
      <c r="B136" s="5">
        <v>30</v>
      </c>
      <c r="C136" s="5">
        <v>20</v>
      </c>
      <c r="D136" s="5" t="s">
        <v>86</v>
      </c>
      <c r="E136" s="28">
        <f>SQRT(E135)</f>
        <v>1.4033956462649655</v>
      </c>
      <c r="F136" s="28"/>
      <c r="G136" s="6"/>
    </row>
    <row r="137" spans="1:7" x14ac:dyDescent="0.3">
      <c r="A137" s="4">
        <v>38</v>
      </c>
      <c r="B137" s="5"/>
      <c r="C137" s="5">
        <v>34</v>
      </c>
      <c r="D137" s="5" t="s">
        <v>41</v>
      </c>
      <c r="E137" s="28">
        <f>E136/E131*100</f>
        <v>5.0709869783738597</v>
      </c>
      <c r="F137" s="28"/>
      <c r="G137" s="6"/>
    </row>
    <row r="138" spans="1:7" x14ac:dyDescent="0.3">
      <c r="A138" s="4">
        <v>27</v>
      </c>
      <c r="B138" s="5"/>
      <c r="C138" s="5">
        <v>7</v>
      </c>
      <c r="D138" s="5" t="s">
        <v>87</v>
      </c>
      <c r="E138" s="28">
        <f>E131-1.96*E136</f>
        <v>24.924344533320667</v>
      </c>
      <c r="F138" s="28"/>
      <c r="G138" s="6"/>
    </row>
    <row r="139" spans="1:7" x14ac:dyDescent="0.3">
      <c r="A139" s="4">
        <v>26</v>
      </c>
      <c r="B139" s="5"/>
      <c r="C139" s="5">
        <v>11</v>
      </c>
      <c r="D139" s="5" t="s">
        <v>88</v>
      </c>
      <c r="E139" s="28">
        <f>E131+1.96*E136</f>
        <v>30.425655466679334</v>
      </c>
      <c r="F139" s="28"/>
      <c r="G139" s="6"/>
    </row>
    <row r="140" spans="1:7" x14ac:dyDescent="0.3">
      <c r="A140" s="4">
        <v>32</v>
      </c>
      <c r="B140" s="5"/>
      <c r="C140" s="5">
        <v>24</v>
      </c>
      <c r="D140" s="5"/>
      <c r="E140" s="5"/>
      <c r="F140" s="5"/>
      <c r="G140" s="6"/>
    </row>
    <row r="141" spans="1:7" x14ac:dyDescent="0.3">
      <c r="A141" s="4">
        <v>29</v>
      </c>
      <c r="B141" s="5"/>
      <c r="C141" s="5"/>
      <c r="D141" s="5"/>
      <c r="E141" s="5"/>
      <c r="F141" s="5"/>
      <c r="G141" s="6"/>
    </row>
    <row r="142" spans="1:7" x14ac:dyDescent="0.3">
      <c r="A142" s="4">
        <v>40</v>
      </c>
      <c r="B142" s="5"/>
      <c r="C142" s="5"/>
      <c r="D142" s="5"/>
      <c r="E142" s="5"/>
      <c r="F142" s="5"/>
      <c r="G142" s="6"/>
    </row>
    <row r="143" spans="1:7" x14ac:dyDescent="0.3">
      <c r="A143" s="4">
        <v>35</v>
      </c>
      <c r="B143" s="5"/>
      <c r="C143" s="5"/>
      <c r="D143" s="5"/>
      <c r="E143" s="5"/>
      <c r="F143" s="5"/>
      <c r="G143" s="6"/>
    </row>
    <row r="144" spans="1:7" x14ac:dyDescent="0.3">
      <c r="A144" s="4">
        <v>41</v>
      </c>
      <c r="B144" s="5"/>
      <c r="C144" s="5"/>
      <c r="D144" s="5"/>
      <c r="E144" s="5"/>
      <c r="F144" s="5"/>
      <c r="G144" s="6"/>
    </row>
    <row r="145" spans="1:10" x14ac:dyDescent="0.3">
      <c r="A145" s="4">
        <v>37</v>
      </c>
      <c r="B145" s="5"/>
      <c r="C145" s="5"/>
      <c r="D145" s="5"/>
      <c r="E145" s="5"/>
      <c r="F145" s="5"/>
      <c r="G145" s="6"/>
    </row>
    <row r="146" spans="1:10" x14ac:dyDescent="0.3">
      <c r="A146" s="4">
        <v>31</v>
      </c>
      <c r="B146" s="5"/>
      <c r="C146" s="5"/>
      <c r="D146" s="5"/>
      <c r="E146" s="5"/>
      <c r="F146" s="5"/>
      <c r="G146" s="6"/>
    </row>
    <row r="147" spans="1:10" x14ac:dyDescent="0.3">
      <c r="A147" s="4">
        <v>45</v>
      </c>
      <c r="B147" s="5"/>
      <c r="C147" s="5"/>
      <c r="D147" s="5"/>
      <c r="E147" s="5"/>
      <c r="F147" s="5"/>
      <c r="G147" s="6"/>
    </row>
    <row r="148" spans="1:10" ht="15" thickBot="1" x14ac:dyDescent="0.35">
      <c r="A148" s="9">
        <v>34</v>
      </c>
      <c r="B148" s="10"/>
      <c r="C148" s="10"/>
      <c r="D148" s="10"/>
      <c r="E148" s="10"/>
      <c r="F148" s="10"/>
      <c r="G148" s="11"/>
    </row>
    <row r="149" spans="1:10" ht="15" thickBot="1" x14ac:dyDescent="0.35"/>
    <row r="150" spans="1:10" x14ac:dyDescent="0.3">
      <c r="A150" s="62" t="s">
        <v>139</v>
      </c>
      <c r="B150" s="63"/>
      <c r="C150" s="63"/>
      <c r="D150" s="63"/>
      <c r="E150" s="63"/>
      <c r="F150" s="30"/>
      <c r="G150" s="2"/>
      <c r="H150" s="2"/>
      <c r="I150" s="2"/>
      <c r="J150" s="3"/>
    </row>
    <row r="151" spans="1:10" x14ac:dyDescent="0.3">
      <c r="A151" s="4" t="s">
        <v>90</v>
      </c>
      <c r="B151" s="5" t="s">
        <v>91</v>
      </c>
      <c r="C151" s="5" t="s">
        <v>92</v>
      </c>
      <c r="D151" s="21" t="s">
        <v>34</v>
      </c>
      <c r="E151" s="5" t="s">
        <v>93</v>
      </c>
      <c r="F151" s="5" t="s">
        <v>96</v>
      </c>
      <c r="G151" s="5" t="s">
        <v>94</v>
      </c>
      <c r="H151" s="5" t="s">
        <v>95</v>
      </c>
      <c r="I151" s="5" t="s">
        <v>102</v>
      </c>
      <c r="J151" s="6"/>
    </row>
    <row r="152" spans="1:10" x14ac:dyDescent="0.3">
      <c r="A152" s="4">
        <v>1</v>
      </c>
      <c r="B152" s="5">
        <v>8</v>
      </c>
      <c r="C152" s="5">
        <v>5470.35</v>
      </c>
      <c r="D152" s="21" t="s">
        <v>24</v>
      </c>
      <c r="E152" s="5">
        <v>4</v>
      </c>
      <c r="F152" s="5">
        <v>4</v>
      </c>
      <c r="G152" s="5">
        <v>4</v>
      </c>
      <c r="H152" s="5">
        <f>C155</f>
        <v>1693.2</v>
      </c>
      <c r="I152" s="5">
        <f>(H152-G152*G162)</f>
        <v>-460.762962962963</v>
      </c>
      <c r="J152" s="6"/>
    </row>
    <row r="153" spans="1:10" x14ac:dyDescent="0.3">
      <c r="A153" s="4">
        <v>2</v>
      </c>
      <c r="B153" s="5">
        <v>6</v>
      </c>
      <c r="C153" s="5">
        <v>2716.8</v>
      </c>
      <c r="D153" s="5"/>
      <c r="E153" s="5">
        <f t="shared" ref="E153:E157" ca="1" si="7">RANDBETWEEN(1,15)</f>
        <v>8</v>
      </c>
      <c r="F153" s="5">
        <v>9</v>
      </c>
      <c r="G153" s="5">
        <v>7</v>
      </c>
      <c r="H153" s="5">
        <f>C160</f>
        <v>2873.6</v>
      </c>
      <c r="I153" s="5">
        <f>(H153-G153*G162)</f>
        <v>-895.83518518518531</v>
      </c>
      <c r="J153" s="6"/>
    </row>
    <row r="154" spans="1:10" x14ac:dyDescent="0.3">
      <c r="A154" s="4">
        <v>3</v>
      </c>
      <c r="B154" s="5">
        <v>5</v>
      </c>
      <c r="C154" s="5">
        <v>1873.75</v>
      </c>
      <c r="D154" s="5"/>
      <c r="E154" s="5">
        <f t="shared" ca="1" si="7"/>
        <v>4</v>
      </c>
      <c r="F154" s="5">
        <v>7</v>
      </c>
      <c r="G154" s="5">
        <v>2</v>
      </c>
      <c r="H154" s="5">
        <f>C158</f>
        <v>3153.35</v>
      </c>
      <c r="I154" s="5">
        <f>(H154-G154*G162)</f>
        <v>2076.3685185185186</v>
      </c>
      <c r="J154" s="6"/>
    </row>
    <row r="155" spans="1:10" x14ac:dyDescent="0.3">
      <c r="A155" s="4">
        <v>4</v>
      </c>
      <c r="B155" s="5">
        <v>4</v>
      </c>
      <c r="C155" s="5">
        <v>1693.2</v>
      </c>
      <c r="D155" s="5"/>
      <c r="E155" s="5">
        <f t="shared" ca="1" si="7"/>
        <v>7</v>
      </c>
      <c r="F155" s="5">
        <v>2</v>
      </c>
      <c r="G155" s="5">
        <v>6</v>
      </c>
      <c r="H155" s="5">
        <f>C153</f>
        <v>2716.8</v>
      </c>
      <c r="I155" s="5">
        <f>H155-G155*G162</f>
        <v>-514.14444444444416</v>
      </c>
      <c r="J155" s="6"/>
    </row>
    <row r="156" spans="1:10" x14ac:dyDescent="0.3">
      <c r="A156" s="4">
        <v>5</v>
      </c>
      <c r="B156" s="5">
        <v>3</v>
      </c>
      <c r="C156" s="5">
        <v>1393.55</v>
      </c>
      <c r="D156" s="5"/>
      <c r="E156" s="5">
        <f t="shared" ca="1" si="7"/>
        <v>6</v>
      </c>
      <c r="F156" s="5">
        <v>8</v>
      </c>
      <c r="G156" s="5">
        <v>5</v>
      </c>
      <c r="H156" s="5">
        <f>C159</f>
        <v>2708.75</v>
      </c>
      <c r="I156" s="5">
        <f>H156-G156*G162</f>
        <v>16.296296296296077</v>
      </c>
      <c r="J156" s="6"/>
    </row>
    <row r="157" spans="1:10" x14ac:dyDescent="0.3">
      <c r="A157" s="4">
        <v>6</v>
      </c>
      <c r="B157" s="5">
        <v>6</v>
      </c>
      <c r="C157" s="5">
        <v>2398.7399999999998</v>
      </c>
      <c r="D157" s="5"/>
      <c r="E157" s="5">
        <f t="shared" ca="1" si="7"/>
        <v>6</v>
      </c>
      <c r="F157" s="5">
        <v>5</v>
      </c>
      <c r="G157" s="5">
        <v>3</v>
      </c>
      <c r="H157" s="5">
        <f>C156</f>
        <v>1393.55</v>
      </c>
      <c r="I157" s="5">
        <f>H157-G157*G162</f>
        <v>-221.92222222222222</v>
      </c>
      <c r="J157" s="6"/>
    </row>
    <row r="158" spans="1:10" x14ac:dyDescent="0.3">
      <c r="A158" s="4">
        <v>7</v>
      </c>
      <c r="B158" s="5">
        <v>2</v>
      </c>
      <c r="C158" s="5">
        <v>3153.35</v>
      </c>
      <c r="D158" s="5"/>
      <c r="E158" s="5"/>
      <c r="F158" s="21" t="s">
        <v>97</v>
      </c>
      <c r="G158" s="29">
        <f>AVERAGE(G152:G157)</f>
        <v>4.5</v>
      </c>
      <c r="H158" s="5"/>
      <c r="I158" s="5"/>
      <c r="J158" s="6"/>
    </row>
    <row r="159" spans="1:10" x14ac:dyDescent="0.3">
      <c r="A159" s="4">
        <v>8</v>
      </c>
      <c r="B159" s="5">
        <v>5</v>
      </c>
      <c r="C159" s="5">
        <v>2708.75</v>
      </c>
      <c r="D159" s="5"/>
      <c r="E159" s="5"/>
      <c r="F159" s="21" t="s">
        <v>98</v>
      </c>
      <c r="G159" s="5"/>
      <c r="H159" s="29">
        <f>AVERAGE(H152:H157)</f>
        <v>2423.2083333333335</v>
      </c>
      <c r="I159" s="5"/>
      <c r="J159" s="6"/>
    </row>
    <row r="160" spans="1:10" x14ac:dyDescent="0.3">
      <c r="A160" s="4">
        <v>9</v>
      </c>
      <c r="B160" s="5">
        <v>7</v>
      </c>
      <c r="C160" s="5">
        <v>2873.6</v>
      </c>
      <c r="D160" s="5"/>
      <c r="E160" s="5"/>
      <c r="F160" s="21" t="s">
        <v>99</v>
      </c>
      <c r="G160" s="5">
        <f>G158*15</f>
        <v>67.5</v>
      </c>
      <c r="H160" s="5"/>
      <c r="I160" s="5"/>
      <c r="J160" s="6"/>
    </row>
    <row r="161" spans="1:11" x14ac:dyDescent="0.3">
      <c r="A161" s="4">
        <v>10</v>
      </c>
      <c r="B161" s="5">
        <v>6</v>
      </c>
      <c r="C161" s="5">
        <v>3775.8</v>
      </c>
      <c r="D161" s="5"/>
      <c r="E161" s="5"/>
      <c r="F161" s="21" t="s">
        <v>100</v>
      </c>
      <c r="G161" s="5">
        <f>H159*15</f>
        <v>36348.125</v>
      </c>
      <c r="H161" s="5"/>
      <c r="I161" s="5"/>
      <c r="J161" s="6"/>
    </row>
    <row r="162" spans="1:11" x14ac:dyDescent="0.3">
      <c r="A162" s="4">
        <v>11</v>
      </c>
      <c r="B162" s="5">
        <v>8</v>
      </c>
      <c r="C162" s="5">
        <v>5027.25</v>
      </c>
      <c r="D162" s="5"/>
      <c r="E162" s="5"/>
      <c r="F162" s="21" t="s">
        <v>101</v>
      </c>
      <c r="G162" s="5">
        <f>G161/G160</f>
        <v>538.49074074074076</v>
      </c>
      <c r="H162" s="5"/>
      <c r="I162" s="5"/>
      <c r="J162" s="6"/>
    </row>
    <row r="163" spans="1:11" x14ac:dyDescent="0.3">
      <c r="A163" s="4">
        <v>12</v>
      </c>
      <c r="B163" s="5">
        <v>3</v>
      </c>
      <c r="C163" s="5">
        <v>1175.28</v>
      </c>
      <c r="D163" s="5"/>
      <c r="E163" s="5"/>
      <c r="F163" s="21" t="s">
        <v>103</v>
      </c>
      <c r="G163" s="5">
        <f>AVERAGE(I152:I157)</f>
        <v>0</v>
      </c>
      <c r="H163" s="5"/>
      <c r="I163" s="5"/>
      <c r="J163" s="6"/>
    </row>
    <row r="164" spans="1:11" x14ac:dyDescent="0.3">
      <c r="A164" s="4">
        <v>13</v>
      </c>
      <c r="B164" s="5">
        <v>4</v>
      </c>
      <c r="C164" s="5">
        <v>2952.15</v>
      </c>
      <c r="D164" s="5"/>
      <c r="E164" s="5"/>
      <c r="F164" s="21" t="s">
        <v>104</v>
      </c>
      <c r="G164" s="5">
        <f>G163*15</f>
        <v>0</v>
      </c>
      <c r="H164" s="5"/>
      <c r="I164" s="5"/>
      <c r="J164" s="6"/>
    </row>
    <row r="165" spans="1:11" x14ac:dyDescent="0.3">
      <c r="A165" s="4">
        <v>14</v>
      </c>
      <c r="B165" s="5">
        <v>2</v>
      </c>
      <c r="C165" s="5">
        <v>1032.27</v>
      </c>
      <c r="D165" s="5"/>
      <c r="E165" s="5"/>
      <c r="F165" s="21" t="s">
        <v>105</v>
      </c>
      <c r="G165" s="5">
        <f>_xlfn.VAR.S(I152:I157)</f>
        <v>1127997.7926982166</v>
      </c>
      <c r="H165" s="5"/>
      <c r="I165" s="5"/>
      <c r="J165" s="6"/>
    </row>
    <row r="166" spans="1:11" x14ac:dyDescent="0.3">
      <c r="A166" s="4">
        <v>15</v>
      </c>
      <c r="B166" s="5">
        <v>2</v>
      </c>
      <c r="C166" s="5">
        <v>2075.41</v>
      </c>
      <c r="D166" s="5"/>
      <c r="E166" s="5"/>
      <c r="F166" s="21" t="s">
        <v>106</v>
      </c>
      <c r="G166" s="5">
        <f>(225*(1/6-1/15)*G165)</f>
        <v>25379950.33570987</v>
      </c>
      <c r="H166" s="5"/>
      <c r="I166" s="5"/>
      <c r="J166" s="6"/>
    </row>
    <row r="167" spans="1:11" x14ac:dyDescent="0.3">
      <c r="A167" s="4"/>
      <c r="B167" s="5"/>
      <c r="C167" s="5"/>
      <c r="D167" s="5"/>
      <c r="E167" s="5"/>
      <c r="F167" s="21" t="s">
        <v>107</v>
      </c>
      <c r="G167" s="5">
        <f>(G166/(G160*G160))</f>
        <v>5570.3594701146494</v>
      </c>
      <c r="H167" s="5"/>
      <c r="I167" s="5"/>
      <c r="J167" s="6"/>
    </row>
    <row r="168" spans="1:11" x14ac:dyDescent="0.3">
      <c r="A168" s="4"/>
      <c r="B168" s="5"/>
      <c r="C168" s="5"/>
      <c r="D168" s="5"/>
      <c r="E168" s="5"/>
      <c r="F168" s="21" t="s">
        <v>86</v>
      </c>
      <c r="G168" s="5">
        <f>SQRT(G167)</f>
        <v>74.634840859444793</v>
      </c>
      <c r="H168" s="5"/>
      <c r="I168" s="5"/>
      <c r="J168" s="6"/>
    </row>
    <row r="169" spans="1:11" x14ac:dyDescent="0.3">
      <c r="A169" s="4"/>
      <c r="B169" s="5"/>
      <c r="C169" s="5"/>
      <c r="D169" s="5"/>
      <c r="E169" s="5"/>
      <c r="F169" s="7" t="s">
        <v>108</v>
      </c>
      <c r="G169" s="5">
        <f>G162-1.96*G168</f>
        <v>392.20645265622898</v>
      </c>
      <c r="H169" s="5"/>
      <c r="I169" s="5"/>
      <c r="J169" s="6"/>
    </row>
    <row r="170" spans="1:11" ht="15" thickBot="1" x14ac:dyDescent="0.35">
      <c r="A170" s="9"/>
      <c r="B170" s="10"/>
      <c r="C170" s="10"/>
      <c r="D170" s="10"/>
      <c r="E170" s="10"/>
      <c r="F170" s="31" t="s">
        <v>109</v>
      </c>
      <c r="G170" s="10">
        <f>G162+1.96*G168</f>
        <v>684.77502882525255</v>
      </c>
      <c r="H170" s="10"/>
      <c r="I170" s="10"/>
      <c r="J170" s="11"/>
    </row>
    <row r="171" spans="1:11" ht="15" thickBot="1" x14ac:dyDescent="0.35"/>
    <row r="172" spans="1:11" x14ac:dyDescent="0.3">
      <c r="A172" s="32" t="s">
        <v>110</v>
      </c>
      <c r="B172" s="41" t="s">
        <v>127</v>
      </c>
      <c r="C172" s="41"/>
      <c r="D172" s="41"/>
      <c r="E172" s="41"/>
      <c r="F172" s="41"/>
      <c r="G172" s="41"/>
      <c r="H172" s="2"/>
      <c r="I172" s="2"/>
      <c r="J172" s="2"/>
      <c r="K172" s="3"/>
    </row>
    <row r="173" spans="1:11" ht="28.8" x14ac:dyDescent="0.3">
      <c r="A173" s="33" t="s">
        <v>90</v>
      </c>
      <c r="B173" s="21" t="s">
        <v>111</v>
      </c>
      <c r="C173" s="21" t="s">
        <v>92</v>
      </c>
      <c r="D173" s="34" t="s">
        <v>113</v>
      </c>
      <c r="E173" s="21" t="s">
        <v>114</v>
      </c>
      <c r="F173" s="34" t="s">
        <v>93</v>
      </c>
      <c r="G173" s="34" t="s">
        <v>115</v>
      </c>
      <c r="H173" s="34" t="s">
        <v>117</v>
      </c>
      <c r="I173" s="34" t="s">
        <v>116</v>
      </c>
      <c r="J173" s="34" t="s">
        <v>118</v>
      </c>
      <c r="K173" s="35" t="s">
        <v>119</v>
      </c>
    </row>
    <row r="174" spans="1:11" x14ac:dyDescent="0.3">
      <c r="A174" s="4">
        <v>1</v>
      </c>
      <c r="B174" s="5">
        <v>8</v>
      </c>
      <c r="C174" s="5">
        <v>5470.35</v>
      </c>
      <c r="D174" s="5">
        <f>B174</f>
        <v>8</v>
      </c>
      <c r="E174" s="5">
        <f>B174/B$189</f>
        <v>0.11267605633802817</v>
      </c>
      <c r="F174" s="5">
        <v>54</v>
      </c>
      <c r="G174" s="5">
        <v>11</v>
      </c>
      <c r="H174" s="5">
        <v>8</v>
      </c>
      <c r="I174" s="5">
        <v>0.11267605633802801</v>
      </c>
      <c r="J174" s="5">
        <v>5027.25</v>
      </c>
      <c r="K174" s="6">
        <f>J174/I174</f>
        <v>44616.843750000065</v>
      </c>
    </row>
    <row r="175" spans="1:11" x14ac:dyDescent="0.3">
      <c r="A175" s="4">
        <v>2</v>
      </c>
      <c r="B175" s="5">
        <v>6</v>
      </c>
      <c r="C175" s="5">
        <v>2716.8</v>
      </c>
      <c r="D175" s="5">
        <f>D174+B175</f>
        <v>14</v>
      </c>
      <c r="E175" s="5">
        <f t="shared" ref="E175:E188" si="8">B175/B$189</f>
        <v>8.4507042253521125E-2</v>
      </c>
      <c r="F175" s="5">
        <v>44</v>
      </c>
      <c r="G175" s="5">
        <v>9</v>
      </c>
      <c r="H175" s="5">
        <v>7</v>
      </c>
      <c r="I175" s="5">
        <v>9.85915492957746E-2</v>
      </c>
      <c r="J175" s="5">
        <v>2873.6</v>
      </c>
      <c r="K175" s="6">
        <f t="shared" ref="K175:K179" si="9">J175/I175</f>
        <v>29146.5142857143</v>
      </c>
    </row>
    <row r="176" spans="1:11" x14ac:dyDescent="0.3">
      <c r="A176" s="4">
        <v>3</v>
      </c>
      <c r="B176" s="5">
        <v>5</v>
      </c>
      <c r="C176" s="5">
        <v>1873.75</v>
      </c>
      <c r="D176" s="5">
        <f t="shared" ref="D176:D188" si="10">D175+B176</f>
        <v>19</v>
      </c>
      <c r="E176" s="5">
        <f t="shared" si="8"/>
        <v>7.0422535211267609E-2</v>
      </c>
      <c r="F176" s="5">
        <v>47</v>
      </c>
      <c r="G176" s="5">
        <v>10</v>
      </c>
      <c r="H176" s="5">
        <v>6</v>
      </c>
      <c r="I176" s="5">
        <v>8.4507042253521125E-2</v>
      </c>
      <c r="J176" s="5">
        <v>3775.8</v>
      </c>
      <c r="K176" s="6">
        <f t="shared" si="9"/>
        <v>44680.3</v>
      </c>
    </row>
    <row r="177" spans="1:17" x14ac:dyDescent="0.3">
      <c r="A177" s="4">
        <v>4</v>
      </c>
      <c r="B177" s="5">
        <v>4</v>
      </c>
      <c r="C177" s="5">
        <v>1693.2</v>
      </c>
      <c r="D177" s="5">
        <f t="shared" si="10"/>
        <v>23</v>
      </c>
      <c r="E177" s="5">
        <f t="shared" si="8"/>
        <v>5.6338028169014086E-2</v>
      </c>
      <c r="F177" s="5">
        <v>22</v>
      </c>
      <c r="G177" s="5">
        <v>4</v>
      </c>
      <c r="H177" s="5">
        <v>4</v>
      </c>
      <c r="I177" s="5">
        <v>5.63380281690141E-2</v>
      </c>
      <c r="J177" s="5">
        <v>1693.2</v>
      </c>
      <c r="K177" s="6">
        <f t="shared" si="9"/>
        <v>30054.299999999992</v>
      </c>
    </row>
    <row r="178" spans="1:17" x14ac:dyDescent="0.3">
      <c r="A178" s="4">
        <v>5</v>
      </c>
      <c r="B178" s="5">
        <v>3</v>
      </c>
      <c r="C178" s="5">
        <v>1393.55</v>
      </c>
      <c r="D178" s="5">
        <f t="shared" si="10"/>
        <v>26</v>
      </c>
      <c r="E178" s="5">
        <f t="shared" si="8"/>
        <v>4.2253521126760563E-2</v>
      </c>
      <c r="F178" s="5">
        <v>15</v>
      </c>
      <c r="G178" s="5">
        <v>3</v>
      </c>
      <c r="H178" s="5">
        <v>5</v>
      </c>
      <c r="I178" s="5">
        <v>7.0422535211267609E-2</v>
      </c>
      <c r="J178" s="5">
        <v>1873.75</v>
      </c>
      <c r="K178" s="6">
        <f t="shared" si="9"/>
        <v>26607.25</v>
      </c>
    </row>
    <row r="179" spans="1:17" x14ac:dyDescent="0.3">
      <c r="A179" s="4">
        <v>6</v>
      </c>
      <c r="B179" s="5">
        <v>6</v>
      </c>
      <c r="C179" s="5">
        <v>2398.7399999999998</v>
      </c>
      <c r="D179" s="5">
        <f t="shared" si="10"/>
        <v>32</v>
      </c>
      <c r="E179" s="5">
        <f t="shared" si="8"/>
        <v>8.4507042253521125E-2</v>
      </c>
      <c r="F179" s="5">
        <v>9</v>
      </c>
      <c r="G179" s="5">
        <v>2</v>
      </c>
      <c r="H179" s="5">
        <v>6</v>
      </c>
      <c r="I179" s="5">
        <v>8.4507042253521097E-2</v>
      </c>
      <c r="J179" s="5">
        <v>2716.8</v>
      </c>
      <c r="K179" s="6">
        <f t="shared" si="9"/>
        <v>32148.800000000014</v>
      </c>
    </row>
    <row r="180" spans="1:17" x14ac:dyDescent="0.3">
      <c r="A180" s="4">
        <v>7</v>
      </c>
      <c r="B180" s="5">
        <v>2</v>
      </c>
      <c r="C180" s="5">
        <v>3153.35</v>
      </c>
      <c r="D180" s="5">
        <f t="shared" si="10"/>
        <v>34</v>
      </c>
      <c r="E180" s="5">
        <f t="shared" si="8"/>
        <v>2.8169014084507043E-2</v>
      </c>
      <c r="F180" s="5"/>
      <c r="G180" s="5"/>
      <c r="H180" s="5"/>
      <c r="I180" s="5"/>
      <c r="J180" s="21" t="s">
        <v>120</v>
      </c>
      <c r="K180" s="36">
        <f>AVERAGE(K174:K179)</f>
        <v>34542.334672619065</v>
      </c>
    </row>
    <row r="181" spans="1:17" x14ac:dyDescent="0.3">
      <c r="A181" s="4">
        <v>8</v>
      </c>
      <c r="B181" s="5">
        <v>5</v>
      </c>
      <c r="C181" s="5">
        <v>2708.75</v>
      </c>
      <c r="D181" s="5">
        <f t="shared" si="10"/>
        <v>39</v>
      </c>
      <c r="E181" s="5">
        <f t="shared" si="8"/>
        <v>7.0422535211267609E-2</v>
      </c>
      <c r="F181" s="5"/>
      <c r="G181" s="5"/>
      <c r="H181" s="5"/>
      <c r="I181" s="5"/>
      <c r="J181" s="37" t="s">
        <v>140</v>
      </c>
      <c r="K181" s="36">
        <f>K180/15</f>
        <v>2302.8223115079377</v>
      </c>
    </row>
    <row r="182" spans="1:17" x14ac:dyDescent="0.3">
      <c r="A182" s="4">
        <v>9</v>
      </c>
      <c r="B182" s="5">
        <v>7</v>
      </c>
      <c r="C182" s="5">
        <v>2873.6</v>
      </c>
      <c r="D182" s="5">
        <f t="shared" si="10"/>
        <v>46</v>
      </c>
      <c r="E182" s="5">
        <f>B182/B$189</f>
        <v>9.8591549295774641E-2</v>
      </c>
      <c r="F182" s="5"/>
      <c r="G182" s="5"/>
      <c r="H182" s="5"/>
      <c r="I182" s="5"/>
      <c r="J182" s="5"/>
      <c r="K182" s="6"/>
    </row>
    <row r="183" spans="1:17" x14ac:dyDescent="0.3">
      <c r="A183" s="4">
        <v>10</v>
      </c>
      <c r="B183" s="5">
        <v>6</v>
      </c>
      <c r="C183" s="5">
        <v>3775.8</v>
      </c>
      <c r="D183" s="5">
        <f t="shared" si="10"/>
        <v>52</v>
      </c>
      <c r="E183" s="5">
        <f t="shared" si="8"/>
        <v>8.4507042253521125E-2</v>
      </c>
      <c r="F183" s="5"/>
      <c r="G183" s="5"/>
      <c r="H183" s="5"/>
      <c r="I183" s="5"/>
      <c r="J183" s="21" t="s">
        <v>121</v>
      </c>
      <c r="K183" s="36">
        <f>_xlfn.VAR.S(K174:K179)</f>
        <v>64445196.798088074</v>
      </c>
    </row>
    <row r="184" spans="1:17" x14ac:dyDescent="0.3">
      <c r="A184" s="4">
        <v>11</v>
      </c>
      <c r="B184" s="5">
        <v>8</v>
      </c>
      <c r="C184" s="5">
        <v>5027.25</v>
      </c>
      <c r="D184" s="5">
        <f t="shared" si="10"/>
        <v>60</v>
      </c>
      <c r="E184" s="5">
        <f t="shared" si="8"/>
        <v>0.11267605633802817</v>
      </c>
      <c r="F184" s="5"/>
      <c r="G184" s="5"/>
      <c r="H184" s="5"/>
      <c r="I184" s="5"/>
      <c r="J184" s="21" t="s">
        <v>122</v>
      </c>
      <c r="K184" s="6">
        <f>K183/6</f>
        <v>10740866.133014679</v>
      </c>
    </row>
    <row r="185" spans="1:17" x14ac:dyDescent="0.3">
      <c r="A185" s="4">
        <v>12</v>
      </c>
      <c r="B185" s="5">
        <v>3</v>
      </c>
      <c r="C185" s="5">
        <v>1175.28</v>
      </c>
      <c r="D185" s="5">
        <f t="shared" si="10"/>
        <v>63</v>
      </c>
      <c r="E185" s="5">
        <f t="shared" si="8"/>
        <v>4.2253521126760563E-2</v>
      </c>
      <c r="F185" s="5"/>
      <c r="G185" s="5"/>
      <c r="H185" s="5"/>
      <c r="I185" s="5"/>
      <c r="J185" s="21" t="s">
        <v>123</v>
      </c>
      <c r="K185" s="6">
        <f>K184/225</f>
        <v>47737.182813398576</v>
      </c>
    </row>
    <row r="186" spans="1:17" x14ac:dyDescent="0.3">
      <c r="A186" s="4">
        <v>13</v>
      </c>
      <c r="B186" s="5">
        <v>4</v>
      </c>
      <c r="C186" s="5">
        <v>2952.15</v>
      </c>
      <c r="D186" s="5">
        <f t="shared" si="10"/>
        <v>67</v>
      </c>
      <c r="E186" s="5">
        <f t="shared" si="8"/>
        <v>5.6338028169014086E-2</v>
      </c>
      <c r="F186" s="5"/>
      <c r="G186" s="5"/>
      <c r="H186" s="5"/>
      <c r="I186" s="5"/>
      <c r="J186" s="21" t="s">
        <v>124</v>
      </c>
      <c r="K186" s="6">
        <f>SQRT(K185)</f>
        <v>218.48840429962999</v>
      </c>
    </row>
    <row r="187" spans="1:17" x14ac:dyDescent="0.3">
      <c r="A187" s="4">
        <v>14</v>
      </c>
      <c r="B187" s="5">
        <v>2</v>
      </c>
      <c r="C187" s="5">
        <v>1032.27</v>
      </c>
      <c r="D187" s="5">
        <f t="shared" si="10"/>
        <v>69</v>
      </c>
      <c r="E187" s="5">
        <f t="shared" si="8"/>
        <v>2.8169014084507043E-2</v>
      </c>
      <c r="F187" s="5"/>
      <c r="G187" s="5"/>
      <c r="H187" s="5"/>
      <c r="I187" s="5"/>
      <c r="J187" s="21" t="s">
        <v>41</v>
      </c>
      <c r="K187" s="6">
        <f>K186/K181*100</f>
        <v>9.487853370525972</v>
      </c>
    </row>
    <row r="188" spans="1:17" x14ac:dyDescent="0.3">
      <c r="A188" s="4">
        <v>15</v>
      </c>
      <c r="B188" s="5">
        <v>2</v>
      </c>
      <c r="C188" s="5">
        <v>2075.41</v>
      </c>
      <c r="D188" s="5">
        <f t="shared" si="10"/>
        <v>71</v>
      </c>
      <c r="E188" s="5">
        <f t="shared" si="8"/>
        <v>2.8169014084507043E-2</v>
      </c>
      <c r="F188" s="5"/>
      <c r="G188" s="5"/>
      <c r="H188" s="5"/>
      <c r="I188" s="5"/>
      <c r="J188" s="21" t="s">
        <v>125</v>
      </c>
      <c r="K188" s="6">
        <f>K181-1.96*K186</f>
        <v>1874.5850390806629</v>
      </c>
    </row>
    <row r="189" spans="1:17" ht="15" thickBot="1" x14ac:dyDescent="0.35">
      <c r="A189" s="38" t="s">
        <v>112</v>
      </c>
      <c r="B189" s="39">
        <f>SUM(B174:B188)</f>
        <v>71</v>
      </c>
      <c r="C189" s="39">
        <f>SUM(C174:C188)</f>
        <v>40320.25</v>
      </c>
      <c r="D189" s="10"/>
      <c r="E189" s="39">
        <f>SUM(E174:E188)</f>
        <v>0.99999999999999989</v>
      </c>
      <c r="F189" s="10"/>
      <c r="G189" s="10"/>
      <c r="H189" s="10"/>
      <c r="I189" s="10"/>
      <c r="J189" s="39" t="s">
        <v>126</v>
      </c>
      <c r="K189" s="11">
        <f>K181+1.96*K186</f>
        <v>2731.0595839352127</v>
      </c>
    </row>
    <row r="190" spans="1:17" ht="15" thickBot="1" x14ac:dyDescent="0.35"/>
    <row r="191" spans="1:17" x14ac:dyDescent="0.3">
      <c r="A191" s="1"/>
      <c r="B191" s="41" t="s">
        <v>128</v>
      </c>
      <c r="C191" s="41"/>
      <c r="D191" s="41"/>
      <c r="E191" s="4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</row>
    <row r="192" spans="1:17" ht="43.2" x14ac:dyDescent="0.3">
      <c r="A192" s="33" t="s">
        <v>90</v>
      </c>
      <c r="B192" s="21" t="s">
        <v>111</v>
      </c>
      <c r="C192" s="21" t="s">
        <v>92</v>
      </c>
      <c r="D192" s="34" t="s">
        <v>113</v>
      </c>
      <c r="E192" s="21" t="s">
        <v>114</v>
      </c>
      <c r="F192" s="34" t="s">
        <v>93</v>
      </c>
      <c r="G192" s="34" t="s">
        <v>115</v>
      </c>
      <c r="H192" s="34" t="s">
        <v>117</v>
      </c>
      <c r="I192" s="34" t="s">
        <v>116</v>
      </c>
      <c r="J192" s="34" t="s">
        <v>118</v>
      </c>
      <c r="K192" s="40" t="s">
        <v>129</v>
      </c>
      <c r="L192" s="42" t="s">
        <v>134</v>
      </c>
      <c r="M192" s="42" t="s">
        <v>135</v>
      </c>
      <c r="N192" s="42" t="s">
        <v>136</v>
      </c>
      <c r="O192" s="43" t="s">
        <v>137</v>
      </c>
      <c r="P192" s="43" t="s">
        <v>109</v>
      </c>
      <c r="Q192" s="44" t="s">
        <v>138</v>
      </c>
    </row>
    <row r="193" spans="1:17" x14ac:dyDescent="0.3">
      <c r="A193" s="4">
        <v>1</v>
      </c>
      <c r="B193" s="5">
        <v>8</v>
      </c>
      <c r="C193" s="5">
        <v>5470.35</v>
      </c>
      <c r="D193" s="5">
        <f>B193</f>
        <v>8</v>
      </c>
      <c r="E193" s="5">
        <f>B193/B$208</f>
        <v>0.11267605633802817</v>
      </c>
      <c r="F193" s="5">
        <v>61</v>
      </c>
      <c r="G193" s="5">
        <v>12</v>
      </c>
      <c r="H193" s="5">
        <v>3</v>
      </c>
      <c r="I193" s="5">
        <v>4.2253521126760563E-2</v>
      </c>
      <c r="J193" s="5">
        <v>1175.28</v>
      </c>
      <c r="K193" s="5">
        <f>J193/I193</f>
        <v>27814.959999999999</v>
      </c>
      <c r="L193" s="5">
        <f>K200/15</f>
        <v>2586.3312222222221</v>
      </c>
      <c r="M193" s="5">
        <f>K202/225</f>
        <v>43766.524281234742</v>
      </c>
      <c r="N193" s="5">
        <f>SQRT(M193)</f>
        <v>209.20450349176221</v>
      </c>
      <c r="O193" s="5">
        <f>L193-1.96*N193</f>
        <v>2176.290395378368</v>
      </c>
      <c r="P193" s="5">
        <f>L193+1.96*N193</f>
        <v>2996.3720490660762</v>
      </c>
      <c r="Q193" s="6">
        <f>N193/L193*100</f>
        <v>8.0888519495971583</v>
      </c>
    </row>
    <row r="194" spans="1:17" x14ac:dyDescent="0.3">
      <c r="A194" s="4">
        <v>2</v>
      </c>
      <c r="B194" s="5">
        <v>6</v>
      </c>
      <c r="C194" s="5">
        <v>2716.8</v>
      </c>
      <c r="D194" s="5">
        <f>D193+B194</f>
        <v>14</v>
      </c>
      <c r="E194" s="5">
        <f t="shared" ref="E194:E207" si="11">B194/B$208</f>
        <v>8.4507042253521125E-2</v>
      </c>
      <c r="F194" s="5">
        <v>56</v>
      </c>
      <c r="G194" s="5">
        <v>11</v>
      </c>
      <c r="H194" s="5">
        <v>8</v>
      </c>
      <c r="I194" s="5">
        <v>0.11267605633802817</v>
      </c>
      <c r="J194" s="5">
        <v>5027.25</v>
      </c>
      <c r="K194" s="5">
        <f>(J193+(J194/(I194/(1-I193))))</f>
        <v>43906.904999999999</v>
      </c>
      <c r="L194" s="5"/>
      <c r="M194" s="5"/>
      <c r="N194" s="5"/>
      <c r="O194" s="5"/>
      <c r="P194" s="5"/>
      <c r="Q194" s="6"/>
    </row>
    <row r="195" spans="1:17" x14ac:dyDescent="0.3">
      <c r="A195" s="4">
        <v>3</v>
      </c>
      <c r="B195" s="5">
        <v>5</v>
      </c>
      <c r="C195" s="5">
        <v>1873.75</v>
      </c>
      <c r="D195" s="5">
        <f t="shared" ref="D195:D207" si="12">D194+B195</f>
        <v>19</v>
      </c>
      <c r="E195" s="5">
        <f t="shared" si="11"/>
        <v>7.0422535211267609E-2</v>
      </c>
      <c r="F195" s="5">
        <v>8</v>
      </c>
      <c r="G195" s="5">
        <v>1</v>
      </c>
      <c r="H195" s="5">
        <v>8</v>
      </c>
      <c r="I195" s="5">
        <v>0.11267605633802817</v>
      </c>
      <c r="J195" s="5">
        <v>5470.35</v>
      </c>
      <c r="K195" s="5">
        <f>(J193+J194+(J195/(I195/(1-I193-I194))))</f>
        <v>47230.154999999999</v>
      </c>
      <c r="L195" s="5"/>
      <c r="M195" s="5"/>
      <c r="N195" s="5"/>
      <c r="O195" s="5"/>
      <c r="P195" s="5"/>
      <c r="Q195" s="6"/>
    </row>
    <row r="196" spans="1:17" x14ac:dyDescent="0.3">
      <c r="A196" s="4">
        <v>4</v>
      </c>
      <c r="B196" s="5">
        <v>4</v>
      </c>
      <c r="C196" s="5">
        <v>1693.2</v>
      </c>
      <c r="D196" s="5">
        <f t="shared" si="12"/>
        <v>23</v>
      </c>
      <c r="E196" s="5">
        <f t="shared" si="11"/>
        <v>5.6338028169014086E-2</v>
      </c>
      <c r="F196" s="5">
        <v>15</v>
      </c>
      <c r="G196" s="5">
        <v>3</v>
      </c>
      <c r="H196" s="5">
        <v>5</v>
      </c>
      <c r="I196" s="5">
        <v>7.0422535211267609E-2</v>
      </c>
      <c r="J196" s="5">
        <v>1873.75</v>
      </c>
      <c r="K196" s="5">
        <f>(J193+J194+J195+(J196/(I196/(1-I193-I194-I195))))</f>
        <v>31159.88</v>
      </c>
      <c r="L196" s="5"/>
      <c r="M196" s="5"/>
      <c r="N196" s="5"/>
      <c r="O196" s="5"/>
      <c r="P196" s="5"/>
      <c r="Q196" s="6"/>
    </row>
    <row r="197" spans="1:17" x14ac:dyDescent="0.3">
      <c r="A197" s="4">
        <v>5</v>
      </c>
      <c r="B197" s="5">
        <v>3</v>
      </c>
      <c r="C197" s="5">
        <v>1393.55</v>
      </c>
      <c r="D197" s="5">
        <f t="shared" si="12"/>
        <v>26</v>
      </c>
      <c r="E197" s="5">
        <f t="shared" si="11"/>
        <v>4.2253521126760563E-2</v>
      </c>
      <c r="F197" s="5">
        <v>48</v>
      </c>
      <c r="G197" s="5">
        <v>10</v>
      </c>
      <c r="H197" s="5">
        <v>6</v>
      </c>
      <c r="I197" s="5">
        <v>8.4507042253521125E-2</v>
      </c>
      <c r="J197" s="5">
        <v>3775.8</v>
      </c>
      <c r="K197" s="5">
        <f>(J193+J194+J195+J196+(J197/(I197/(1-I193-I194-I195-I196))))</f>
        <v>43123.73000000001</v>
      </c>
      <c r="L197" s="5"/>
      <c r="M197" s="5"/>
      <c r="N197" s="5"/>
      <c r="O197" s="5"/>
      <c r="P197" s="5"/>
      <c r="Q197" s="6"/>
    </row>
    <row r="198" spans="1:17" x14ac:dyDescent="0.3">
      <c r="A198" s="4">
        <v>6</v>
      </c>
      <c r="B198" s="5">
        <v>6</v>
      </c>
      <c r="C198" s="5">
        <v>2398.7399999999998</v>
      </c>
      <c r="D198" s="5">
        <f t="shared" si="12"/>
        <v>32</v>
      </c>
      <c r="E198" s="5">
        <f t="shared" si="11"/>
        <v>8.4507042253521125E-2</v>
      </c>
      <c r="F198" s="5">
        <v>39</v>
      </c>
      <c r="G198" s="5">
        <v>8</v>
      </c>
      <c r="H198" s="5">
        <v>5</v>
      </c>
      <c r="I198" s="5">
        <v>7.0422535211267595E-2</v>
      </c>
      <c r="J198" s="5">
        <v>2708.75</v>
      </c>
      <c r="K198" s="5">
        <f>(J193+J194+J195+J196+J197+(J198/(I198/(1-I193-I194-I195-I196-I197))))</f>
        <v>39534.180000000008</v>
      </c>
      <c r="L198" s="5"/>
      <c r="M198" s="5"/>
      <c r="N198" s="5"/>
      <c r="O198" s="5"/>
      <c r="P198" s="5"/>
      <c r="Q198" s="6"/>
    </row>
    <row r="199" spans="1:17" x14ac:dyDescent="0.3">
      <c r="A199" s="4">
        <v>7</v>
      </c>
      <c r="B199" s="5">
        <v>2</v>
      </c>
      <c r="C199" s="5">
        <v>3153.35</v>
      </c>
      <c r="D199" s="5">
        <f t="shared" si="12"/>
        <v>34</v>
      </c>
      <c r="E199" s="5">
        <f t="shared" si="11"/>
        <v>2.8169014084507043E-2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6"/>
    </row>
    <row r="200" spans="1:17" x14ac:dyDescent="0.3">
      <c r="A200" s="4">
        <v>8</v>
      </c>
      <c r="B200" s="5">
        <v>5</v>
      </c>
      <c r="C200" s="5">
        <v>2708.75</v>
      </c>
      <c r="D200" s="5">
        <f t="shared" si="12"/>
        <v>39</v>
      </c>
      <c r="E200" s="5">
        <f t="shared" si="11"/>
        <v>7.0422535211267609E-2</v>
      </c>
      <c r="F200" s="5"/>
      <c r="G200" s="5"/>
      <c r="H200" s="5"/>
      <c r="I200" s="61" t="s">
        <v>131</v>
      </c>
      <c r="J200" s="61"/>
      <c r="K200" s="21">
        <f>AVERAGE(K193:K198)</f>
        <v>38794.968333333331</v>
      </c>
      <c r="L200" s="5"/>
      <c r="M200" s="5"/>
      <c r="N200" s="5"/>
      <c r="O200" s="5"/>
      <c r="P200" s="5"/>
      <c r="Q200" s="6"/>
    </row>
    <row r="201" spans="1:17" x14ac:dyDescent="0.3">
      <c r="A201" s="4">
        <v>9</v>
      </c>
      <c r="B201" s="5">
        <v>7</v>
      </c>
      <c r="C201" s="5">
        <v>2873.6</v>
      </c>
      <c r="D201" s="5">
        <f t="shared" si="12"/>
        <v>46</v>
      </c>
      <c r="E201" s="5">
        <f t="shared" si="11"/>
        <v>9.8591549295774641E-2</v>
      </c>
      <c r="F201" s="5"/>
      <c r="G201" s="5"/>
      <c r="H201" s="5"/>
      <c r="I201" s="61" t="s">
        <v>132</v>
      </c>
      <c r="J201" s="61"/>
      <c r="K201" s="21">
        <f>_xlfn.VAR.S(K193:K198)</f>
        <v>59084807.779666901</v>
      </c>
      <c r="L201" s="5"/>
      <c r="M201" s="5"/>
      <c r="N201" s="5"/>
      <c r="O201" s="5"/>
      <c r="P201" s="5"/>
      <c r="Q201" s="6"/>
    </row>
    <row r="202" spans="1:17" x14ac:dyDescent="0.3">
      <c r="A202" s="4">
        <v>10</v>
      </c>
      <c r="B202" s="5">
        <v>6</v>
      </c>
      <c r="C202" s="5">
        <v>3775.8</v>
      </c>
      <c r="D202" s="5">
        <f t="shared" si="12"/>
        <v>52</v>
      </c>
      <c r="E202" s="5">
        <f t="shared" si="11"/>
        <v>8.4507042253521125E-2</v>
      </c>
      <c r="F202" s="5"/>
      <c r="G202" s="5"/>
      <c r="H202" s="5"/>
      <c r="I202" s="61" t="s">
        <v>133</v>
      </c>
      <c r="J202" s="61"/>
      <c r="K202" s="21">
        <f>K201/6</f>
        <v>9847467.9632778168</v>
      </c>
      <c r="L202" s="5"/>
      <c r="M202" s="5"/>
      <c r="N202" s="5"/>
      <c r="O202" s="5"/>
      <c r="P202" s="5"/>
      <c r="Q202" s="6"/>
    </row>
    <row r="203" spans="1:17" x14ac:dyDescent="0.3">
      <c r="A203" s="4">
        <v>11</v>
      </c>
      <c r="B203" s="5">
        <v>8</v>
      </c>
      <c r="C203" s="5">
        <v>5027.25</v>
      </c>
      <c r="D203" s="5">
        <f t="shared" si="12"/>
        <v>60</v>
      </c>
      <c r="E203" s="5">
        <f t="shared" si="11"/>
        <v>0.11267605633802817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</row>
    <row r="204" spans="1:17" x14ac:dyDescent="0.3">
      <c r="A204" s="4">
        <v>12</v>
      </c>
      <c r="B204" s="5">
        <v>3</v>
      </c>
      <c r="C204" s="5">
        <v>1175.28</v>
      </c>
      <c r="D204" s="5">
        <f t="shared" si="12"/>
        <v>63</v>
      </c>
      <c r="E204" s="5">
        <f t="shared" si="11"/>
        <v>4.2253521126760563E-2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</row>
    <row r="205" spans="1:17" x14ac:dyDescent="0.3">
      <c r="A205" s="4">
        <v>13</v>
      </c>
      <c r="B205" s="5">
        <v>4</v>
      </c>
      <c r="C205" s="5">
        <v>2952.15</v>
      </c>
      <c r="D205" s="5">
        <f t="shared" si="12"/>
        <v>67</v>
      </c>
      <c r="E205" s="5">
        <f t="shared" si="11"/>
        <v>5.6338028169014086E-2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</row>
    <row r="206" spans="1:17" x14ac:dyDescent="0.3">
      <c r="A206" s="4">
        <v>14</v>
      </c>
      <c r="B206" s="5">
        <v>2</v>
      </c>
      <c r="C206" s="5">
        <v>1032.27</v>
      </c>
      <c r="D206" s="5">
        <f t="shared" si="12"/>
        <v>69</v>
      </c>
      <c r="E206" s="5">
        <f t="shared" si="11"/>
        <v>2.8169014084507043E-2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/>
    </row>
    <row r="207" spans="1:17" x14ac:dyDescent="0.3">
      <c r="A207" s="4">
        <v>15</v>
      </c>
      <c r="B207" s="5">
        <v>2</v>
      </c>
      <c r="C207" s="5">
        <v>2075.41</v>
      </c>
      <c r="D207" s="5">
        <f t="shared" si="12"/>
        <v>71</v>
      </c>
      <c r="E207" s="5">
        <f t="shared" si="11"/>
        <v>2.8169014084507043E-2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6"/>
    </row>
    <row r="208" spans="1:17" x14ac:dyDescent="0.3">
      <c r="A208" s="33" t="s">
        <v>112</v>
      </c>
      <c r="B208" s="21">
        <f>SUM(B193:B207)</f>
        <v>71</v>
      </c>
      <c r="C208" s="21">
        <f>SUM(C193:C207)</f>
        <v>40320.25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/>
    </row>
    <row r="209" spans="1:17" x14ac:dyDescent="0.3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/>
    </row>
    <row r="210" spans="1:17" x14ac:dyDescent="0.3">
      <c r="A210" s="45" t="s">
        <v>130</v>
      </c>
      <c r="B210" s="46" t="s">
        <v>34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6"/>
    </row>
    <row r="211" spans="1:17" ht="15" thickBot="1" x14ac:dyDescent="0.35">
      <c r="A211" s="47"/>
      <c r="B211" s="48" t="s">
        <v>24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1"/>
    </row>
    <row r="212" spans="1:17" ht="15" thickBot="1" x14ac:dyDescent="0.35"/>
    <row r="213" spans="1:17" x14ac:dyDescent="0.3">
      <c r="A213" s="62" t="s">
        <v>141</v>
      </c>
      <c r="B213" s="63"/>
      <c r="C213" s="63"/>
      <c r="D213" s="6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</row>
    <row r="214" spans="1:17" ht="43.2" customHeight="1" x14ac:dyDescent="0.3">
      <c r="A214" s="50" t="s">
        <v>142</v>
      </c>
      <c r="B214" s="51" t="s">
        <v>143</v>
      </c>
      <c r="C214" s="51" t="s">
        <v>144</v>
      </c>
      <c r="D214" s="64" t="s">
        <v>145</v>
      </c>
      <c r="E214" s="64"/>
      <c r="F214" s="64"/>
      <c r="G214" s="64"/>
      <c r="H214" s="52" t="s">
        <v>146</v>
      </c>
      <c r="I214" s="52"/>
      <c r="J214" s="66" t="s">
        <v>147</v>
      </c>
      <c r="K214" s="66"/>
      <c r="L214" s="66"/>
      <c r="M214" s="67" t="s">
        <v>149</v>
      </c>
      <c r="N214" s="67"/>
      <c r="O214" s="66" t="s">
        <v>150</v>
      </c>
      <c r="P214" s="66"/>
      <c r="Q214" s="53" t="s">
        <v>151</v>
      </c>
    </row>
    <row r="215" spans="1:17" x14ac:dyDescent="0.3">
      <c r="A215" s="54">
        <v>3</v>
      </c>
      <c r="B215" s="55">
        <v>8</v>
      </c>
      <c r="C215" s="55">
        <v>3</v>
      </c>
      <c r="D215" s="56">
        <v>50</v>
      </c>
      <c r="E215" s="5">
        <v>33</v>
      </c>
      <c r="F215" s="5">
        <v>57</v>
      </c>
      <c r="G215" s="5"/>
      <c r="H215" s="65">
        <f t="shared" ref="H215:H222" si="13">AVERAGE(D215:F216)</f>
        <v>59.6</v>
      </c>
      <c r="I215" s="65"/>
      <c r="J215" s="65">
        <f>(H215*B215)</f>
        <v>476.8</v>
      </c>
      <c r="K215" s="65"/>
      <c r="L215" s="65"/>
      <c r="M215" s="65">
        <f>_xlfn.VAR.S(D215:F215)</f>
        <v>152.33333333333348</v>
      </c>
      <c r="N215" s="65"/>
      <c r="O215" s="65">
        <f>(1/C215-1/B215)*M215</f>
        <v>31.736111111111139</v>
      </c>
      <c r="P215" s="65"/>
      <c r="Q215" s="6">
        <f>(B215*B215)*O215</f>
        <v>2031.1111111111129</v>
      </c>
    </row>
    <row r="216" spans="1:17" x14ac:dyDescent="0.3">
      <c r="A216" s="54">
        <v>7</v>
      </c>
      <c r="B216" s="55">
        <v>6</v>
      </c>
      <c r="C216" s="55">
        <v>2</v>
      </c>
      <c r="D216" s="56">
        <v>66</v>
      </c>
      <c r="E216" s="5">
        <v>92</v>
      </c>
      <c r="F216" s="5"/>
      <c r="G216" s="5"/>
      <c r="H216" s="65">
        <f t="shared" si="13"/>
        <v>61.4</v>
      </c>
      <c r="I216" s="65"/>
      <c r="J216" s="65">
        <f t="shared" ref="J216:J222" si="14">(H216*B216)</f>
        <v>368.4</v>
      </c>
      <c r="K216" s="65"/>
      <c r="L216" s="65"/>
      <c r="M216" s="65">
        <f>_xlfn.VAR.S(D216:E216)</f>
        <v>338</v>
      </c>
      <c r="N216" s="65"/>
      <c r="O216" s="65">
        <f t="shared" ref="O216:O222" si="15">(1/C216-1/B216)*M216</f>
        <v>112.66666666666669</v>
      </c>
      <c r="P216" s="65"/>
      <c r="Q216" s="6">
        <f t="shared" ref="Q216:Q222" si="16">(B216*B216)*O216</f>
        <v>4056.0000000000009</v>
      </c>
    </row>
    <row r="217" spans="1:17" x14ac:dyDescent="0.3">
      <c r="A217" s="54">
        <v>13</v>
      </c>
      <c r="B217" s="55">
        <v>9</v>
      </c>
      <c r="C217" s="55">
        <v>3</v>
      </c>
      <c r="D217" s="56">
        <v>66</v>
      </c>
      <c r="E217" s="5">
        <v>50</v>
      </c>
      <c r="F217" s="5">
        <v>33</v>
      </c>
      <c r="G217" s="5"/>
      <c r="H217" s="65">
        <f t="shared" si="13"/>
        <v>47.833333333333336</v>
      </c>
      <c r="I217" s="65"/>
      <c r="J217" s="65">
        <f t="shared" si="14"/>
        <v>430.5</v>
      </c>
      <c r="K217" s="65"/>
      <c r="L217" s="65"/>
      <c r="M217" s="65">
        <f>_xlfn.VAR.S(D217:F217)</f>
        <v>272.33333333333348</v>
      </c>
      <c r="N217" s="65"/>
      <c r="O217" s="65">
        <f t="shared" si="15"/>
        <v>60.518518518518547</v>
      </c>
      <c r="P217" s="65"/>
      <c r="Q217" s="6">
        <f t="shared" si="16"/>
        <v>4902.0000000000027</v>
      </c>
    </row>
    <row r="218" spans="1:17" x14ac:dyDescent="0.3">
      <c r="A218" s="54">
        <v>17</v>
      </c>
      <c r="B218" s="55">
        <v>11</v>
      </c>
      <c r="C218" s="55">
        <v>4</v>
      </c>
      <c r="D218" s="56">
        <v>33</v>
      </c>
      <c r="E218" s="5">
        <v>45</v>
      </c>
      <c r="F218" s="5">
        <v>60</v>
      </c>
      <c r="G218" s="5">
        <v>55</v>
      </c>
      <c r="H218" s="65">
        <f t="shared" si="13"/>
        <v>58.833333333333336</v>
      </c>
      <c r="I218" s="65"/>
      <c r="J218" s="65">
        <f t="shared" si="14"/>
        <v>647.16666666666674</v>
      </c>
      <c r="K218" s="65"/>
      <c r="L218" s="65"/>
      <c r="M218" s="65">
        <f>_xlfn.VAR.S(D218:G218)</f>
        <v>142.25</v>
      </c>
      <c r="N218" s="65"/>
      <c r="O218" s="65">
        <f t="shared" si="15"/>
        <v>22.630681818181817</v>
      </c>
      <c r="P218" s="65"/>
      <c r="Q218" s="6">
        <f t="shared" si="16"/>
        <v>2738.3125</v>
      </c>
    </row>
    <row r="219" spans="1:17" x14ac:dyDescent="0.3">
      <c r="A219" s="54">
        <v>21</v>
      </c>
      <c r="B219" s="55">
        <v>13</v>
      </c>
      <c r="C219" s="55">
        <v>4</v>
      </c>
      <c r="D219" s="56">
        <v>99</v>
      </c>
      <c r="E219" s="5">
        <v>66</v>
      </c>
      <c r="F219" s="5">
        <v>50</v>
      </c>
      <c r="G219" s="5">
        <v>67</v>
      </c>
      <c r="H219" s="65">
        <f t="shared" si="13"/>
        <v>84.5</v>
      </c>
      <c r="I219" s="65"/>
      <c r="J219" s="65">
        <f t="shared" si="14"/>
        <v>1098.5</v>
      </c>
      <c r="K219" s="65"/>
      <c r="L219" s="65"/>
      <c r="M219" s="65">
        <f>_xlfn.VAR.S(D219:G219)</f>
        <v>421.66666666666669</v>
      </c>
      <c r="N219" s="65"/>
      <c r="O219" s="65">
        <f t="shared" si="15"/>
        <v>72.980769230769226</v>
      </c>
      <c r="P219" s="65"/>
      <c r="Q219" s="6">
        <f t="shared" si="16"/>
        <v>12333.75</v>
      </c>
    </row>
    <row r="220" spans="1:17" x14ac:dyDescent="0.3">
      <c r="A220" s="54">
        <v>31</v>
      </c>
      <c r="B220" s="55">
        <v>13</v>
      </c>
      <c r="C220" s="55">
        <v>4</v>
      </c>
      <c r="D220" s="56">
        <v>60</v>
      </c>
      <c r="E220" s="5">
        <v>155</v>
      </c>
      <c r="F220" s="5">
        <v>77</v>
      </c>
      <c r="G220" s="5">
        <v>80</v>
      </c>
      <c r="H220" s="65">
        <f t="shared" si="13"/>
        <v>105.5</v>
      </c>
      <c r="I220" s="65"/>
      <c r="J220" s="65">
        <f t="shared" si="14"/>
        <v>1371.5</v>
      </c>
      <c r="K220" s="65"/>
      <c r="L220" s="65"/>
      <c r="M220" s="65">
        <f>_xlfn.VAR.S(D220:G220)</f>
        <v>1786</v>
      </c>
      <c r="N220" s="65"/>
      <c r="O220" s="65">
        <f t="shared" si="15"/>
        <v>309.11538461538458</v>
      </c>
      <c r="P220" s="65"/>
      <c r="Q220" s="6">
        <f t="shared" si="16"/>
        <v>52240.499999999993</v>
      </c>
    </row>
    <row r="221" spans="1:17" x14ac:dyDescent="0.3">
      <c r="A221" s="54">
        <v>37</v>
      </c>
      <c r="B221" s="55">
        <v>10</v>
      </c>
      <c r="C221" s="55">
        <v>3</v>
      </c>
      <c r="D221" s="56">
        <v>78</v>
      </c>
      <c r="E221" s="5">
        <v>33</v>
      </c>
      <c r="F221" s="5">
        <v>230</v>
      </c>
      <c r="G221" s="5"/>
      <c r="H221" s="65">
        <f t="shared" si="13"/>
        <v>90.833333333333329</v>
      </c>
      <c r="I221" s="65"/>
      <c r="J221" s="65">
        <f t="shared" si="14"/>
        <v>908.33333333333326</v>
      </c>
      <c r="K221" s="65"/>
      <c r="L221" s="65"/>
      <c r="M221" s="65">
        <f>_xlfn.VAR.S(D221:F221)</f>
        <v>10656.333333333332</v>
      </c>
      <c r="N221" s="65"/>
      <c r="O221" s="65">
        <f t="shared" si="15"/>
        <v>2486.4777777777772</v>
      </c>
      <c r="P221" s="65"/>
      <c r="Q221" s="6">
        <f t="shared" si="16"/>
        <v>248647.77777777772</v>
      </c>
    </row>
    <row r="222" spans="1:17" x14ac:dyDescent="0.3">
      <c r="A222" s="54">
        <v>41</v>
      </c>
      <c r="B222" s="55">
        <v>12</v>
      </c>
      <c r="C222" s="55">
        <v>4</v>
      </c>
      <c r="D222" s="56">
        <v>78</v>
      </c>
      <c r="E222" s="5">
        <v>66</v>
      </c>
      <c r="F222" s="5">
        <v>60</v>
      </c>
      <c r="G222" s="5">
        <v>77</v>
      </c>
      <c r="H222" s="65">
        <f t="shared" si="13"/>
        <v>68</v>
      </c>
      <c r="I222" s="65"/>
      <c r="J222" s="65">
        <f t="shared" si="14"/>
        <v>816</v>
      </c>
      <c r="K222" s="65"/>
      <c r="L222" s="65"/>
      <c r="M222" s="65">
        <f>_xlfn.VAR.S(D222:G222)</f>
        <v>76.25</v>
      </c>
      <c r="N222" s="65"/>
      <c r="O222" s="65">
        <f t="shared" si="15"/>
        <v>12.708333333333334</v>
      </c>
      <c r="P222" s="65"/>
      <c r="Q222" s="6">
        <f t="shared" si="16"/>
        <v>1830</v>
      </c>
    </row>
    <row r="223" spans="1:17" x14ac:dyDescent="0.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6"/>
    </row>
    <row r="224" spans="1:17" x14ac:dyDescent="0.3">
      <c r="A224" s="4"/>
      <c r="B224" s="5"/>
      <c r="C224" s="5"/>
      <c r="D224" s="5"/>
      <c r="E224" s="5"/>
      <c r="F224" s="5"/>
      <c r="G224" s="5"/>
      <c r="H224" s="5"/>
      <c r="I224" s="21" t="s">
        <v>148</v>
      </c>
      <c r="J224" s="21"/>
      <c r="K224" s="21">
        <f>AVERAGE(J215:L222)</f>
        <v>764.65</v>
      </c>
      <c r="L224" s="5"/>
      <c r="M224" s="5"/>
      <c r="N224" s="5"/>
      <c r="O224" s="5"/>
      <c r="P224" s="5"/>
      <c r="Q224" s="6"/>
    </row>
    <row r="225" spans="1:17" x14ac:dyDescent="0.3">
      <c r="A225" s="4"/>
      <c r="B225" s="5"/>
      <c r="C225" s="5"/>
      <c r="D225" s="5"/>
      <c r="E225" s="5"/>
      <c r="F225" s="5"/>
      <c r="G225" s="5"/>
      <c r="H225" s="5"/>
      <c r="I225" s="21" t="s">
        <v>100</v>
      </c>
      <c r="J225" s="21"/>
      <c r="K225" s="21">
        <f>K224*47</f>
        <v>35938.549999999996</v>
      </c>
      <c r="L225" s="5"/>
      <c r="M225" s="5"/>
      <c r="N225" s="5"/>
      <c r="O225" s="5"/>
      <c r="P225" s="5"/>
      <c r="Q225" s="6"/>
    </row>
    <row r="226" spans="1:17" x14ac:dyDescent="0.3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</row>
    <row r="227" spans="1:17" ht="86.4" customHeight="1" x14ac:dyDescent="0.3">
      <c r="A227" s="4"/>
      <c r="B227" s="5"/>
      <c r="C227" s="5"/>
      <c r="D227" s="5"/>
      <c r="E227" s="5"/>
      <c r="F227" s="5"/>
      <c r="G227" s="5"/>
      <c r="H227" s="5"/>
      <c r="I227" s="66" t="s">
        <v>152</v>
      </c>
      <c r="J227" s="66"/>
      <c r="K227" s="57">
        <f>_xlfn.VAR.S(J215:L222)</f>
        <v>124047.81555555561</v>
      </c>
      <c r="L227" s="5"/>
      <c r="M227" s="5"/>
      <c r="N227" s="5"/>
      <c r="O227" s="5"/>
      <c r="P227" s="5"/>
      <c r="Q227" s="6"/>
    </row>
    <row r="228" spans="1:17" x14ac:dyDescent="0.3">
      <c r="A228" s="4"/>
      <c r="B228" s="5"/>
      <c r="C228" s="5"/>
      <c r="D228" s="5"/>
      <c r="E228" s="5"/>
      <c r="F228" s="5"/>
      <c r="G228" s="5"/>
      <c r="H228" s="5"/>
      <c r="I228" s="61" t="s">
        <v>153</v>
      </c>
      <c r="J228" s="61"/>
      <c r="K228" s="5">
        <f>47*47*(1/8-1/47)*K227</f>
        <v>28422455.739166681</v>
      </c>
      <c r="L228" s="5"/>
      <c r="M228" s="5"/>
      <c r="N228" s="5"/>
      <c r="O228" s="5"/>
      <c r="P228" s="5"/>
      <c r="Q228" s="6"/>
    </row>
    <row r="229" spans="1:17" x14ac:dyDescent="0.3">
      <c r="A229" s="4"/>
      <c r="B229" s="5"/>
      <c r="C229" s="5"/>
      <c r="D229" s="5"/>
      <c r="E229" s="5"/>
      <c r="F229" s="5"/>
      <c r="G229" s="5"/>
      <c r="H229" s="5"/>
      <c r="I229" s="61" t="s">
        <v>154</v>
      </c>
      <c r="J229" s="61"/>
      <c r="K229" s="5">
        <f>(47/8)*SUM(Q215:Q222)</f>
        <v>1931579.2769097218</v>
      </c>
      <c r="L229" s="5"/>
      <c r="M229" s="5"/>
      <c r="N229" s="5"/>
      <c r="O229" s="5"/>
      <c r="P229" s="5"/>
      <c r="Q229" s="6"/>
    </row>
    <row r="230" spans="1:17" x14ac:dyDescent="0.3">
      <c r="A230" s="4"/>
      <c r="B230" s="5"/>
      <c r="C230" s="5"/>
      <c r="D230" s="5"/>
      <c r="E230" s="5"/>
      <c r="F230" s="5"/>
      <c r="G230" s="5"/>
      <c r="H230" s="5"/>
      <c r="I230" s="61" t="s">
        <v>155</v>
      </c>
      <c r="J230" s="61"/>
      <c r="K230" s="5">
        <f>K228+K229</f>
        <v>30354035.016076401</v>
      </c>
      <c r="L230" s="5"/>
      <c r="M230" s="5"/>
      <c r="N230" s="5"/>
      <c r="O230" s="5"/>
      <c r="P230" s="5"/>
      <c r="Q230" s="6"/>
    </row>
    <row r="231" spans="1:17" x14ac:dyDescent="0.3">
      <c r="A231" s="4"/>
      <c r="B231" s="5"/>
      <c r="C231" s="5"/>
      <c r="D231" s="5"/>
      <c r="E231" s="5"/>
      <c r="F231" s="5"/>
      <c r="G231" s="5"/>
      <c r="H231" s="5"/>
      <c r="I231" s="61" t="s">
        <v>156</v>
      </c>
      <c r="J231" s="61"/>
      <c r="K231" s="5">
        <f>SQRT(K230)</f>
        <v>5509.4496109934971</v>
      </c>
      <c r="L231" s="5"/>
      <c r="M231" s="5"/>
      <c r="N231" s="5"/>
      <c r="O231" s="5"/>
      <c r="P231" s="5"/>
      <c r="Q231" s="6"/>
    </row>
    <row r="232" spans="1:17" x14ac:dyDescent="0.3">
      <c r="A232" s="4"/>
      <c r="B232" s="5"/>
      <c r="C232" s="5"/>
      <c r="D232" s="5"/>
      <c r="E232" s="5"/>
      <c r="F232" s="5"/>
      <c r="G232" s="5"/>
      <c r="H232" s="5"/>
      <c r="I232" s="61" t="s">
        <v>157</v>
      </c>
      <c r="J232" s="61"/>
      <c r="K232" s="5">
        <f>K231/K225*100</f>
        <v>15.330194487516879</v>
      </c>
      <c r="L232" s="5"/>
      <c r="M232" s="5"/>
      <c r="N232" s="5"/>
      <c r="O232" s="5"/>
      <c r="P232" s="5"/>
      <c r="Q232" s="6"/>
    </row>
    <row r="233" spans="1:17" x14ac:dyDescent="0.3">
      <c r="A233" s="4"/>
      <c r="B233" s="5"/>
      <c r="C233" s="5"/>
      <c r="D233" s="5"/>
      <c r="E233" s="5"/>
      <c r="F233" s="5"/>
      <c r="G233" s="5"/>
      <c r="H233" s="5"/>
      <c r="I233" s="61" t="s">
        <v>158</v>
      </c>
      <c r="J233" s="61"/>
      <c r="K233" s="5">
        <f>K225-1.96*K231</f>
        <v>25140.028762452741</v>
      </c>
      <c r="L233" s="5"/>
      <c r="M233" s="5"/>
      <c r="N233" s="5"/>
      <c r="O233" s="5"/>
      <c r="P233" s="5"/>
      <c r="Q233" s="6"/>
    </row>
    <row r="234" spans="1:17" ht="15" thickBot="1" x14ac:dyDescent="0.35">
      <c r="A234" s="9"/>
      <c r="B234" s="10"/>
      <c r="C234" s="10"/>
      <c r="D234" s="10"/>
      <c r="E234" s="10"/>
      <c r="F234" s="10"/>
      <c r="G234" s="10"/>
      <c r="H234" s="10"/>
      <c r="I234" s="68" t="s">
        <v>159</v>
      </c>
      <c r="J234" s="68"/>
      <c r="K234" s="10">
        <f>K225+1.96*K231</f>
        <v>46737.07123754725</v>
      </c>
      <c r="L234" s="10"/>
      <c r="M234" s="10"/>
      <c r="N234" s="10"/>
      <c r="O234" s="10"/>
      <c r="P234" s="10"/>
      <c r="Q234" s="11"/>
    </row>
    <row r="235" spans="1:17" ht="15" thickBot="1" x14ac:dyDescent="0.35"/>
    <row r="236" spans="1:17" x14ac:dyDescent="0.3">
      <c r="A236" s="62" t="s">
        <v>160</v>
      </c>
      <c r="B236" s="63"/>
      <c r="C236" s="63"/>
      <c r="D236" s="2"/>
      <c r="E236" s="2"/>
      <c r="F236" s="2"/>
      <c r="G236" s="2"/>
      <c r="H236" s="2"/>
      <c r="I236" s="3"/>
    </row>
    <row r="237" spans="1:17" x14ac:dyDescent="0.3">
      <c r="A237" s="4"/>
      <c r="B237" s="21" t="s">
        <v>161</v>
      </c>
      <c r="C237" s="21" t="s">
        <v>162</v>
      </c>
      <c r="D237" s="21" t="s">
        <v>163</v>
      </c>
      <c r="E237" s="21" t="s">
        <v>164</v>
      </c>
      <c r="F237" s="5"/>
      <c r="G237" s="5"/>
      <c r="H237" s="5"/>
      <c r="I237" s="6"/>
    </row>
    <row r="238" spans="1:17" x14ac:dyDescent="0.3">
      <c r="A238" s="4"/>
      <c r="B238" s="5">
        <v>1</v>
      </c>
      <c r="C238" s="5">
        <v>295260</v>
      </c>
      <c r="D238" s="70" t="s">
        <v>165</v>
      </c>
      <c r="E238" s="5">
        <v>220</v>
      </c>
      <c r="F238" s="5"/>
      <c r="G238" s="5"/>
      <c r="H238" s="5"/>
      <c r="I238" s="6"/>
    </row>
    <row r="239" spans="1:17" x14ac:dyDescent="0.3">
      <c r="A239" s="4"/>
      <c r="B239" s="5">
        <v>2</v>
      </c>
      <c r="C239" s="5">
        <v>259935</v>
      </c>
      <c r="D239" s="70" t="s">
        <v>165</v>
      </c>
      <c r="E239" s="5">
        <v>195</v>
      </c>
      <c r="F239" s="5"/>
      <c r="G239" s="5"/>
      <c r="H239" s="5"/>
      <c r="I239" s="6"/>
    </row>
    <row r="240" spans="1:17" x14ac:dyDescent="0.3">
      <c r="A240" s="4"/>
      <c r="B240" s="5">
        <v>3</v>
      </c>
      <c r="C240" s="5">
        <v>294593</v>
      </c>
      <c r="D240" s="70" t="s">
        <v>165</v>
      </c>
      <c r="E240" s="5">
        <v>221</v>
      </c>
      <c r="F240" s="5"/>
      <c r="G240" s="5"/>
      <c r="H240" s="5"/>
      <c r="I240" s="6"/>
    </row>
    <row r="241" spans="1:9" x14ac:dyDescent="0.3">
      <c r="A241" s="4"/>
      <c r="B241" s="5">
        <v>4</v>
      </c>
      <c r="C241" s="5">
        <v>253604</v>
      </c>
      <c r="D241" s="70" t="s">
        <v>165</v>
      </c>
      <c r="E241" s="5">
        <v>188</v>
      </c>
      <c r="F241" s="5"/>
      <c r="G241" s="5"/>
      <c r="H241" s="5"/>
      <c r="I241" s="6"/>
    </row>
    <row r="242" spans="1:9" x14ac:dyDescent="0.3">
      <c r="A242" s="4"/>
      <c r="B242" s="5">
        <v>5</v>
      </c>
      <c r="C242" s="58" t="s">
        <v>167</v>
      </c>
      <c r="D242" s="70" t="s">
        <v>165</v>
      </c>
      <c r="E242" s="5">
        <v>208</v>
      </c>
      <c r="F242" s="5"/>
      <c r="G242" s="5"/>
      <c r="H242" s="5"/>
      <c r="I242" s="6"/>
    </row>
    <row r="243" spans="1:9" x14ac:dyDescent="0.3">
      <c r="A243" s="4"/>
      <c r="B243" s="5">
        <v>6</v>
      </c>
      <c r="C243" s="5">
        <v>520534</v>
      </c>
      <c r="D243" s="70" t="s">
        <v>166</v>
      </c>
      <c r="E243" s="5">
        <v>398</v>
      </c>
      <c r="F243" s="5"/>
      <c r="G243" s="5"/>
      <c r="H243" s="5"/>
      <c r="I243" s="6"/>
    </row>
    <row r="244" spans="1:9" x14ac:dyDescent="0.3">
      <c r="A244" s="4"/>
      <c r="B244" s="5">
        <v>7</v>
      </c>
      <c r="C244" s="58" t="s">
        <v>168</v>
      </c>
      <c r="D244" s="70" t="s">
        <v>166</v>
      </c>
      <c r="E244" s="5">
        <v>435</v>
      </c>
      <c r="F244" s="5"/>
      <c r="G244" s="5"/>
      <c r="H244" s="5"/>
      <c r="I244" s="6"/>
    </row>
    <row r="245" spans="1:9" x14ac:dyDescent="0.3">
      <c r="A245" s="4"/>
      <c r="B245" s="5">
        <v>8</v>
      </c>
      <c r="C245" s="5">
        <v>559855</v>
      </c>
      <c r="D245" s="70" t="s">
        <v>166</v>
      </c>
      <c r="E245" s="5">
        <v>375</v>
      </c>
      <c r="F245" s="5"/>
      <c r="G245" s="5"/>
      <c r="H245" s="5"/>
      <c r="I245" s="6"/>
    </row>
    <row r="246" spans="1:9" x14ac:dyDescent="0.3">
      <c r="A246" s="4"/>
      <c r="B246" s="5">
        <v>9</v>
      </c>
      <c r="C246" s="5">
        <v>574528</v>
      </c>
      <c r="D246" s="70" t="s">
        <v>166</v>
      </c>
      <c r="E246" s="5">
        <v>416</v>
      </c>
      <c r="F246" s="5"/>
      <c r="G246" s="5"/>
      <c r="H246" s="5"/>
      <c r="I246" s="6"/>
    </row>
    <row r="247" spans="1:9" ht="15" thickBot="1" x14ac:dyDescent="0.35">
      <c r="A247" s="4"/>
      <c r="B247" s="5">
        <v>10</v>
      </c>
      <c r="C247" s="5">
        <v>561865</v>
      </c>
      <c r="D247" s="70" t="s">
        <v>166</v>
      </c>
      <c r="E247" s="5">
        <v>405</v>
      </c>
      <c r="F247" s="5"/>
      <c r="G247" s="5"/>
      <c r="H247" s="5"/>
      <c r="I247" s="6"/>
    </row>
    <row r="248" spans="1:9" x14ac:dyDescent="0.3">
      <c r="A248" s="69" t="s">
        <v>169</v>
      </c>
      <c r="B248" s="63" t="s">
        <v>170</v>
      </c>
      <c r="C248" s="63"/>
      <c r="D248" s="63"/>
      <c r="E248" s="2"/>
      <c r="F248" s="2"/>
      <c r="G248" s="2"/>
      <c r="H248" s="3"/>
      <c r="I248" s="6"/>
    </row>
    <row r="249" spans="1:9" x14ac:dyDescent="0.3">
      <c r="A249" s="33" t="s">
        <v>161</v>
      </c>
      <c r="B249" s="21" t="s">
        <v>162</v>
      </c>
      <c r="C249" s="21" t="s">
        <v>163</v>
      </c>
      <c r="D249" s="21" t="s">
        <v>164</v>
      </c>
      <c r="E249" s="5"/>
      <c r="F249" s="5">
        <v>295260</v>
      </c>
      <c r="G249" s="5"/>
      <c r="H249" s="6">
        <v>520534</v>
      </c>
      <c r="I249" s="6"/>
    </row>
    <row r="250" spans="1:9" x14ac:dyDescent="0.3">
      <c r="A250" s="4">
        <v>1</v>
      </c>
      <c r="B250" s="5">
        <v>295260</v>
      </c>
      <c r="C250" s="70" t="s">
        <v>165</v>
      </c>
      <c r="D250" s="5">
        <v>220</v>
      </c>
      <c r="E250" s="5"/>
      <c r="F250" s="5">
        <v>259935</v>
      </c>
      <c r="G250" s="5"/>
      <c r="H250" s="6">
        <v>559855</v>
      </c>
      <c r="I250" s="6"/>
    </row>
    <row r="251" spans="1:9" x14ac:dyDescent="0.3">
      <c r="A251" s="4">
        <v>2</v>
      </c>
      <c r="B251" s="5">
        <v>259935</v>
      </c>
      <c r="C251" s="70" t="s">
        <v>165</v>
      </c>
      <c r="D251" s="5">
        <v>195</v>
      </c>
      <c r="E251" s="5"/>
      <c r="F251" s="5">
        <v>294593</v>
      </c>
      <c r="G251" s="5"/>
      <c r="H251" s="6">
        <v>574528</v>
      </c>
      <c r="I251" s="6"/>
    </row>
    <row r="252" spans="1:9" x14ac:dyDescent="0.3">
      <c r="A252" s="4">
        <v>3</v>
      </c>
      <c r="B252" s="5">
        <v>294593</v>
      </c>
      <c r="C252" s="70" t="s">
        <v>165</v>
      </c>
      <c r="D252" s="5">
        <v>221</v>
      </c>
      <c r="E252" s="5"/>
      <c r="F252" s="5">
        <v>253604</v>
      </c>
      <c r="G252" s="5"/>
      <c r="H252" s="6">
        <v>561865</v>
      </c>
      <c r="I252" s="6"/>
    </row>
    <row r="253" spans="1:9" x14ac:dyDescent="0.3">
      <c r="A253" s="4">
        <v>4</v>
      </c>
      <c r="B253" s="5">
        <v>253604</v>
      </c>
      <c r="C253" s="70" t="s">
        <v>165</v>
      </c>
      <c r="D253" s="5">
        <v>188</v>
      </c>
      <c r="E253" s="21" t="s">
        <v>171</v>
      </c>
      <c r="F253" s="21">
        <f>AVERAGE(F249:F252)</f>
        <v>275848</v>
      </c>
      <c r="G253" s="21" t="s">
        <v>172</v>
      </c>
      <c r="H253" s="36">
        <f>AVERAGE(H249:H252)</f>
        <v>554195.5</v>
      </c>
      <c r="I253" s="6"/>
    </row>
    <row r="254" spans="1:9" x14ac:dyDescent="0.3">
      <c r="A254" s="4">
        <v>5</v>
      </c>
      <c r="B254" s="21">
        <f>AVERAGE(B250:B253)</f>
        <v>275848</v>
      </c>
      <c r="C254" s="70" t="s">
        <v>165</v>
      </c>
      <c r="D254" s="5">
        <v>208</v>
      </c>
      <c r="E254" s="5"/>
      <c r="F254" s="5"/>
      <c r="G254" s="5"/>
      <c r="H254" s="6"/>
      <c r="I254" s="6"/>
    </row>
    <row r="255" spans="1:9" x14ac:dyDescent="0.3">
      <c r="A255" s="4">
        <v>6</v>
      </c>
      <c r="B255" s="5">
        <v>520534</v>
      </c>
      <c r="C255" s="70" t="s">
        <v>166</v>
      </c>
      <c r="D255" s="5">
        <v>398</v>
      </c>
      <c r="E255" s="21" t="s">
        <v>173</v>
      </c>
      <c r="F255" s="21">
        <f>AVERAGE(B250:B259)</f>
        <v>393216.67499999999</v>
      </c>
      <c r="G255" s="5"/>
      <c r="H255" s="6"/>
      <c r="I255" s="6"/>
    </row>
    <row r="256" spans="1:9" x14ac:dyDescent="0.3">
      <c r="A256" s="4">
        <v>7</v>
      </c>
      <c r="B256" s="21">
        <f>AVERAGE(B252:B255)</f>
        <v>336144.75</v>
      </c>
      <c r="C256" s="70" t="s">
        <v>166</v>
      </c>
      <c r="D256" s="5">
        <v>435</v>
      </c>
      <c r="E256" s="21" t="s">
        <v>174</v>
      </c>
      <c r="F256" s="21">
        <f>_xlfn.VAR.S(B250:B259)</f>
        <v>19878282284.000706</v>
      </c>
      <c r="G256" s="5"/>
      <c r="H256" s="6"/>
      <c r="I256" s="6"/>
    </row>
    <row r="257" spans="1:9" x14ac:dyDescent="0.3">
      <c r="A257" s="4">
        <v>8</v>
      </c>
      <c r="B257" s="5">
        <v>559855</v>
      </c>
      <c r="C257" s="70" t="s">
        <v>166</v>
      </c>
      <c r="D257" s="5">
        <v>375</v>
      </c>
      <c r="E257" s="21" t="s">
        <v>86</v>
      </c>
      <c r="F257" s="21">
        <f>SQRT(F256)</f>
        <v>140990.36237984747</v>
      </c>
      <c r="G257" s="5"/>
      <c r="H257" s="6"/>
      <c r="I257" s="6"/>
    </row>
    <row r="258" spans="1:9" x14ac:dyDescent="0.3">
      <c r="A258" s="4">
        <v>9</v>
      </c>
      <c r="B258" s="5">
        <v>574528</v>
      </c>
      <c r="C258" s="70" t="s">
        <v>166</v>
      </c>
      <c r="D258" s="5">
        <v>416</v>
      </c>
      <c r="E258" s="21" t="s">
        <v>41</v>
      </c>
      <c r="F258" s="21">
        <f>F257/F255*100</f>
        <v>35.855641773037085</v>
      </c>
      <c r="G258" s="5"/>
      <c r="H258" s="6"/>
      <c r="I258" s="6"/>
    </row>
    <row r="259" spans="1:9" x14ac:dyDescent="0.3">
      <c r="A259" s="4">
        <v>10</v>
      </c>
      <c r="B259" s="5">
        <v>561865</v>
      </c>
      <c r="C259" s="70" t="s">
        <v>166</v>
      </c>
      <c r="D259" s="5">
        <v>405</v>
      </c>
      <c r="E259" s="21" t="s">
        <v>175</v>
      </c>
      <c r="F259" s="21">
        <f>F255-1.96*F257</f>
        <v>116875.56473549892</v>
      </c>
      <c r="G259" s="5"/>
      <c r="H259" s="6"/>
      <c r="I259" s="6"/>
    </row>
    <row r="260" spans="1:9" ht="15" thickBot="1" x14ac:dyDescent="0.35">
      <c r="A260" s="9"/>
      <c r="B260" s="10"/>
      <c r="C260" s="10"/>
      <c r="D260" s="10"/>
      <c r="E260" s="39" t="s">
        <v>176</v>
      </c>
      <c r="F260" s="39">
        <f>F255+1.96*F257</f>
        <v>669557.78526450112</v>
      </c>
      <c r="G260" s="10"/>
      <c r="H260" s="11"/>
      <c r="I260" s="11"/>
    </row>
  </sheetData>
  <mergeCells count="51">
    <mergeCell ref="B248:D248"/>
    <mergeCell ref="I233:J233"/>
    <mergeCell ref="I234:J234"/>
    <mergeCell ref="A236:C236"/>
    <mergeCell ref="I228:J228"/>
    <mergeCell ref="I229:J229"/>
    <mergeCell ref="I230:J230"/>
    <mergeCell ref="I231:J231"/>
    <mergeCell ref="I232:J232"/>
    <mergeCell ref="O219:P219"/>
    <mergeCell ref="O220:P220"/>
    <mergeCell ref="O221:P221"/>
    <mergeCell ref="O222:P222"/>
    <mergeCell ref="I227:J227"/>
    <mergeCell ref="J219:L219"/>
    <mergeCell ref="J220:L220"/>
    <mergeCell ref="J221:L221"/>
    <mergeCell ref="J222:L222"/>
    <mergeCell ref="M220:N220"/>
    <mergeCell ref="M221:N221"/>
    <mergeCell ref="M222:N222"/>
    <mergeCell ref="O214:P214"/>
    <mergeCell ref="O215:P215"/>
    <mergeCell ref="O216:P216"/>
    <mergeCell ref="O217:P217"/>
    <mergeCell ref="O218:P218"/>
    <mergeCell ref="M214:N214"/>
    <mergeCell ref="M215:N215"/>
    <mergeCell ref="M216:N216"/>
    <mergeCell ref="M218:N218"/>
    <mergeCell ref="M219:N219"/>
    <mergeCell ref="M217:N217"/>
    <mergeCell ref="H219:I219"/>
    <mergeCell ref="H220:I220"/>
    <mergeCell ref="H221:I221"/>
    <mergeCell ref="H222:I222"/>
    <mergeCell ref="J214:L214"/>
    <mergeCell ref="J215:L215"/>
    <mergeCell ref="J216:L216"/>
    <mergeCell ref="J217:L217"/>
    <mergeCell ref="J218:L218"/>
    <mergeCell ref="D214:G214"/>
    <mergeCell ref="H215:I215"/>
    <mergeCell ref="H216:I216"/>
    <mergeCell ref="H217:I217"/>
    <mergeCell ref="H218:I218"/>
    <mergeCell ref="I202:J202"/>
    <mergeCell ref="A150:E150"/>
    <mergeCell ref="I200:J200"/>
    <mergeCell ref="I201:J201"/>
    <mergeCell ref="A213:D2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FELIX</cp:lastModifiedBy>
  <dcterms:created xsi:type="dcterms:W3CDTF">2020-02-29T14:47:05Z</dcterms:created>
  <dcterms:modified xsi:type="dcterms:W3CDTF">2020-04-17T20:50:32Z</dcterms:modified>
</cp:coreProperties>
</file>