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onth End Financials\2021\07 July\Monte Vista\"/>
    </mc:Choice>
  </mc:AlternateContent>
  <xr:revisionPtr revIDLastSave="0" documentId="13_ncr:1_{F5293FCA-57BB-4DDB-90B2-CA9FD92B9224}" xr6:coauthVersionLast="47" xr6:coauthVersionMax="47" xr10:uidLastSave="{00000000-0000-0000-0000-000000000000}"/>
  <bookViews>
    <workbookView xWindow="780" yWindow="780" windowWidth="21600" windowHeight="11385" xr2:uid="{71AC26C2-6C76-4289-A92F-0A95F1C7B3ED}"/>
  </bookViews>
  <sheets>
    <sheet name="Detailed Income T12" sheetId="1" r:id="rId1"/>
  </sheets>
  <definedNames>
    <definedName name="_xlnm.Print_Titles" localSheetId="0">'Detailed Income T12'!$1:$6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2" i="1" l="1"/>
  <c r="M202" i="1"/>
  <c r="L202" i="1"/>
  <c r="K202" i="1"/>
  <c r="J202" i="1"/>
  <c r="I202" i="1"/>
  <c r="H202" i="1"/>
  <c r="G202" i="1"/>
  <c r="F202" i="1"/>
  <c r="E202" i="1"/>
  <c r="D202" i="1"/>
  <c r="C202" i="1"/>
  <c r="B202" i="1"/>
  <c r="N200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N195" i="1"/>
  <c r="N194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N189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N184" i="1"/>
  <c r="N183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N178" i="1"/>
  <c r="N177" i="1"/>
  <c r="N176" i="1"/>
  <c r="N175" i="1"/>
  <c r="N174" i="1"/>
  <c r="N173" i="1"/>
  <c r="N172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N161" i="1"/>
  <c r="N160" i="1"/>
  <c r="N159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N154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N149" i="1"/>
  <c r="N148" i="1"/>
  <c r="N147" i="1"/>
  <c r="N146" i="1"/>
  <c r="N145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N140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N95" i="1"/>
  <c r="N94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N89" i="1"/>
  <c r="N88" i="1"/>
  <c r="N87" i="1"/>
  <c r="N86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N80" i="1"/>
  <c r="N79" i="1"/>
  <c r="N78" i="1"/>
  <c r="N77" i="1"/>
  <c r="N76" i="1"/>
  <c r="N75" i="1"/>
  <c r="N74" i="1"/>
  <c r="N73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N46" i="1"/>
  <c r="N45" i="1"/>
  <c r="N44" i="1"/>
  <c r="N43" i="1"/>
  <c r="N42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5" i="1"/>
  <c r="N14" i="1"/>
  <c r="N13" i="1"/>
  <c r="N12" i="1"/>
  <c r="N11" i="1"/>
  <c r="N10" i="1"/>
</calcChain>
</file>

<file path=xl/sharedStrings.xml><?xml version="1.0" encoding="utf-8"?>
<sst xmlns="http://schemas.openxmlformats.org/spreadsheetml/2006/main" count="175" uniqueCount="167">
  <si>
    <t/>
  </si>
  <si>
    <t>Monte Vista</t>
  </si>
  <si>
    <t>Detailed Income Statement - T12</t>
  </si>
  <si>
    <t>For the Twelve Months Ending July 31, 2021</t>
  </si>
  <si>
    <t xml:space="preserve">
</t>
  </si>
  <si>
    <t xml:space="preserve">JUL PY
</t>
  </si>
  <si>
    <t xml:space="preserve">AUG PY
</t>
  </si>
  <si>
    <t xml:space="preserve">SEP PY
</t>
  </si>
  <si>
    <t xml:space="preserve">OCT PY
</t>
  </si>
  <si>
    <t xml:space="preserve">NOV PY
</t>
  </si>
  <si>
    <t xml:space="preserve">DEC PY
</t>
  </si>
  <si>
    <t xml:space="preserve">JAN CY
</t>
  </si>
  <si>
    <t xml:space="preserve">FEB CY
</t>
  </si>
  <si>
    <t xml:space="preserve">MAR CY
</t>
  </si>
  <si>
    <t xml:space="preserve">APR CY
</t>
  </si>
  <si>
    <t xml:space="preserve">MAY CY
</t>
  </si>
  <si>
    <t xml:space="preserve">JUN CY
</t>
  </si>
  <si>
    <t xml:space="preserve">TOTAL
</t>
  </si>
  <si>
    <t>INCOME</t>
  </si>
  <si>
    <t>Rental Income</t>
  </si>
  <si>
    <t>Gross Rent</t>
  </si>
  <si>
    <t>Loss/Gain to Lease</t>
  </si>
  <si>
    <t>Vacancy</t>
  </si>
  <si>
    <t>Bad Debt</t>
  </si>
  <si>
    <t>Bad Debt Recovery</t>
  </si>
  <si>
    <t>Rent Concessions</t>
  </si>
  <si>
    <t>Total Rental Income</t>
  </si>
  <si>
    <t>Other Income</t>
  </si>
  <si>
    <t>Month to Month Fee</t>
  </si>
  <si>
    <t>Vending</t>
  </si>
  <si>
    <t>Pet Fee Income</t>
  </si>
  <si>
    <t>Tenant Screening Fees</t>
  </si>
  <si>
    <t>Lease Buyout Fee</t>
  </si>
  <si>
    <t>Utility Income</t>
  </si>
  <si>
    <t>Laundry Income</t>
  </si>
  <si>
    <t>Misc. Property Income</t>
  </si>
  <si>
    <t>Damages</t>
  </si>
  <si>
    <t>Cleaning Reimbursement Income</t>
  </si>
  <si>
    <t>Security Deposits Forfeited</t>
  </si>
  <si>
    <t>Late Fees</t>
  </si>
  <si>
    <t>NSF Fees</t>
  </si>
  <si>
    <t>Total Other Income</t>
  </si>
  <si>
    <t>TOTAL INCOME</t>
  </si>
  <si>
    <t>EXPENSES</t>
  </si>
  <si>
    <t>Marketing and Retention</t>
  </si>
  <si>
    <t>Internet Advertising</t>
  </si>
  <si>
    <t>Misc. Marketing</t>
  </si>
  <si>
    <t>Activities</t>
  </si>
  <si>
    <t>Hospitality</t>
  </si>
  <si>
    <t>Uniforms</t>
  </si>
  <si>
    <t>Total Marketing and Retention</t>
  </si>
  <si>
    <t>Administration</t>
  </si>
  <si>
    <t>Postage</t>
  </si>
  <si>
    <t>Answering Machine/Service</t>
  </si>
  <si>
    <t>Overnight Mail</t>
  </si>
  <si>
    <t>Equipment Lease/Rental</t>
  </si>
  <si>
    <t>Association Fees</t>
  </si>
  <si>
    <t>Meals</t>
  </si>
  <si>
    <t>Travel Reimbursements</t>
  </si>
  <si>
    <t>Office Telephone</t>
  </si>
  <si>
    <t>Rente Protection</t>
  </si>
  <si>
    <t>Other Admin.</t>
  </si>
  <si>
    <t>Professional Fees</t>
  </si>
  <si>
    <t>Computer/Modem</t>
  </si>
  <si>
    <t>Training</t>
  </si>
  <si>
    <t>Paper Supplies</t>
  </si>
  <si>
    <t>Printed Forms</t>
  </si>
  <si>
    <t>Other Supplies</t>
  </si>
  <si>
    <t>Bank Charges</t>
  </si>
  <si>
    <t>Total Administration</t>
  </si>
  <si>
    <t>Apartment Turnover</t>
  </si>
  <si>
    <t>Turnover Flooring Replacement</t>
  </si>
  <si>
    <t>Drape/Blind/Window Rep/Replace</t>
  </si>
  <si>
    <t>HVAC/Water Htr Repair/Repl</t>
  </si>
  <si>
    <t>Turnover Appliances</t>
  </si>
  <si>
    <t>Signage Repair/Replacement</t>
  </si>
  <si>
    <t>Turnover Cleaning</t>
  </si>
  <si>
    <t>Turnover Painting</t>
  </si>
  <si>
    <t>Turnover Carpet Cleaning</t>
  </si>
  <si>
    <t>Total Apartment Turnover</t>
  </si>
  <si>
    <t>Landscaping</t>
  </si>
  <si>
    <t>Landscape Supplies</t>
  </si>
  <si>
    <t>Landscape Monthly Contract</t>
  </si>
  <si>
    <t>Landscape Seasonal Services</t>
  </si>
  <si>
    <t>Landscape Irrigation Repairs</t>
  </si>
  <si>
    <t>Total Landscaping</t>
  </si>
  <si>
    <t>Security Services</t>
  </si>
  <si>
    <t>Security Supplies</t>
  </si>
  <si>
    <t>Security &amp; Alarm Services</t>
  </si>
  <si>
    <t>Total Security Services</t>
  </si>
  <si>
    <t>Repairs and Maintenance</t>
  </si>
  <si>
    <t>Pool Supplies</t>
  </si>
  <si>
    <t>Plumbing Supplies</t>
  </si>
  <si>
    <t>Appliance Supplies</t>
  </si>
  <si>
    <t>Electrical  Supplies</t>
  </si>
  <si>
    <t>Cleaning  Supplies</t>
  </si>
  <si>
    <t>HVAC Supplies</t>
  </si>
  <si>
    <t>Hardware Supplies</t>
  </si>
  <si>
    <t>Key &amp; Lock Supplies</t>
  </si>
  <si>
    <t>Equipment Supplies</t>
  </si>
  <si>
    <t>Glass &amp; Screen Supplies</t>
  </si>
  <si>
    <t>Parking Lot Supplies</t>
  </si>
  <si>
    <t>Miscellaneous Contract Repairs</t>
  </si>
  <si>
    <t>HVAC Services</t>
  </si>
  <si>
    <t>Plumbing Services</t>
  </si>
  <si>
    <t>Painting Services</t>
  </si>
  <si>
    <t>Carpet Cleaning Services</t>
  </si>
  <si>
    <t>Cleaning Services</t>
  </si>
  <si>
    <t>Extinguisher Services</t>
  </si>
  <si>
    <t>Countertop, Tub&amp;ShowerServices</t>
  </si>
  <si>
    <t>Pest Control Service</t>
  </si>
  <si>
    <t>Total Repairs and Maintenance</t>
  </si>
  <si>
    <t>Payroll and Benefits</t>
  </si>
  <si>
    <t>Manager Salary</t>
  </si>
  <si>
    <t>Leasing Salaries</t>
  </si>
  <si>
    <t>Admin/Leasing Bonuses</t>
  </si>
  <si>
    <t>Portfolio Manager</t>
  </si>
  <si>
    <t>Maintenance Supervisor Labor</t>
  </si>
  <si>
    <t>Assistant Maintenance Labor</t>
  </si>
  <si>
    <t>Admin. Medical Insurance</t>
  </si>
  <si>
    <t>Admin/leasing Payroll Taxes</t>
  </si>
  <si>
    <t>R&amp;M Payroll Taxes</t>
  </si>
  <si>
    <t>R&amp;M Medical Insurance</t>
  </si>
  <si>
    <t>Human Resource Pro-Rate</t>
  </si>
  <si>
    <t>PPP Funds-Payroll</t>
  </si>
  <si>
    <t>Total Payroll and Benefits</t>
  </si>
  <si>
    <t>Managemenet Fees</t>
  </si>
  <si>
    <t>Management Fees</t>
  </si>
  <si>
    <t>Total Management Fees</t>
  </si>
  <si>
    <t>Utilities</t>
  </si>
  <si>
    <t>Common Area Water</t>
  </si>
  <si>
    <t>Sewer</t>
  </si>
  <si>
    <t>Common Area Gas</t>
  </si>
  <si>
    <t>Common Area Electricity</t>
  </si>
  <si>
    <t>Waste Disposal</t>
  </si>
  <si>
    <t>Total Utilities</t>
  </si>
  <si>
    <t>Insurance</t>
  </si>
  <si>
    <t>Liability &amp; Casualty Insurance</t>
  </si>
  <si>
    <t>Total Insurance</t>
  </si>
  <si>
    <t>Taxes Permits &amp; Licenses</t>
  </si>
  <si>
    <t>Real Property Taxes</t>
  </si>
  <si>
    <t>Workers Compensation</t>
  </si>
  <si>
    <t>Permits &amp; Licenses</t>
  </si>
  <si>
    <t>Total Taxes Permits &amp; Licenses</t>
  </si>
  <si>
    <t>TOTAL OPERATING EXPENSES</t>
  </si>
  <si>
    <t>NET OPERATING INCOME</t>
  </si>
  <si>
    <t>Non-Operating Partnership Costs</t>
  </si>
  <si>
    <t>HVAC/Water Heater Replacement</t>
  </si>
  <si>
    <t>Capital Labor Costs</t>
  </si>
  <si>
    <t>Club House Redecorating</t>
  </si>
  <si>
    <t>General Exterior</t>
  </si>
  <si>
    <t>Roof Repairs</t>
  </si>
  <si>
    <t>Asphalt/Concrete Repairs</t>
  </si>
  <si>
    <t>Total Non-Operating Partnership Costs</t>
  </si>
  <si>
    <t>Debt Service</t>
  </si>
  <si>
    <t>Debt Service - Interest Only</t>
  </si>
  <si>
    <t>Mortgage Principal</t>
  </si>
  <si>
    <t>Total Debt Service</t>
  </si>
  <si>
    <t>Depreciation/Amortization</t>
  </si>
  <si>
    <t>Mortgage Principal Amort</t>
  </si>
  <si>
    <t>Total Depreciation/Amortization</t>
  </si>
  <si>
    <t>Capital Improvements/Replacements</t>
  </si>
  <si>
    <t>Signage</t>
  </si>
  <si>
    <t>Building &amp; Imprvmnts-Curr Yr</t>
  </si>
  <si>
    <t>Total Capital Improvements/Replacements</t>
  </si>
  <si>
    <t>Total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</si>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</sst>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Arial Narrow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right"/>
    </xf>
    <xf numFmtId="164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right"/>
    </xf>
    <xf numFmtId="49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right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 wrapText="1"/>
    </xf>
    <xf numFmtId="49" fontId="5" fillId="0" borderId="4" xfId="0" applyNumberFormat="1" applyFont="1" applyBorder="1" applyAlignment="1">
      <alignment horizontal="left" wrapText="1"/>
    </xf>
    <xf numFmtId="49" fontId="6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954E-73D2-4EA5-8C57-593A455EF1FD}">
  <dimension ref="A1:N203"/>
  <sheetViews>
    <sheetView tabSelected="1" topLeftCell="A121" zoomScaleNormal="100" workbookViewId="0">
      <selection activeCell="A171" sqref="A171"/>
    </sheetView>
  </sheetViews>
  <sheetFormatPr defaultRowHeight="10.5" x14ac:dyDescent="0.15"/>
  <cols>
    <col min="1" max="1" width="25.7109375" style="2" customWidth="1"/>
    <col min="2" max="14" width="7.7109375" style="2" customWidth="1"/>
    <col min="15" max="16384" width="9.140625" style="2"/>
  </cols>
  <sheetData>
    <row r="1" spans="1:14" s="1" customFormat="1" ht="11.25" x14ac:dyDescent="0.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s="4" customFormat="1" ht="12.7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s="4" customFormat="1" ht="12.75" x14ac:dyDescent="0.2">
      <c r="A3" s="18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s="4" customFormat="1" ht="12.75" x14ac:dyDescent="0.2">
      <c r="A4" s="18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s="4" customFormat="1" ht="13.5" thickBot="1" x14ac:dyDescent="0.25">
      <c r="A5" s="19" t="s">
        <v>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s="5" customFormat="1" ht="25.5" x14ac:dyDescent="0.25">
      <c r="A6" s="20" t="s">
        <v>4</v>
      </c>
      <c r="B6" s="21" t="s">
        <v>5</v>
      </c>
      <c r="C6" s="21" t="s">
        <v>6</v>
      </c>
      <c r="D6" s="21" t="s">
        <v>7</v>
      </c>
      <c r="E6" s="21" t="s">
        <v>8</v>
      </c>
      <c r="F6" s="20" t="s">
        <v>9</v>
      </c>
      <c r="G6" s="20" t="s">
        <v>10</v>
      </c>
      <c r="H6" s="20" t="s">
        <v>11</v>
      </c>
      <c r="I6" s="20" t="s">
        <v>12</v>
      </c>
      <c r="J6" s="20" t="s">
        <v>13</v>
      </c>
      <c r="K6" s="20" t="s">
        <v>14</v>
      </c>
      <c r="L6" s="20" t="s">
        <v>15</v>
      </c>
      <c r="M6" s="20" t="s">
        <v>16</v>
      </c>
      <c r="N6" s="20" t="s">
        <v>17</v>
      </c>
    </row>
    <row r="7" spans="1:14" x14ac:dyDescent="0.15">
      <c r="A7" s="6" t="s">
        <v>18</v>
      </c>
    </row>
    <row r="8" spans="1:14" s="4" customFormat="1" ht="12.75" x14ac:dyDescent="0.2">
      <c r="A8" s="7" t="s">
        <v>0</v>
      </c>
    </row>
    <row r="9" spans="1:14" x14ac:dyDescent="0.15">
      <c r="A9" s="6" t="s">
        <v>19</v>
      </c>
    </row>
    <row r="10" spans="1:14" s="1" customFormat="1" ht="11.25" x14ac:dyDescent="0.2">
      <c r="A10" s="8" t="s">
        <v>20</v>
      </c>
      <c r="B10" s="9">
        <v>53780</v>
      </c>
      <c r="C10" s="9">
        <v>53780</v>
      </c>
      <c r="D10" s="9">
        <v>53780</v>
      </c>
      <c r="E10" s="9">
        <v>53780</v>
      </c>
      <c r="F10" s="9">
        <v>53780</v>
      </c>
      <c r="G10" s="9">
        <v>53780</v>
      </c>
      <c r="H10" s="9">
        <v>53780</v>
      </c>
      <c r="I10" s="9">
        <v>53780</v>
      </c>
      <c r="J10" s="9">
        <v>55880</v>
      </c>
      <c r="K10" s="9">
        <v>55880</v>
      </c>
      <c r="L10" s="9">
        <v>55880</v>
      </c>
      <c r="M10" s="9">
        <v>55880</v>
      </c>
      <c r="N10" s="9">
        <f>ROUND(331080+322680,0)</f>
        <v>653760</v>
      </c>
    </row>
    <row r="11" spans="1:14" s="1" customFormat="1" ht="11.25" x14ac:dyDescent="0.2">
      <c r="A11" s="8" t="s">
        <v>21</v>
      </c>
      <c r="B11" s="9">
        <v>-584</v>
      </c>
      <c r="C11" s="9">
        <v>-605</v>
      </c>
      <c r="D11" s="9">
        <v>-579</v>
      </c>
      <c r="E11" s="9">
        <v>-422</v>
      </c>
      <c r="F11" s="9">
        <v>-326</v>
      </c>
      <c r="G11" s="9">
        <v>-154</v>
      </c>
      <c r="H11" s="9">
        <v>-29</v>
      </c>
      <c r="I11" s="9">
        <v>126</v>
      </c>
      <c r="J11" s="9">
        <v>-1896</v>
      </c>
      <c r="K11" s="9">
        <v>-1669</v>
      </c>
      <c r="L11" s="9">
        <v>-1494</v>
      </c>
      <c r="M11" s="9">
        <v>-1491</v>
      </c>
      <c r="N11" s="9">
        <f>ROUND(-6456+-2672,0)</f>
        <v>-9128</v>
      </c>
    </row>
    <row r="12" spans="1:14" s="1" customFormat="1" ht="11.25" x14ac:dyDescent="0.2">
      <c r="A12" s="8" t="s">
        <v>22</v>
      </c>
      <c r="B12" s="9">
        <v>-261</v>
      </c>
      <c r="C12" s="9">
        <v>-1185</v>
      </c>
      <c r="D12" s="9">
        <v>-1528</v>
      </c>
      <c r="E12" s="9">
        <v>-1243</v>
      </c>
      <c r="F12" s="9">
        <v>-925</v>
      </c>
      <c r="G12" s="9">
        <v>-1892</v>
      </c>
      <c r="H12" s="9">
        <v>-1927</v>
      </c>
      <c r="I12" s="9">
        <v>-125</v>
      </c>
      <c r="J12" s="9">
        <v>-690</v>
      </c>
      <c r="K12" s="9">
        <v>-2032</v>
      </c>
      <c r="L12" s="9">
        <v>-1843</v>
      </c>
      <c r="M12" s="9">
        <v>-1769</v>
      </c>
      <c r="N12" s="9">
        <f>ROUND(-8386+-7034,0)</f>
        <v>-15420</v>
      </c>
    </row>
    <row r="13" spans="1:14" s="1" customFormat="1" ht="11.25" x14ac:dyDescent="0.2">
      <c r="A13" s="8" t="s">
        <v>23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-3</v>
      </c>
      <c r="H13" s="9">
        <v>-5</v>
      </c>
      <c r="I13" s="9">
        <v>0</v>
      </c>
      <c r="J13" s="9">
        <v>-20</v>
      </c>
      <c r="K13" s="9">
        <v>0</v>
      </c>
      <c r="L13" s="9">
        <v>0</v>
      </c>
      <c r="M13" s="9">
        <v>-898</v>
      </c>
      <c r="N13" s="9">
        <f>ROUND(-922+-3,0)</f>
        <v>-925</v>
      </c>
    </row>
    <row r="14" spans="1:14" s="1" customFormat="1" ht="11.25" x14ac:dyDescent="0.2">
      <c r="A14" s="8" t="s">
        <v>24</v>
      </c>
      <c r="B14" s="9">
        <v>1200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580</v>
      </c>
      <c r="N14" s="9">
        <f>ROUND(580+1200,0)</f>
        <v>1780</v>
      </c>
    </row>
    <row r="15" spans="1:14" s="1" customFormat="1" ht="11.25" x14ac:dyDescent="0.2">
      <c r="A15" s="8" t="s">
        <v>25</v>
      </c>
      <c r="B15" s="9">
        <v>0</v>
      </c>
      <c r="C15" s="9">
        <v>-100</v>
      </c>
      <c r="D15" s="9">
        <v>-300</v>
      </c>
      <c r="E15" s="9">
        <v>-100</v>
      </c>
      <c r="F15" s="9">
        <v>-300</v>
      </c>
      <c r="G15" s="9">
        <v>0</v>
      </c>
      <c r="H15" s="9">
        <v>-200</v>
      </c>
      <c r="I15" s="9">
        <v>-285</v>
      </c>
      <c r="J15" s="9">
        <v>-200</v>
      </c>
      <c r="K15" s="9">
        <v>0</v>
      </c>
      <c r="L15" s="9">
        <v>-200</v>
      </c>
      <c r="M15" s="9">
        <v>0</v>
      </c>
      <c r="N15" s="9">
        <f>ROUND(-885+-800,0)</f>
        <v>-1685</v>
      </c>
    </row>
    <row r="16" spans="1:14" customFormat="1" ht="15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15">
      <c r="A17" s="6" t="s">
        <v>26</v>
      </c>
      <c r="B17" s="12">
        <f>ROUND(SUBTOTAL(9, B7:B16), 5)</f>
        <v>54135</v>
      </c>
      <c r="C17" s="12">
        <f>ROUND(SUBTOTAL(9, C7:C16), 5)</f>
        <v>51890</v>
      </c>
      <c r="D17" s="12">
        <f>ROUND(SUBTOTAL(9, D7:D16), 5)</f>
        <v>51373</v>
      </c>
      <c r="E17" s="12">
        <f>ROUND(SUBTOTAL(9, E7:E16), 5)</f>
        <v>52015</v>
      </c>
      <c r="F17" s="12">
        <f>ROUND(SUBTOTAL(9, F7:F16), 5)</f>
        <v>52229</v>
      </c>
      <c r="G17" s="12">
        <f>ROUND(SUBTOTAL(9, G7:G16), 5)</f>
        <v>51731</v>
      </c>
      <c r="H17" s="12">
        <f>ROUND(SUBTOTAL(9, H7:H16), 5)</f>
        <v>51619</v>
      </c>
      <c r="I17" s="12">
        <f>ROUND(SUBTOTAL(9, I7:I16), 5)</f>
        <v>53496</v>
      </c>
      <c r="J17" s="12">
        <f>ROUND(SUBTOTAL(9, J7:J16), 5)</f>
        <v>53074</v>
      </c>
      <c r="K17" s="12">
        <f>ROUND(SUBTOTAL(9, K7:K16), 5)</f>
        <v>52179</v>
      </c>
      <c r="L17" s="12">
        <f>ROUND(SUBTOTAL(9, L7:L16), 5)</f>
        <v>52343</v>
      </c>
      <c r="M17" s="12">
        <f>ROUND(SUBTOTAL(9, M7:M16), 5)</f>
        <v>52302</v>
      </c>
      <c r="N17" s="12">
        <f>ROUND(315011+313371,0)</f>
        <v>628382</v>
      </c>
    </row>
    <row r="18" spans="1:14" customFormat="1" ht="15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15">
      <c r="A19" s="6" t="s">
        <v>27</v>
      </c>
    </row>
    <row r="20" spans="1:14" s="1" customFormat="1" ht="11.25" x14ac:dyDescent="0.2">
      <c r="A20" s="8" t="s">
        <v>28</v>
      </c>
      <c r="B20" s="9">
        <v>100</v>
      </c>
      <c r="C20" s="9">
        <v>200</v>
      </c>
      <c r="D20" s="9">
        <v>100</v>
      </c>
      <c r="E20" s="9">
        <v>100</v>
      </c>
      <c r="F20" s="9">
        <v>100</v>
      </c>
      <c r="G20" s="9">
        <v>100</v>
      </c>
      <c r="H20" s="9">
        <v>100</v>
      </c>
      <c r="I20" s="9">
        <v>100</v>
      </c>
      <c r="J20" s="9">
        <v>100</v>
      </c>
      <c r="K20" s="9">
        <v>100</v>
      </c>
      <c r="L20" s="9">
        <v>100</v>
      </c>
      <c r="M20" s="9">
        <v>100</v>
      </c>
      <c r="N20" s="9">
        <f>ROUND(600+700,0)</f>
        <v>1300</v>
      </c>
    </row>
    <row r="21" spans="1:14" s="1" customFormat="1" ht="11.25" x14ac:dyDescent="0.2">
      <c r="A21" s="8" t="s">
        <v>29</v>
      </c>
      <c r="B21" s="9">
        <v>72</v>
      </c>
      <c r="C21" s="9">
        <v>0</v>
      </c>
      <c r="D21" s="9">
        <v>0</v>
      </c>
      <c r="E21" s="9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64</v>
      </c>
      <c r="M21" s="9">
        <v>0</v>
      </c>
      <c r="N21" s="9">
        <f>ROUND(64+105,0)</f>
        <v>169</v>
      </c>
    </row>
    <row r="22" spans="1:14" s="1" customFormat="1" ht="11.25" x14ac:dyDescent="0.2">
      <c r="A22" s="8" t="s">
        <v>30</v>
      </c>
      <c r="B22" s="9">
        <v>131</v>
      </c>
      <c r="C22" s="9">
        <v>127</v>
      </c>
      <c r="D22" s="9">
        <v>150</v>
      </c>
      <c r="E22" s="9">
        <v>159</v>
      </c>
      <c r="F22" s="9">
        <v>150</v>
      </c>
      <c r="G22" s="9">
        <v>142</v>
      </c>
      <c r="H22" s="9">
        <v>146</v>
      </c>
      <c r="I22" s="9">
        <v>150</v>
      </c>
      <c r="J22" s="9">
        <v>135</v>
      </c>
      <c r="K22" s="9">
        <v>135</v>
      </c>
      <c r="L22" s="9">
        <v>742</v>
      </c>
      <c r="M22" s="9">
        <v>150</v>
      </c>
      <c r="N22" s="9">
        <f>ROUND(1458+859,0)</f>
        <v>2317</v>
      </c>
    </row>
    <row r="23" spans="1:14" s="1" customFormat="1" ht="11.25" x14ac:dyDescent="0.2">
      <c r="A23" s="8" t="s">
        <v>31</v>
      </c>
      <c r="B23" s="9">
        <v>0</v>
      </c>
      <c r="C23" s="9">
        <v>180</v>
      </c>
      <c r="D23" s="9">
        <v>60</v>
      </c>
      <c r="E23" s="9">
        <v>180</v>
      </c>
      <c r="F23" s="9">
        <v>0</v>
      </c>
      <c r="G23" s="9">
        <v>0</v>
      </c>
      <c r="H23" s="9">
        <v>60</v>
      </c>
      <c r="I23" s="9">
        <v>300</v>
      </c>
      <c r="J23" s="9">
        <v>60</v>
      </c>
      <c r="K23" s="9">
        <v>0</v>
      </c>
      <c r="L23" s="9">
        <v>180</v>
      </c>
      <c r="M23" s="9">
        <v>0</v>
      </c>
      <c r="N23" s="9">
        <f>ROUND(600+420,0)</f>
        <v>1020</v>
      </c>
    </row>
    <row r="24" spans="1:14" s="1" customFormat="1" ht="11.25" x14ac:dyDescent="0.2">
      <c r="A24" s="8" t="s">
        <v>32</v>
      </c>
      <c r="B24" s="9">
        <v>0</v>
      </c>
      <c r="C24" s="9">
        <v>1469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f>ROUND(0+1470,0)</f>
        <v>1470</v>
      </c>
    </row>
    <row r="25" spans="1:14" s="1" customFormat="1" ht="11.25" x14ac:dyDescent="0.2">
      <c r="A25" s="8" t="s">
        <v>33</v>
      </c>
      <c r="B25" s="9">
        <v>2003</v>
      </c>
      <c r="C25" s="9">
        <v>2068</v>
      </c>
      <c r="D25" s="9">
        <v>2096</v>
      </c>
      <c r="E25" s="9">
        <v>2158</v>
      </c>
      <c r="F25" s="9">
        <v>2236</v>
      </c>
      <c r="G25" s="9">
        <v>2345</v>
      </c>
      <c r="H25" s="9">
        <v>2389</v>
      </c>
      <c r="I25" s="9">
        <v>2559</v>
      </c>
      <c r="J25" s="9">
        <v>2601</v>
      </c>
      <c r="K25" s="9">
        <v>2636</v>
      </c>
      <c r="L25" s="9">
        <v>2903</v>
      </c>
      <c r="M25" s="9">
        <v>3005</v>
      </c>
      <c r="N25" s="9">
        <f>ROUND(16093+12906,0)</f>
        <v>28999</v>
      </c>
    </row>
    <row r="26" spans="1:14" s="1" customFormat="1" ht="11.25" x14ac:dyDescent="0.2">
      <c r="A26" s="8" t="s">
        <v>34</v>
      </c>
      <c r="B26" s="9">
        <v>513</v>
      </c>
      <c r="C26" s="9">
        <v>292</v>
      </c>
      <c r="D26" s="9">
        <v>276</v>
      </c>
      <c r="E26" s="9">
        <v>460</v>
      </c>
      <c r="F26" s="9">
        <v>0</v>
      </c>
      <c r="G26" s="9">
        <v>295</v>
      </c>
      <c r="H26" s="9">
        <v>251</v>
      </c>
      <c r="I26" s="9">
        <v>492</v>
      </c>
      <c r="J26" s="9">
        <v>283</v>
      </c>
      <c r="K26" s="9">
        <v>793</v>
      </c>
      <c r="L26" s="9">
        <v>0</v>
      </c>
      <c r="M26" s="9">
        <v>614</v>
      </c>
      <c r="N26" s="9">
        <f>ROUND(2432+1837,0)</f>
        <v>4269</v>
      </c>
    </row>
    <row r="27" spans="1:14" s="1" customFormat="1" ht="11.25" x14ac:dyDescent="0.2">
      <c r="A27" s="8" t="s">
        <v>35</v>
      </c>
      <c r="B27" s="9">
        <v>200</v>
      </c>
      <c r="C27" s="9">
        <v>275</v>
      </c>
      <c r="D27" s="9">
        <v>177</v>
      </c>
      <c r="E27" s="9">
        <v>225</v>
      </c>
      <c r="F27" s="9">
        <v>246</v>
      </c>
      <c r="G27" s="9">
        <v>100</v>
      </c>
      <c r="H27" s="9">
        <v>150</v>
      </c>
      <c r="I27" s="9">
        <v>250</v>
      </c>
      <c r="J27" s="9">
        <v>125</v>
      </c>
      <c r="K27" s="9">
        <v>125</v>
      </c>
      <c r="L27" s="9">
        <v>200</v>
      </c>
      <c r="M27" s="9">
        <v>200</v>
      </c>
      <c r="N27" s="9">
        <f>ROUND(1050+1223,0)</f>
        <v>2273</v>
      </c>
    </row>
    <row r="28" spans="1:14" s="1" customFormat="1" ht="11.25" x14ac:dyDescent="0.2">
      <c r="A28" s="8" t="s">
        <v>36</v>
      </c>
      <c r="B28" s="9">
        <v>0</v>
      </c>
      <c r="C28" s="9">
        <v>0</v>
      </c>
      <c r="D28" s="9">
        <v>0</v>
      </c>
      <c r="E28" s="9">
        <v>327</v>
      </c>
      <c r="F28" s="9">
        <v>0</v>
      </c>
      <c r="G28" s="9">
        <v>0</v>
      </c>
      <c r="H28" s="9">
        <v>0</v>
      </c>
      <c r="I28" s="9">
        <v>39</v>
      </c>
      <c r="J28" s="9">
        <v>0</v>
      </c>
      <c r="K28" s="9">
        <v>150</v>
      </c>
      <c r="L28" s="9">
        <v>10</v>
      </c>
      <c r="M28" s="9">
        <v>0</v>
      </c>
      <c r="N28" s="9">
        <f>ROUND(199+327,0)</f>
        <v>526</v>
      </c>
    </row>
    <row r="29" spans="1:14" s="1" customFormat="1" ht="11.25" x14ac:dyDescent="0.2">
      <c r="A29" s="8" t="s">
        <v>37</v>
      </c>
      <c r="B29" s="9">
        <v>390</v>
      </c>
      <c r="C29" s="9">
        <v>660</v>
      </c>
      <c r="D29" s="9">
        <v>863</v>
      </c>
      <c r="E29" s="9">
        <v>650</v>
      </c>
      <c r="F29" s="9">
        <v>0</v>
      </c>
      <c r="G29" s="9">
        <v>352</v>
      </c>
      <c r="H29" s="9">
        <v>411</v>
      </c>
      <c r="I29" s="9">
        <v>300</v>
      </c>
      <c r="J29" s="9">
        <v>225</v>
      </c>
      <c r="K29" s="9">
        <v>50</v>
      </c>
      <c r="L29" s="9">
        <v>676</v>
      </c>
      <c r="M29" s="9">
        <v>0</v>
      </c>
      <c r="N29" s="9">
        <f>ROUND(1662+2915,0)</f>
        <v>4577</v>
      </c>
    </row>
    <row r="30" spans="1:14" s="1" customFormat="1" ht="11.25" x14ac:dyDescent="0.2">
      <c r="A30" s="8" t="s">
        <v>38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405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f>ROUND(0+405,0)</f>
        <v>405</v>
      </c>
    </row>
    <row r="31" spans="1:14" s="1" customFormat="1" ht="11.25" x14ac:dyDescent="0.2">
      <c r="A31" s="8" t="s">
        <v>39</v>
      </c>
      <c r="B31" s="9">
        <v>125</v>
      </c>
      <c r="C31" s="9">
        <v>457</v>
      </c>
      <c r="D31" s="9">
        <v>630</v>
      </c>
      <c r="E31" s="9">
        <v>430</v>
      </c>
      <c r="F31" s="9">
        <v>425</v>
      </c>
      <c r="G31" s="9">
        <v>370</v>
      </c>
      <c r="H31" s="9">
        <v>705</v>
      </c>
      <c r="I31" s="9">
        <v>850</v>
      </c>
      <c r="J31" s="9">
        <v>665</v>
      </c>
      <c r="K31" s="9">
        <v>695</v>
      </c>
      <c r="L31" s="9">
        <v>940</v>
      </c>
      <c r="M31" s="9">
        <v>205</v>
      </c>
      <c r="N31" s="9">
        <f>ROUND(4060+2437,0)</f>
        <v>6497</v>
      </c>
    </row>
    <row r="32" spans="1:14" s="1" customFormat="1" ht="11.25" x14ac:dyDescent="0.2">
      <c r="A32" s="8" t="s">
        <v>40</v>
      </c>
      <c r="B32" s="9">
        <v>0</v>
      </c>
      <c r="C32" s="9">
        <v>0</v>
      </c>
      <c r="D32" s="9">
        <v>0</v>
      </c>
      <c r="E32" s="9">
        <v>30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f>ROUND(0+30,0)</f>
        <v>30</v>
      </c>
    </row>
    <row r="33" spans="1:14" customFormat="1" ht="15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15">
      <c r="A34" s="6" t="s">
        <v>41</v>
      </c>
      <c r="B34" s="12">
        <f>ROUND(SUBTOTAL(9, B19:B33), 5)</f>
        <v>3534</v>
      </c>
      <c r="C34" s="12">
        <f>ROUND(SUBTOTAL(9, C19:C33), 5)</f>
        <v>5728</v>
      </c>
      <c r="D34" s="12">
        <f>ROUND(SUBTOTAL(9, D19:D33), 5)</f>
        <v>4352</v>
      </c>
      <c r="E34" s="12">
        <f>ROUND(SUBTOTAL(9, E19:E33), 5)</f>
        <v>4752</v>
      </c>
      <c r="F34" s="12">
        <f>ROUND(SUBTOTAL(9, F19:F33), 5)</f>
        <v>3157</v>
      </c>
      <c r="G34" s="12">
        <f>ROUND(SUBTOTAL(9, G19:G33), 5)</f>
        <v>4109</v>
      </c>
      <c r="H34" s="12">
        <f>ROUND(SUBTOTAL(9, H19:H33), 5)</f>
        <v>4212</v>
      </c>
      <c r="I34" s="12">
        <f>ROUND(SUBTOTAL(9, I19:I33), 5)</f>
        <v>5040</v>
      </c>
      <c r="J34" s="12">
        <f>ROUND(SUBTOTAL(9, J19:J33), 5)</f>
        <v>4194</v>
      </c>
      <c r="K34" s="12">
        <f>ROUND(SUBTOTAL(9, K19:K33), 5)</f>
        <v>4684</v>
      </c>
      <c r="L34" s="12">
        <f>ROUND(SUBTOTAL(9, L19:L33), 5)</f>
        <v>5815</v>
      </c>
      <c r="M34" s="12">
        <f>ROUND(SUBTOTAL(9, M19:M33), 5)</f>
        <v>4274</v>
      </c>
      <c r="N34" s="12">
        <f>ROUND(28218+25634,0)</f>
        <v>53852</v>
      </c>
    </row>
    <row r="35" spans="1:14" customFormat="1" ht="15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15">
      <c r="A36" s="6" t="s">
        <v>42</v>
      </c>
      <c r="B36" s="12">
        <f>-(ROUND(-B17+-B34, 5))</f>
        <v>57669</v>
      </c>
      <c r="C36" s="12">
        <f>-(ROUND(-C17+-C34, 5))</f>
        <v>57618</v>
      </c>
      <c r="D36" s="12">
        <f>-(ROUND(-D17+-D34, 5))</f>
        <v>55725</v>
      </c>
      <c r="E36" s="12">
        <f>-(ROUND(-E17+-E34, 5))</f>
        <v>56767</v>
      </c>
      <c r="F36" s="12">
        <f>-(ROUND(-F17+-F34, 5))</f>
        <v>55386</v>
      </c>
      <c r="G36" s="12">
        <f>-(ROUND(-G17+-G34, 5))</f>
        <v>55840</v>
      </c>
      <c r="H36" s="12">
        <f>-(ROUND(-H17+-H34, 5))</f>
        <v>55831</v>
      </c>
      <c r="I36" s="12">
        <f>-(ROUND(-I17+-I34, 5))</f>
        <v>58536</v>
      </c>
      <c r="J36" s="12">
        <f>-(ROUND(-J17+-J34, 5))</f>
        <v>57268</v>
      </c>
      <c r="K36" s="12">
        <f>-(ROUND(-K17+-K34, 5))</f>
        <v>56863</v>
      </c>
      <c r="L36" s="12">
        <f>-(ROUND(-L17+-L34, 5))</f>
        <v>58158</v>
      </c>
      <c r="M36" s="12">
        <f>-(ROUND(-M17+-M34, 5))</f>
        <v>56576</v>
      </c>
      <c r="N36" s="12">
        <f>ROUND(343229+339005,0)</f>
        <v>682234</v>
      </c>
    </row>
    <row r="37" spans="1:14" customFormat="1" ht="15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s="4" customFormat="1" ht="12.75" x14ac:dyDescent="0.2">
      <c r="A38" s="7" t="s">
        <v>0</v>
      </c>
    </row>
    <row r="39" spans="1:14" s="3" customFormat="1" ht="12.75" x14ac:dyDescent="0.2">
      <c r="A39" s="13" t="s">
        <v>43</v>
      </c>
    </row>
    <row r="40" spans="1:14" s="4" customFormat="1" ht="12.75" x14ac:dyDescent="0.2">
      <c r="A40" s="7" t="s">
        <v>0</v>
      </c>
    </row>
    <row r="41" spans="1:14" x14ac:dyDescent="0.15">
      <c r="A41" s="6" t="s">
        <v>44</v>
      </c>
    </row>
    <row r="42" spans="1:14" s="1" customFormat="1" ht="11.25" x14ac:dyDescent="0.2">
      <c r="A42" s="8" t="s">
        <v>45</v>
      </c>
      <c r="B42" s="9">
        <v>28</v>
      </c>
      <c r="C42" s="9">
        <v>65</v>
      </c>
      <c r="D42" s="9">
        <v>29</v>
      </c>
      <c r="E42" s="9">
        <v>29</v>
      </c>
      <c r="F42" s="9">
        <v>29</v>
      </c>
      <c r="G42" s="9">
        <v>29</v>
      </c>
      <c r="H42" s="9">
        <v>29</v>
      </c>
      <c r="I42" s="9">
        <v>168</v>
      </c>
      <c r="J42" s="9">
        <v>76</v>
      </c>
      <c r="K42" s="9">
        <v>29</v>
      </c>
      <c r="L42" s="9">
        <v>29</v>
      </c>
      <c r="M42" s="9">
        <v>789</v>
      </c>
      <c r="N42" s="9">
        <f>ROUND(1119+207,0)</f>
        <v>1326</v>
      </c>
    </row>
    <row r="43" spans="1:14" s="1" customFormat="1" ht="11.25" x14ac:dyDescent="0.2">
      <c r="A43" s="8" t="s">
        <v>46</v>
      </c>
      <c r="B43" s="9">
        <v>240</v>
      </c>
      <c r="C43" s="9">
        <v>251</v>
      </c>
      <c r="D43" s="9">
        <v>480</v>
      </c>
      <c r="E43" s="9">
        <v>0</v>
      </c>
      <c r="F43" s="9">
        <v>240</v>
      </c>
      <c r="G43" s="9">
        <v>480</v>
      </c>
      <c r="H43" s="9">
        <v>600</v>
      </c>
      <c r="I43" s="9">
        <v>335</v>
      </c>
      <c r="J43" s="9">
        <v>227</v>
      </c>
      <c r="K43" s="9">
        <v>400</v>
      </c>
      <c r="L43" s="9">
        <v>413</v>
      </c>
      <c r="M43" s="9">
        <v>390</v>
      </c>
      <c r="N43" s="9">
        <f>ROUND(2364+1691,0)</f>
        <v>4055</v>
      </c>
    </row>
    <row r="44" spans="1:14" s="1" customFormat="1" ht="11.25" x14ac:dyDescent="0.2">
      <c r="A44" s="8" t="s">
        <v>47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443</v>
      </c>
      <c r="I44" s="9">
        <v>35</v>
      </c>
      <c r="J44" s="9">
        <v>0</v>
      </c>
      <c r="K44" s="9">
        <v>0</v>
      </c>
      <c r="L44" s="9">
        <v>0</v>
      </c>
      <c r="M44" s="9">
        <v>5</v>
      </c>
      <c r="N44" s="9">
        <f>ROUND(483+0,0)</f>
        <v>483</v>
      </c>
    </row>
    <row r="45" spans="1:14" s="1" customFormat="1" ht="11.25" x14ac:dyDescent="0.2">
      <c r="A45" s="8" t="s">
        <v>48</v>
      </c>
      <c r="B45" s="9">
        <v>119</v>
      </c>
      <c r="C45" s="9">
        <v>57</v>
      </c>
      <c r="D45" s="9">
        <v>0</v>
      </c>
      <c r="E45" s="9">
        <v>193</v>
      </c>
      <c r="F45" s="9">
        <v>72</v>
      </c>
      <c r="G45" s="9">
        <v>144</v>
      </c>
      <c r="H45" s="9">
        <v>0</v>
      </c>
      <c r="I45" s="9">
        <v>29</v>
      </c>
      <c r="J45" s="9">
        <v>0</v>
      </c>
      <c r="K45" s="9">
        <v>84</v>
      </c>
      <c r="L45" s="9">
        <v>93</v>
      </c>
      <c r="M45" s="9">
        <v>55</v>
      </c>
      <c r="N45" s="9">
        <f>ROUND(261+584,0)</f>
        <v>845</v>
      </c>
    </row>
    <row r="46" spans="1:14" s="1" customFormat="1" ht="11.25" x14ac:dyDescent="0.2">
      <c r="A46" s="8" t="s">
        <v>49</v>
      </c>
      <c r="B46" s="9">
        <v>0</v>
      </c>
      <c r="C46" s="9">
        <v>0</v>
      </c>
      <c r="D46" s="9">
        <v>28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f>ROUND(0+28,0)</f>
        <v>28</v>
      </c>
    </row>
    <row r="47" spans="1:14" customFormat="1" ht="15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15">
      <c r="A48" s="6" t="s">
        <v>50</v>
      </c>
      <c r="B48" s="12">
        <f>ROUND(SUBTOTAL(9, B38:B47), 5)</f>
        <v>387</v>
      </c>
      <c r="C48" s="12">
        <f>ROUND(SUBTOTAL(9, C38:C47), 5)</f>
        <v>373</v>
      </c>
      <c r="D48" s="12">
        <f>ROUND(SUBTOTAL(9, D38:D47), 5)</f>
        <v>537</v>
      </c>
      <c r="E48" s="12">
        <f>ROUND(SUBTOTAL(9, E38:E47), 5)</f>
        <v>222</v>
      </c>
      <c r="F48" s="12">
        <f>ROUND(SUBTOTAL(9, F38:F47), 5)</f>
        <v>341</v>
      </c>
      <c r="G48" s="12">
        <f>ROUND(SUBTOTAL(9, G38:G47), 5)</f>
        <v>653</v>
      </c>
      <c r="H48" s="12">
        <f>ROUND(SUBTOTAL(9, H38:H47), 5)</f>
        <v>1072</v>
      </c>
      <c r="I48" s="12">
        <f>ROUND(SUBTOTAL(9, I38:I47), 5)</f>
        <v>567</v>
      </c>
      <c r="J48" s="12">
        <f>ROUND(SUBTOTAL(9, J38:J47), 5)</f>
        <v>303</v>
      </c>
      <c r="K48" s="12">
        <f>ROUND(SUBTOTAL(9, K38:K47), 5)</f>
        <v>513</v>
      </c>
      <c r="L48" s="12">
        <f>ROUND(SUBTOTAL(9, L38:L47), 5)</f>
        <v>535</v>
      </c>
      <c r="M48" s="12">
        <f>ROUND(SUBTOTAL(9, M38:M47), 5)</f>
        <v>1239</v>
      </c>
      <c r="N48" s="12">
        <f>ROUND(4227+2510,0)</f>
        <v>6737</v>
      </c>
    </row>
    <row r="49" spans="1:14" customFormat="1" ht="15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s="3" customFormat="1" ht="12.75" x14ac:dyDescent="0.2">
      <c r="A50" s="13" t="s">
        <v>51</v>
      </c>
    </row>
    <row r="51" spans="1:14" s="1" customFormat="1" ht="11.25" x14ac:dyDescent="0.2">
      <c r="A51" s="8" t="s">
        <v>31</v>
      </c>
      <c r="B51" s="9">
        <v>69</v>
      </c>
      <c r="C51" s="9">
        <v>0</v>
      </c>
      <c r="D51" s="9">
        <v>69</v>
      </c>
      <c r="E51" s="9">
        <v>17</v>
      </c>
      <c r="F51" s="9">
        <v>69</v>
      </c>
      <c r="G51" s="9">
        <v>0</v>
      </c>
      <c r="H51" s="9">
        <v>18</v>
      </c>
      <c r="I51" s="9">
        <v>36</v>
      </c>
      <c r="J51" s="9">
        <v>71</v>
      </c>
      <c r="K51" s="9">
        <v>0</v>
      </c>
      <c r="L51" s="9">
        <v>77</v>
      </c>
      <c r="M51" s="9">
        <v>0</v>
      </c>
      <c r="N51" s="9">
        <f>ROUND(202+225,0)</f>
        <v>427</v>
      </c>
    </row>
    <row r="52" spans="1:14" s="1" customFormat="1" ht="11.25" x14ac:dyDescent="0.2">
      <c r="A52" s="8" t="s">
        <v>52</v>
      </c>
      <c r="B52" s="9">
        <v>0</v>
      </c>
      <c r="C52" s="9">
        <v>0</v>
      </c>
      <c r="D52" s="9">
        <v>15</v>
      </c>
      <c r="E52" s="9">
        <v>0</v>
      </c>
      <c r="F52" s="9">
        <v>0</v>
      </c>
      <c r="G52" s="9">
        <v>16</v>
      </c>
      <c r="H52" s="9">
        <v>0</v>
      </c>
      <c r="I52" s="9">
        <v>0</v>
      </c>
      <c r="J52" s="9">
        <v>24</v>
      </c>
      <c r="K52" s="9">
        <v>0</v>
      </c>
      <c r="L52" s="9">
        <v>0</v>
      </c>
      <c r="M52" s="9">
        <v>15</v>
      </c>
      <c r="N52" s="9">
        <f>ROUND(39+30,0)</f>
        <v>69</v>
      </c>
    </row>
    <row r="53" spans="1:14" s="1" customFormat="1" ht="11.25" x14ac:dyDescent="0.2">
      <c r="A53" s="8" t="s">
        <v>53</v>
      </c>
      <c r="B53" s="9">
        <v>55</v>
      </c>
      <c r="C53" s="9">
        <v>55</v>
      </c>
      <c r="D53" s="9">
        <v>55</v>
      </c>
      <c r="E53" s="9">
        <v>55</v>
      </c>
      <c r="F53" s="9">
        <v>55</v>
      </c>
      <c r="G53" s="9">
        <v>55</v>
      </c>
      <c r="H53" s="9">
        <v>55</v>
      </c>
      <c r="I53" s="9">
        <v>55</v>
      </c>
      <c r="J53" s="9">
        <v>55</v>
      </c>
      <c r="K53" s="9">
        <v>55</v>
      </c>
      <c r="L53" s="9">
        <v>55</v>
      </c>
      <c r="M53" s="9">
        <v>55</v>
      </c>
      <c r="N53" s="9">
        <f>ROUND(330+330,0)</f>
        <v>660</v>
      </c>
    </row>
    <row r="54" spans="1:14" s="1" customFormat="1" ht="11.25" x14ac:dyDescent="0.2">
      <c r="A54" s="8" t="s">
        <v>54</v>
      </c>
      <c r="B54" s="9">
        <v>33</v>
      </c>
      <c r="C54" s="9">
        <v>0</v>
      </c>
      <c r="D54" s="9">
        <v>0</v>
      </c>
      <c r="E54" s="9">
        <v>30</v>
      </c>
      <c r="F54" s="9">
        <v>11</v>
      </c>
      <c r="G54" s="9">
        <v>9</v>
      </c>
      <c r="H54" s="9">
        <v>7</v>
      </c>
      <c r="I54" s="9">
        <v>8</v>
      </c>
      <c r="J54" s="9">
        <v>23</v>
      </c>
      <c r="K54" s="9">
        <v>0</v>
      </c>
      <c r="L54" s="9">
        <v>7</v>
      </c>
      <c r="M54" s="9">
        <v>14</v>
      </c>
      <c r="N54" s="9">
        <f>ROUND(59+83,0)</f>
        <v>142</v>
      </c>
    </row>
    <row r="55" spans="1:14" s="1" customFormat="1" ht="11.25" x14ac:dyDescent="0.2">
      <c r="A55" s="8" t="s">
        <v>55</v>
      </c>
      <c r="B55" s="9">
        <v>100</v>
      </c>
      <c r="C55" s="9">
        <v>100</v>
      </c>
      <c r="D55" s="9">
        <v>0</v>
      </c>
      <c r="E55" s="9">
        <v>100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200</v>
      </c>
      <c r="M55" s="9">
        <v>105</v>
      </c>
      <c r="N55" s="9">
        <f>ROUND(305+300,0)</f>
        <v>605</v>
      </c>
    </row>
    <row r="56" spans="1:14" s="1" customFormat="1" ht="11.25" x14ac:dyDescent="0.2">
      <c r="A56" s="8" t="s">
        <v>56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341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f>ROUND(0+341,0)</f>
        <v>341</v>
      </c>
    </row>
    <row r="57" spans="1:14" s="1" customFormat="1" ht="11.25" x14ac:dyDescent="0.2">
      <c r="A57" s="8" t="s">
        <v>57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24</v>
      </c>
      <c r="K57" s="9">
        <v>20</v>
      </c>
      <c r="L57" s="9">
        <v>0</v>
      </c>
      <c r="M57" s="9">
        <v>96</v>
      </c>
      <c r="N57" s="9">
        <f>ROUND(140+0,0)</f>
        <v>140</v>
      </c>
    </row>
    <row r="58" spans="1:14" s="1" customFormat="1" ht="11.25" x14ac:dyDescent="0.2">
      <c r="A58" s="8" t="s">
        <v>58</v>
      </c>
      <c r="B58" s="9">
        <v>1</v>
      </c>
      <c r="C58" s="9">
        <v>9</v>
      </c>
      <c r="D58" s="9">
        <v>24</v>
      </c>
      <c r="E58" s="9">
        <v>39</v>
      </c>
      <c r="F58" s="9">
        <v>5</v>
      </c>
      <c r="G58" s="9">
        <v>0</v>
      </c>
      <c r="H58" s="9">
        <v>77</v>
      </c>
      <c r="I58" s="9">
        <v>73</v>
      </c>
      <c r="J58" s="9">
        <v>53</v>
      </c>
      <c r="K58" s="9">
        <v>93</v>
      </c>
      <c r="L58" s="9">
        <v>9</v>
      </c>
      <c r="M58" s="9">
        <v>48</v>
      </c>
      <c r="N58" s="9">
        <f>ROUND(353+79,0)</f>
        <v>432</v>
      </c>
    </row>
    <row r="59" spans="1:14" s="1" customFormat="1" ht="11.25" x14ac:dyDescent="0.2">
      <c r="A59" s="8" t="s">
        <v>59</v>
      </c>
      <c r="B59" s="9">
        <v>104</v>
      </c>
      <c r="C59" s="9">
        <v>104</v>
      </c>
      <c r="D59" s="9">
        <v>104</v>
      </c>
      <c r="E59" s="9">
        <v>120</v>
      </c>
      <c r="F59" s="9">
        <v>91</v>
      </c>
      <c r="G59" s="9">
        <v>91</v>
      </c>
      <c r="H59" s="9">
        <v>92</v>
      </c>
      <c r="I59" s="9">
        <v>91</v>
      </c>
      <c r="J59" s="9">
        <v>91</v>
      </c>
      <c r="K59" s="9">
        <v>92</v>
      </c>
      <c r="L59" s="9">
        <v>92</v>
      </c>
      <c r="M59" s="9">
        <v>92</v>
      </c>
      <c r="N59" s="9">
        <f>ROUND(550+612,0)</f>
        <v>1162</v>
      </c>
    </row>
    <row r="60" spans="1:14" s="1" customFormat="1" ht="11.25" x14ac:dyDescent="0.2">
      <c r="A60" s="8" t="s">
        <v>60</v>
      </c>
      <c r="B60" s="9">
        <v>48</v>
      </c>
      <c r="C60" s="9">
        <v>56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40</v>
      </c>
      <c r="L60" s="9">
        <v>56</v>
      </c>
      <c r="M60" s="9">
        <v>64</v>
      </c>
      <c r="N60" s="9">
        <f>ROUND(160+104,0)</f>
        <v>264</v>
      </c>
    </row>
    <row r="61" spans="1:14" s="1" customFormat="1" ht="11.25" x14ac:dyDescent="0.2">
      <c r="A61" s="8" t="s">
        <v>61</v>
      </c>
      <c r="B61" s="9">
        <v>111</v>
      </c>
      <c r="C61" s="9">
        <v>48</v>
      </c>
      <c r="D61" s="9">
        <v>150</v>
      </c>
      <c r="E61" s="9">
        <v>160</v>
      </c>
      <c r="F61" s="9">
        <v>48</v>
      </c>
      <c r="G61" s="9">
        <v>48</v>
      </c>
      <c r="H61" s="9">
        <v>131</v>
      </c>
      <c r="I61" s="9">
        <v>99</v>
      </c>
      <c r="J61" s="9">
        <v>157</v>
      </c>
      <c r="K61" s="9">
        <v>152</v>
      </c>
      <c r="L61" s="9">
        <v>67</v>
      </c>
      <c r="M61" s="9">
        <v>106</v>
      </c>
      <c r="N61" s="9">
        <f>ROUND(713+566,0)</f>
        <v>1279</v>
      </c>
    </row>
    <row r="62" spans="1:14" s="1" customFormat="1" ht="11.25" x14ac:dyDescent="0.2">
      <c r="A62" s="8" t="s">
        <v>62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27</v>
      </c>
      <c r="H62" s="9">
        <v>0</v>
      </c>
      <c r="I62" s="9">
        <v>0</v>
      </c>
      <c r="J62" s="9">
        <v>35</v>
      </c>
      <c r="K62" s="9">
        <v>0</v>
      </c>
      <c r="L62" s="9">
        <v>0</v>
      </c>
      <c r="M62" s="9">
        <v>2599</v>
      </c>
      <c r="N62" s="9">
        <f>ROUND(2634+27,0)</f>
        <v>2661</v>
      </c>
    </row>
    <row r="63" spans="1:14" s="1" customFormat="1" ht="11.25" x14ac:dyDescent="0.2">
      <c r="A63" s="8" t="s">
        <v>63</v>
      </c>
      <c r="B63" s="9">
        <v>379</v>
      </c>
      <c r="C63" s="9">
        <v>306</v>
      </c>
      <c r="D63" s="9">
        <v>471</v>
      </c>
      <c r="E63" s="9">
        <v>391</v>
      </c>
      <c r="F63" s="9">
        <v>388</v>
      </c>
      <c r="G63" s="9">
        <v>352</v>
      </c>
      <c r="H63" s="9">
        <v>352</v>
      </c>
      <c r="I63" s="9">
        <v>378</v>
      </c>
      <c r="J63" s="9">
        <v>353</v>
      </c>
      <c r="K63" s="9">
        <v>418</v>
      </c>
      <c r="L63" s="9">
        <v>353</v>
      </c>
      <c r="M63" s="9">
        <v>444</v>
      </c>
      <c r="N63" s="9">
        <f>ROUND(2299+2287,0)</f>
        <v>4586</v>
      </c>
    </row>
    <row r="64" spans="1:14" s="1" customFormat="1" ht="11.25" x14ac:dyDescent="0.2">
      <c r="A64" s="8" t="s">
        <v>64</v>
      </c>
      <c r="B64" s="9">
        <v>63</v>
      </c>
      <c r="C64" s="9">
        <v>79</v>
      </c>
      <c r="D64" s="9">
        <v>55</v>
      </c>
      <c r="E64" s="9">
        <v>55</v>
      </c>
      <c r="F64" s="9">
        <v>53</v>
      </c>
      <c r="G64" s="9">
        <v>193</v>
      </c>
      <c r="H64" s="9">
        <v>53</v>
      </c>
      <c r="I64" s="9">
        <v>52</v>
      </c>
      <c r="J64" s="9">
        <v>89</v>
      </c>
      <c r="K64" s="9">
        <v>81</v>
      </c>
      <c r="L64" s="9">
        <v>82</v>
      </c>
      <c r="M64" s="9">
        <v>73</v>
      </c>
      <c r="N64" s="9">
        <f>ROUND(431+500,0)</f>
        <v>931</v>
      </c>
    </row>
    <row r="65" spans="1:14" s="1" customFormat="1" ht="11.25" x14ac:dyDescent="0.2">
      <c r="A65" s="8" t="s">
        <v>65</v>
      </c>
      <c r="B65" s="9">
        <v>0</v>
      </c>
      <c r="C65" s="9">
        <v>64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128</v>
      </c>
      <c r="L65" s="9">
        <v>0</v>
      </c>
      <c r="M65" s="9">
        <v>0</v>
      </c>
      <c r="N65" s="9">
        <f>ROUND(128+64,0)</f>
        <v>192</v>
      </c>
    </row>
    <row r="66" spans="1:14" s="1" customFormat="1" ht="11.25" x14ac:dyDescent="0.2">
      <c r="A66" s="8" t="s">
        <v>66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12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116</v>
      </c>
      <c r="N66" s="9">
        <f>ROUND(116+12,0)</f>
        <v>128</v>
      </c>
    </row>
    <row r="67" spans="1:14" s="1" customFormat="1" ht="11.25" x14ac:dyDescent="0.2">
      <c r="A67" s="8" t="s">
        <v>67</v>
      </c>
      <c r="B67" s="9">
        <v>335</v>
      </c>
      <c r="C67" s="9">
        <v>525</v>
      </c>
      <c r="D67" s="9">
        <v>0</v>
      </c>
      <c r="E67" s="9">
        <v>13</v>
      </c>
      <c r="F67" s="9">
        <v>33</v>
      </c>
      <c r="G67" s="9">
        <v>154</v>
      </c>
      <c r="H67" s="9">
        <v>364</v>
      </c>
      <c r="I67" s="9">
        <v>0</v>
      </c>
      <c r="J67" s="9">
        <v>36</v>
      </c>
      <c r="K67" s="9">
        <v>142</v>
      </c>
      <c r="L67" s="9">
        <v>235</v>
      </c>
      <c r="M67" s="9">
        <v>443</v>
      </c>
      <c r="N67" s="9">
        <f>ROUND(1220+1060,0)</f>
        <v>2280</v>
      </c>
    </row>
    <row r="68" spans="1:14" s="1" customFormat="1" ht="11.25" x14ac:dyDescent="0.2">
      <c r="A68" s="8" t="s">
        <v>68</v>
      </c>
      <c r="B68" s="9">
        <v>13</v>
      </c>
      <c r="C68" s="9">
        <v>17</v>
      </c>
      <c r="D68" s="9">
        <v>84</v>
      </c>
      <c r="E68" s="9">
        <v>54</v>
      </c>
      <c r="F68" s="9">
        <v>69</v>
      </c>
      <c r="G68" s="9">
        <v>111</v>
      </c>
      <c r="H68" s="9">
        <v>41</v>
      </c>
      <c r="I68" s="9">
        <v>43</v>
      </c>
      <c r="J68" s="9">
        <v>37</v>
      </c>
      <c r="K68" s="9">
        <v>36</v>
      </c>
      <c r="L68" s="9">
        <v>60</v>
      </c>
      <c r="M68" s="9">
        <v>49</v>
      </c>
      <c r="N68" s="9">
        <f>ROUND(266+348,0)</f>
        <v>614</v>
      </c>
    </row>
    <row r="69" spans="1:14" customFormat="1" ht="15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15">
      <c r="A70" s="6" t="s">
        <v>69</v>
      </c>
      <c r="B70" s="12">
        <f>ROUND(SUBTOTAL(9, B50:B69), 5)</f>
        <v>1311</v>
      </c>
      <c r="C70" s="12">
        <f>ROUND(SUBTOTAL(9, C50:C69), 5)</f>
        <v>1363</v>
      </c>
      <c r="D70" s="12">
        <f>ROUND(SUBTOTAL(9, D50:D69), 5)</f>
        <v>1027</v>
      </c>
      <c r="E70" s="12">
        <f>ROUND(SUBTOTAL(9, E50:E69), 5)</f>
        <v>1034</v>
      </c>
      <c r="F70" s="12">
        <f>ROUND(SUBTOTAL(9, F50:F69), 5)</f>
        <v>822</v>
      </c>
      <c r="G70" s="12">
        <f>ROUND(SUBTOTAL(9, G50:G69), 5)</f>
        <v>1409</v>
      </c>
      <c r="H70" s="12">
        <f>ROUND(SUBTOTAL(9, H50:H69), 5)</f>
        <v>1190</v>
      </c>
      <c r="I70" s="12">
        <f>ROUND(SUBTOTAL(9, I50:I69), 5)</f>
        <v>835</v>
      </c>
      <c r="J70" s="12">
        <f>ROUND(SUBTOTAL(9, J50:J69), 5)</f>
        <v>1048</v>
      </c>
      <c r="K70" s="12">
        <f>ROUND(SUBTOTAL(9, K50:K69), 5)</f>
        <v>1257</v>
      </c>
      <c r="L70" s="12">
        <f>ROUND(SUBTOTAL(9, L50:L69), 5)</f>
        <v>1293</v>
      </c>
      <c r="M70" s="12">
        <f>ROUND(SUBTOTAL(9, M50:M69), 5)</f>
        <v>4319</v>
      </c>
      <c r="N70" s="12">
        <f>ROUND(9945+6968,0)</f>
        <v>16913</v>
      </c>
    </row>
    <row r="71" spans="1:14" customFormat="1" ht="15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15">
      <c r="A72" s="6" t="s">
        <v>70</v>
      </c>
    </row>
    <row r="73" spans="1:14" s="1" customFormat="1" ht="11.25" x14ac:dyDescent="0.2">
      <c r="A73" s="8" t="s">
        <v>71</v>
      </c>
      <c r="B73" s="9">
        <v>0</v>
      </c>
      <c r="C73" s="9">
        <v>494</v>
      </c>
      <c r="D73" s="9">
        <v>0</v>
      </c>
      <c r="E73" s="9">
        <v>231</v>
      </c>
      <c r="F73" s="9">
        <v>434</v>
      </c>
      <c r="G73" s="9">
        <v>581</v>
      </c>
      <c r="H73" s="9">
        <v>0</v>
      </c>
      <c r="I73" s="9">
        <v>0</v>
      </c>
      <c r="J73" s="9">
        <v>1700</v>
      </c>
      <c r="K73" s="9">
        <v>1295</v>
      </c>
      <c r="L73" s="9">
        <v>130</v>
      </c>
      <c r="M73" s="9">
        <v>1660</v>
      </c>
      <c r="N73" s="9">
        <f>ROUND(4785+1739,0)</f>
        <v>6524</v>
      </c>
    </row>
    <row r="74" spans="1:14" s="1" customFormat="1" ht="11.25" x14ac:dyDescent="0.2">
      <c r="A74" s="8" t="s">
        <v>72</v>
      </c>
      <c r="B74" s="9">
        <v>0</v>
      </c>
      <c r="C74" s="9">
        <v>40</v>
      </c>
      <c r="D74" s="9">
        <v>0</v>
      </c>
      <c r="E74" s="9">
        <v>38</v>
      </c>
      <c r="F74" s="9">
        <v>0</v>
      </c>
      <c r="G74" s="9">
        <v>0</v>
      </c>
      <c r="H74" s="9">
        <v>106</v>
      </c>
      <c r="I74" s="9">
        <v>0</v>
      </c>
      <c r="J74" s="9">
        <v>0</v>
      </c>
      <c r="K74" s="9">
        <v>65</v>
      </c>
      <c r="L74" s="9">
        <v>0</v>
      </c>
      <c r="M74" s="9">
        <v>148</v>
      </c>
      <c r="N74" s="9">
        <f>ROUND(319+78,0)</f>
        <v>397</v>
      </c>
    </row>
    <row r="75" spans="1:14" s="1" customFormat="1" ht="11.25" x14ac:dyDescent="0.2">
      <c r="A75" s="8" t="s">
        <v>73</v>
      </c>
      <c r="B75" s="9">
        <v>815</v>
      </c>
      <c r="C75" s="9">
        <v>1552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854</v>
      </c>
      <c r="N75" s="9">
        <f>ROUND(854+2367,0)</f>
        <v>3221</v>
      </c>
    </row>
    <row r="76" spans="1:14" s="1" customFormat="1" ht="11.25" x14ac:dyDescent="0.2">
      <c r="A76" s="8" t="s">
        <v>74</v>
      </c>
      <c r="B76" s="9">
        <v>0</v>
      </c>
      <c r="C76" s="9">
        <v>1143</v>
      </c>
      <c r="D76" s="9">
        <v>0</v>
      </c>
      <c r="E76" s="9">
        <v>61</v>
      </c>
      <c r="F76" s="9">
        <v>0</v>
      </c>
      <c r="G76" s="9">
        <v>408</v>
      </c>
      <c r="H76" s="9">
        <v>651</v>
      </c>
      <c r="I76" s="9">
        <v>0</v>
      </c>
      <c r="J76" s="9">
        <v>0</v>
      </c>
      <c r="K76" s="9">
        <v>292</v>
      </c>
      <c r="L76" s="9">
        <v>411</v>
      </c>
      <c r="M76" s="9">
        <v>0</v>
      </c>
      <c r="N76" s="9">
        <f>ROUND(1354+1612,0)</f>
        <v>2966</v>
      </c>
    </row>
    <row r="77" spans="1:14" s="1" customFormat="1" ht="11.25" x14ac:dyDescent="0.2">
      <c r="A77" s="8" t="s">
        <v>75</v>
      </c>
      <c r="B77" s="9">
        <v>0</v>
      </c>
      <c r="C77" s="9">
        <v>0</v>
      </c>
      <c r="D77" s="9">
        <v>0</v>
      </c>
      <c r="E77" s="9">
        <v>163</v>
      </c>
      <c r="F77" s="9">
        <v>0</v>
      </c>
      <c r="G77" s="9">
        <v>0</v>
      </c>
      <c r="H77" s="9">
        <v>0</v>
      </c>
      <c r="I77" s="9">
        <v>0</v>
      </c>
      <c r="J77" s="9">
        <v>169</v>
      </c>
      <c r="K77" s="9">
        <v>88</v>
      </c>
      <c r="L77" s="9">
        <v>54</v>
      </c>
      <c r="M77" s="9">
        <v>0</v>
      </c>
      <c r="N77" s="9">
        <f>ROUND(311+163,0)</f>
        <v>474</v>
      </c>
    </row>
    <row r="78" spans="1:14" s="1" customFormat="1" ht="11.25" x14ac:dyDescent="0.2">
      <c r="A78" s="8" t="s">
        <v>76</v>
      </c>
      <c r="B78" s="9">
        <v>46</v>
      </c>
      <c r="C78" s="9">
        <v>44</v>
      </c>
      <c r="D78" s="9">
        <v>0</v>
      </c>
      <c r="E78" s="9">
        <v>181</v>
      </c>
      <c r="F78" s="9">
        <v>27</v>
      </c>
      <c r="G78" s="9">
        <v>84</v>
      </c>
      <c r="H78" s="9">
        <v>216</v>
      </c>
      <c r="I78" s="9">
        <v>0</v>
      </c>
      <c r="J78" s="9">
        <v>0</v>
      </c>
      <c r="K78" s="9">
        <v>305</v>
      </c>
      <c r="L78" s="9">
        <v>22</v>
      </c>
      <c r="M78" s="9">
        <v>171</v>
      </c>
      <c r="N78" s="9">
        <f>ROUND(714+382,0)</f>
        <v>1096</v>
      </c>
    </row>
    <row r="79" spans="1:14" s="1" customFormat="1" ht="11.25" x14ac:dyDescent="0.2">
      <c r="A79" s="8" t="s">
        <v>77</v>
      </c>
      <c r="B79" s="9">
        <v>171</v>
      </c>
      <c r="C79" s="9">
        <v>365</v>
      </c>
      <c r="D79" s="9">
        <v>44</v>
      </c>
      <c r="E79" s="9">
        <v>5</v>
      </c>
      <c r="F79" s="9">
        <v>206</v>
      </c>
      <c r="G79" s="9">
        <v>195</v>
      </c>
      <c r="H79" s="9">
        <v>108</v>
      </c>
      <c r="I79" s="9">
        <v>0</v>
      </c>
      <c r="J79" s="9">
        <v>0</v>
      </c>
      <c r="K79" s="9">
        <v>3229</v>
      </c>
      <c r="L79" s="9">
        <v>2523</v>
      </c>
      <c r="M79" s="9">
        <v>116</v>
      </c>
      <c r="N79" s="9">
        <f>ROUND(5976+986,0)</f>
        <v>6962</v>
      </c>
    </row>
    <row r="80" spans="1:14" s="1" customFormat="1" ht="11.25" x14ac:dyDescent="0.2">
      <c r="A80" s="8" t="s">
        <v>78</v>
      </c>
      <c r="B80" s="9">
        <v>90</v>
      </c>
      <c r="C80" s="9">
        <v>210</v>
      </c>
      <c r="D80" s="9">
        <v>60</v>
      </c>
      <c r="E80" s="9">
        <v>160</v>
      </c>
      <c r="F80" s="9">
        <v>0</v>
      </c>
      <c r="G80" s="9">
        <v>0</v>
      </c>
      <c r="H80" s="9">
        <v>0</v>
      </c>
      <c r="I80" s="9">
        <v>0</v>
      </c>
      <c r="J80" s="9">
        <v>90</v>
      </c>
      <c r="K80" s="9">
        <v>0</v>
      </c>
      <c r="L80" s="9">
        <v>230</v>
      </c>
      <c r="M80" s="9">
        <v>0</v>
      </c>
      <c r="N80" s="9">
        <f>ROUND(320+520,0)</f>
        <v>840</v>
      </c>
    </row>
    <row r="81" spans="1:14" customFormat="1" ht="15" x14ac:dyDescent="0.25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15">
      <c r="A82" s="6" t="s">
        <v>79</v>
      </c>
      <c r="B82" s="12">
        <f>ROUND(SUBTOTAL(9, B72:B81), 5)</f>
        <v>1122</v>
      </c>
      <c r="C82" s="12">
        <f>ROUND(SUBTOTAL(9, C72:C81), 5)</f>
        <v>3848</v>
      </c>
      <c r="D82" s="12">
        <f>ROUND(SUBTOTAL(9, D72:D81), 5)</f>
        <v>104</v>
      </c>
      <c r="E82" s="12">
        <f>ROUND(SUBTOTAL(9, E72:E81), 5)</f>
        <v>839</v>
      </c>
      <c r="F82" s="12">
        <f>ROUND(SUBTOTAL(9, F72:F81), 5)</f>
        <v>667</v>
      </c>
      <c r="G82" s="12">
        <f>ROUND(SUBTOTAL(9, G72:G81), 5)</f>
        <v>1268</v>
      </c>
      <c r="H82" s="12">
        <f>ROUND(SUBTOTAL(9, H72:H81), 5)</f>
        <v>1081</v>
      </c>
      <c r="I82" s="12">
        <f>ROUND(SUBTOTAL(9, I72:I81), 5)</f>
        <v>0</v>
      </c>
      <c r="J82" s="12">
        <f>ROUND(SUBTOTAL(9, J72:J81), 5)</f>
        <v>1959</v>
      </c>
      <c r="K82" s="12">
        <f>ROUND(SUBTOTAL(9, K72:K81), 5)</f>
        <v>5274</v>
      </c>
      <c r="L82" s="12">
        <f>ROUND(SUBTOTAL(9, L72:L81), 5)</f>
        <v>3370</v>
      </c>
      <c r="M82" s="12">
        <f>ROUND(SUBTOTAL(9, M72:M81), 5)</f>
        <v>2949</v>
      </c>
      <c r="N82" s="12">
        <f>ROUND(14633+7847,0)</f>
        <v>22480</v>
      </c>
    </row>
    <row r="83" spans="1:14" customFormat="1" ht="15" x14ac:dyDescent="0.25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s="4" customFormat="1" ht="12.75" x14ac:dyDescent="0.2">
      <c r="A84" s="7" t="s">
        <v>0</v>
      </c>
    </row>
    <row r="85" spans="1:14" x14ac:dyDescent="0.15">
      <c r="A85" s="6" t="s">
        <v>80</v>
      </c>
    </row>
    <row r="86" spans="1:14" s="1" customFormat="1" ht="11.25" x14ac:dyDescent="0.2">
      <c r="A86" s="8" t="s">
        <v>81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99</v>
      </c>
      <c r="M86" s="9">
        <v>0</v>
      </c>
      <c r="N86" s="9">
        <f>ROUND(99+0,0)</f>
        <v>99</v>
      </c>
    </row>
    <row r="87" spans="1:14" s="1" customFormat="1" ht="11.25" x14ac:dyDescent="0.2">
      <c r="A87" s="8" t="s">
        <v>82</v>
      </c>
      <c r="B87" s="9">
        <v>1200</v>
      </c>
      <c r="C87" s="9">
        <v>1200</v>
      </c>
      <c r="D87" s="9">
        <v>1200</v>
      </c>
      <c r="E87" s="9">
        <v>1200</v>
      </c>
      <c r="F87" s="9">
        <v>1200</v>
      </c>
      <c r="G87" s="9">
        <v>1200</v>
      </c>
      <c r="H87" s="9">
        <v>1200</v>
      </c>
      <c r="I87" s="9">
        <v>1200</v>
      </c>
      <c r="J87" s="9">
        <v>1200</v>
      </c>
      <c r="K87" s="9">
        <v>1200</v>
      </c>
      <c r="L87" s="9">
        <v>1200</v>
      </c>
      <c r="M87" s="9">
        <v>1200</v>
      </c>
      <c r="N87" s="9">
        <f>ROUND(7200+7200,0)</f>
        <v>14400</v>
      </c>
    </row>
    <row r="88" spans="1:14" s="1" customFormat="1" ht="11.25" x14ac:dyDescent="0.2">
      <c r="A88" s="8" t="s">
        <v>83</v>
      </c>
      <c r="B88" s="9">
        <v>0</v>
      </c>
      <c r="C88" s="9">
        <v>400</v>
      </c>
      <c r="D88" s="9">
        <v>0</v>
      </c>
      <c r="E88" s="9">
        <v>1600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250</v>
      </c>
      <c r="L88" s="9">
        <v>0</v>
      </c>
      <c r="M88" s="9">
        <v>650</v>
      </c>
      <c r="N88" s="9">
        <f>ROUND(900+2000,0)</f>
        <v>2900</v>
      </c>
    </row>
    <row r="89" spans="1:14" s="1" customFormat="1" ht="11.25" x14ac:dyDescent="0.2">
      <c r="A89" s="8" t="s">
        <v>84</v>
      </c>
      <c r="B89" s="9">
        <v>0</v>
      </c>
      <c r="C89" s="9">
        <v>1500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150</v>
      </c>
      <c r="J89" s="9">
        <v>0</v>
      </c>
      <c r="K89" s="9">
        <v>0</v>
      </c>
      <c r="L89" s="9">
        <v>0</v>
      </c>
      <c r="M89" s="9">
        <v>0</v>
      </c>
      <c r="N89" s="9">
        <f>ROUND(150+1500,0)</f>
        <v>1650</v>
      </c>
    </row>
    <row r="90" spans="1:14" customFormat="1" ht="15" x14ac:dyDescent="0.25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15">
      <c r="A91" s="6" t="s">
        <v>85</v>
      </c>
      <c r="B91" s="12">
        <f>ROUND(SUBTOTAL(9, B84:B90), 5)</f>
        <v>1200</v>
      </c>
      <c r="C91" s="12">
        <f>ROUND(SUBTOTAL(9, C84:C90), 5)</f>
        <v>3100</v>
      </c>
      <c r="D91" s="12">
        <f>ROUND(SUBTOTAL(9, D84:D90), 5)</f>
        <v>1200</v>
      </c>
      <c r="E91" s="12">
        <f>ROUND(SUBTOTAL(9, E84:E90), 5)</f>
        <v>2800</v>
      </c>
      <c r="F91" s="12">
        <f>ROUND(SUBTOTAL(9, F84:F90), 5)</f>
        <v>1200</v>
      </c>
      <c r="G91" s="12">
        <f>ROUND(SUBTOTAL(9, G84:G90), 5)</f>
        <v>1200</v>
      </c>
      <c r="H91" s="12">
        <f>ROUND(SUBTOTAL(9, H84:H90), 5)</f>
        <v>1200</v>
      </c>
      <c r="I91" s="12">
        <f>ROUND(SUBTOTAL(9, I84:I90), 5)</f>
        <v>1350</v>
      </c>
      <c r="J91" s="12">
        <f>ROUND(SUBTOTAL(9, J84:J90), 5)</f>
        <v>1200</v>
      </c>
      <c r="K91" s="12">
        <f>ROUND(SUBTOTAL(9, K84:K90), 5)</f>
        <v>1450</v>
      </c>
      <c r="L91" s="12">
        <f>ROUND(SUBTOTAL(9, L84:L90), 5)</f>
        <v>1299</v>
      </c>
      <c r="M91" s="12">
        <f>ROUND(SUBTOTAL(9, M84:M90), 5)</f>
        <v>1850</v>
      </c>
      <c r="N91" s="12">
        <f>ROUND(8349+10700,0)</f>
        <v>19049</v>
      </c>
    </row>
    <row r="92" spans="1:14" customFormat="1" ht="15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15">
      <c r="A93" s="6" t="s">
        <v>86</v>
      </c>
    </row>
    <row r="94" spans="1:14" s="1" customFormat="1" ht="11.25" x14ac:dyDescent="0.2">
      <c r="A94" s="8" t="s">
        <v>87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166</v>
      </c>
      <c r="H94" s="9">
        <v>0</v>
      </c>
      <c r="I94" s="9">
        <v>0</v>
      </c>
      <c r="J94" s="9">
        <v>0</v>
      </c>
      <c r="K94" s="9">
        <v>0</v>
      </c>
      <c r="L94" s="9">
        <v>167</v>
      </c>
      <c r="M94" s="9">
        <v>0</v>
      </c>
      <c r="N94" s="9">
        <f>ROUND(167+166,0)</f>
        <v>333</v>
      </c>
    </row>
    <row r="95" spans="1:14" s="1" customFormat="1" ht="11.25" x14ac:dyDescent="0.2">
      <c r="A95" s="8" t="s">
        <v>88</v>
      </c>
      <c r="B95" s="9">
        <v>109</v>
      </c>
      <c r="C95" s="9">
        <v>112</v>
      </c>
      <c r="D95" s="9">
        <v>112</v>
      </c>
      <c r="E95" s="9">
        <v>112</v>
      </c>
      <c r="F95" s="9">
        <v>112</v>
      </c>
      <c r="G95" s="9">
        <v>112</v>
      </c>
      <c r="H95" s="9">
        <v>112</v>
      </c>
      <c r="I95" s="9">
        <v>112</v>
      </c>
      <c r="J95" s="9">
        <v>112</v>
      </c>
      <c r="K95" s="9">
        <v>112</v>
      </c>
      <c r="L95" s="9">
        <v>112</v>
      </c>
      <c r="M95" s="9">
        <v>112</v>
      </c>
      <c r="N95" s="9">
        <f>ROUND(669+667,0)</f>
        <v>1336</v>
      </c>
    </row>
    <row r="96" spans="1:14" customFormat="1" ht="15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15">
      <c r="A97" s="6" t="s">
        <v>89</v>
      </c>
      <c r="B97" s="12">
        <f>ROUND(SUBTOTAL(9, B93:B96), 5)</f>
        <v>109</v>
      </c>
      <c r="C97" s="12">
        <f>ROUND(SUBTOTAL(9, C93:C96), 5)</f>
        <v>112</v>
      </c>
      <c r="D97" s="12">
        <f>ROUND(SUBTOTAL(9, D93:D96), 5)</f>
        <v>112</v>
      </c>
      <c r="E97" s="12">
        <f>ROUND(SUBTOTAL(9, E93:E96), 5)</f>
        <v>112</v>
      </c>
      <c r="F97" s="12">
        <f>ROUND(SUBTOTAL(9, F93:F96), 5)</f>
        <v>112</v>
      </c>
      <c r="G97" s="12">
        <f>ROUND(SUBTOTAL(9, G93:G96), 5)</f>
        <v>278</v>
      </c>
      <c r="H97" s="12">
        <f>ROUND(SUBTOTAL(9, H93:H96), 5)</f>
        <v>112</v>
      </c>
      <c r="I97" s="12">
        <f>ROUND(SUBTOTAL(9, I93:I96), 5)</f>
        <v>112</v>
      </c>
      <c r="J97" s="12">
        <f>ROUND(SUBTOTAL(9, J93:J96), 5)</f>
        <v>112</v>
      </c>
      <c r="K97" s="12">
        <f>ROUND(SUBTOTAL(9, K93:K96), 5)</f>
        <v>112</v>
      </c>
      <c r="L97" s="12">
        <f>ROUND(SUBTOTAL(9, L93:L96), 5)</f>
        <v>279</v>
      </c>
      <c r="M97" s="12">
        <f>ROUND(SUBTOTAL(9, M93:M96), 5)</f>
        <v>112</v>
      </c>
      <c r="N97" s="12">
        <f>ROUND(836+833,0)</f>
        <v>1669</v>
      </c>
    </row>
    <row r="98" spans="1:14" customFormat="1" ht="15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15">
      <c r="A99" s="6" t="s">
        <v>90</v>
      </c>
    </row>
    <row r="100" spans="1:14" s="1" customFormat="1" ht="11.25" x14ac:dyDescent="0.2">
      <c r="A100" s="8" t="s">
        <v>91</v>
      </c>
      <c r="B100" s="9">
        <v>0</v>
      </c>
      <c r="C100" s="9">
        <v>161</v>
      </c>
      <c r="D100" s="9">
        <v>0</v>
      </c>
      <c r="E100" s="9">
        <v>739</v>
      </c>
      <c r="F100" s="9">
        <v>0</v>
      </c>
      <c r="G100" s="9">
        <v>710</v>
      </c>
      <c r="H100" s="9">
        <v>40</v>
      </c>
      <c r="I100" s="9">
        <v>0</v>
      </c>
      <c r="J100" s="9">
        <v>0</v>
      </c>
      <c r="K100" s="9">
        <v>167</v>
      </c>
      <c r="L100" s="9">
        <v>0</v>
      </c>
      <c r="M100" s="9">
        <v>252</v>
      </c>
      <c r="N100" s="9">
        <f>ROUND(458+1610,0)</f>
        <v>2068</v>
      </c>
    </row>
    <row r="101" spans="1:14" s="1" customFormat="1" ht="11.25" x14ac:dyDescent="0.2">
      <c r="A101" s="8" t="s">
        <v>92</v>
      </c>
      <c r="B101" s="9">
        <v>96</v>
      </c>
      <c r="C101" s="9">
        <v>167</v>
      </c>
      <c r="D101" s="9">
        <v>0</v>
      </c>
      <c r="E101" s="9">
        <v>156</v>
      </c>
      <c r="F101" s="9">
        <v>166</v>
      </c>
      <c r="G101" s="9">
        <v>200</v>
      </c>
      <c r="H101" s="9">
        <v>-31</v>
      </c>
      <c r="I101" s="9">
        <v>0</v>
      </c>
      <c r="J101" s="9">
        <v>0</v>
      </c>
      <c r="K101" s="9">
        <v>288</v>
      </c>
      <c r="L101" s="9">
        <v>498</v>
      </c>
      <c r="M101" s="9">
        <v>93</v>
      </c>
      <c r="N101" s="9">
        <f>ROUND(847+785,0)</f>
        <v>1632</v>
      </c>
    </row>
    <row r="102" spans="1:14" s="1" customFormat="1" ht="11.25" x14ac:dyDescent="0.2">
      <c r="A102" s="8" t="s">
        <v>93</v>
      </c>
      <c r="B102" s="9">
        <v>0</v>
      </c>
      <c r="C102" s="9">
        <v>44</v>
      </c>
      <c r="D102" s="9">
        <v>23</v>
      </c>
      <c r="E102" s="9">
        <v>16</v>
      </c>
      <c r="F102" s="9">
        <v>84</v>
      </c>
      <c r="G102" s="9">
        <v>92</v>
      </c>
      <c r="H102" s="9">
        <v>152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f>ROUND(152+258,0)</f>
        <v>410</v>
      </c>
    </row>
    <row r="103" spans="1:14" s="1" customFormat="1" ht="11.25" x14ac:dyDescent="0.2">
      <c r="A103" s="8" t="s">
        <v>94</v>
      </c>
      <c r="B103" s="9">
        <v>0</v>
      </c>
      <c r="C103" s="9">
        <v>103</v>
      </c>
      <c r="D103" s="9">
        <v>40</v>
      </c>
      <c r="E103" s="9">
        <v>249</v>
      </c>
      <c r="F103" s="9">
        <v>33</v>
      </c>
      <c r="G103" s="9">
        <v>184</v>
      </c>
      <c r="H103" s="9">
        <v>327</v>
      </c>
      <c r="I103" s="9">
        <v>0</v>
      </c>
      <c r="J103" s="9">
        <v>0</v>
      </c>
      <c r="K103" s="9">
        <v>525</v>
      </c>
      <c r="L103" s="9">
        <v>473</v>
      </c>
      <c r="M103" s="9">
        <v>660</v>
      </c>
      <c r="N103" s="9">
        <f>ROUND(1984+610,0)</f>
        <v>2594</v>
      </c>
    </row>
    <row r="104" spans="1:14" s="1" customFormat="1" ht="11.25" x14ac:dyDescent="0.2">
      <c r="A104" s="8" t="s">
        <v>95</v>
      </c>
      <c r="B104" s="9">
        <v>56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f>ROUND(0+56,0)</f>
        <v>56</v>
      </c>
    </row>
    <row r="105" spans="1:14" s="1" customFormat="1" ht="11.25" x14ac:dyDescent="0.2">
      <c r="A105" s="8" t="s">
        <v>96</v>
      </c>
      <c r="B105" s="9">
        <v>0</v>
      </c>
      <c r="C105" s="9">
        <v>145</v>
      </c>
      <c r="D105" s="9">
        <v>105</v>
      </c>
      <c r="E105" s="9">
        <v>0</v>
      </c>
      <c r="F105" s="9">
        <v>762</v>
      </c>
      <c r="G105" s="9">
        <v>-858</v>
      </c>
      <c r="H105" s="9">
        <v>338</v>
      </c>
      <c r="I105" s="9">
        <v>0</v>
      </c>
      <c r="J105" s="9">
        <v>0</v>
      </c>
      <c r="K105" s="9">
        <v>603</v>
      </c>
      <c r="L105" s="9">
        <v>375</v>
      </c>
      <c r="M105" s="9">
        <v>858</v>
      </c>
      <c r="N105" s="9">
        <f>ROUND(2175+154,0)</f>
        <v>2329</v>
      </c>
    </row>
    <row r="106" spans="1:14" s="1" customFormat="1" ht="11.25" x14ac:dyDescent="0.2">
      <c r="A106" s="8" t="s">
        <v>97</v>
      </c>
      <c r="B106" s="9">
        <v>62</v>
      </c>
      <c r="C106" s="9">
        <v>0</v>
      </c>
      <c r="D106" s="9">
        <v>95</v>
      </c>
      <c r="E106" s="9">
        <v>141</v>
      </c>
      <c r="F106" s="9">
        <v>9</v>
      </c>
      <c r="G106" s="9">
        <v>665</v>
      </c>
      <c r="H106" s="9">
        <v>104</v>
      </c>
      <c r="I106" s="9">
        <v>0</v>
      </c>
      <c r="J106" s="9">
        <v>0</v>
      </c>
      <c r="K106" s="9">
        <v>141</v>
      </c>
      <c r="L106" s="9">
        <v>381</v>
      </c>
      <c r="M106" s="9">
        <v>104</v>
      </c>
      <c r="N106" s="9">
        <f>ROUND(729+971,0)</f>
        <v>1700</v>
      </c>
    </row>
    <row r="107" spans="1:14" s="1" customFormat="1" ht="11.25" x14ac:dyDescent="0.2">
      <c r="A107" s="8" t="s">
        <v>98</v>
      </c>
      <c r="B107" s="9">
        <v>0</v>
      </c>
      <c r="C107" s="9">
        <v>16</v>
      </c>
      <c r="D107" s="9">
        <v>8</v>
      </c>
      <c r="E107" s="9">
        <v>24</v>
      </c>
      <c r="F107" s="9">
        <v>9</v>
      </c>
      <c r="G107" s="9">
        <v>54</v>
      </c>
      <c r="H107" s="9">
        <v>13</v>
      </c>
      <c r="I107" s="9">
        <v>0</v>
      </c>
      <c r="J107" s="9">
        <v>0</v>
      </c>
      <c r="K107" s="9">
        <v>230</v>
      </c>
      <c r="L107" s="9">
        <v>74</v>
      </c>
      <c r="M107" s="9">
        <v>555</v>
      </c>
      <c r="N107" s="9">
        <f>ROUND(872+111,0)</f>
        <v>983</v>
      </c>
    </row>
    <row r="108" spans="1:14" s="1" customFormat="1" ht="11.25" x14ac:dyDescent="0.2">
      <c r="A108" s="8" t="s">
        <v>99</v>
      </c>
      <c r="B108" s="9">
        <v>37</v>
      </c>
      <c r="C108" s="9">
        <v>0</v>
      </c>
      <c r="D108" s="9">
        <v>20</v>
      </c>
      <c r="E108" s="9">
        <v>21</v>
      </c>
      <c r="F108" s="9">
        <v>11</v>
      </c>
      <c r="G108" s="9">
        <v>50</v>
      </c>
      <c r="H108" s="9">
        <v>0</v>
      </c>
      <c r="I108" s="9">
        <v>0</v>
      </c>
      <c r="J108" s="9">
        <v>0</v>
      </c>
      <c r="K108" s="9">
        <v>54</v>
      </c>
      <c r="L108" s="9">
        <v>70</v>
      </c>
      <c r="M108" s="9">
        <v>266</v>
      </c>
      <c r="N108" s="9">
        <f>ROUND(390+139,0)</f>
        <v>529</v>
      </c>
    </row>
    <row r="109" spans="1:14" s="1" customFormat="1" ht="11.25" x14ac:dyDescent="0.2">
      <c r="A109" s="8" t="s">
        <v>100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49</v>
      </c>
      <c r="L109" s="9">
        <v>0</v>
      </c>
      <c r="M109" s="9">
        <v>-38</v>
      </c>
      <c r="N109" s="9">
        <f>ROUND(11+0,0)</f>
        <v>11</v>
      </c>
    </row>
    <row r="110" spans="1:14" s="1" customFormat="1" ht="11.25" x14ac:dyDescent="0.2">
      <c r="A110" s="8" t="s">
        <v>101</v>
      </c>
      <c r="B110" s="9">
        <v>0</v>
      </c>
      <c r="C110" s="9">
        <v>0</v>
      </c>
      <c r="D110" s="9">
        <v>0</v>
      </c>
      <c r="E110" s="9">
        <v>291</v>
      </c>
      <c r="F110" s="9">
        <v>0</v>
      </c>
      <c r="G110" s="9">
        <v>15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f>ROUND(0+305,0)</f>
        <v>305</v>
      </c>
    </row>
    <row r="111" spans="1:14" s="1" customFormat="1" ht="11.25" x14ac:dyDescent="0.2">
      <c r="A111" s="8" t="s">
        <v>102</v>
      </c>
      <c r="B111" s="9">
        <v>2421</v>
      </c>
      <c r="C111" s="9">
        <v>4234</v>
      </c>
      <c r="D111" s="9">
        <v>2746</v>
      </c>
      <c r="E111" s="9">
        <v>3055</v>
      </c>
      <c r="F111" s="9">
        <v>3364</v>
      </c>
      <c r="G111" s="9">
        <v>2438</v>
      </c>
      <c r="H111" s="9">
        <v>0</v>
      </c>
      <c r="I111" s="9">
        <v>190</v>
      </c>
      <c r="J111" s="9">
        <v>0</v>
      </c>
      <c r="K111" s="9">
        <v>0</v>
      </c>
      <c r="L111" s="9">
        <v>200</v>
      </c>
      <c r="M111" s="9">
        <v>600</v>
      </c>
      <c r="N111" s="9">
        <f>ROUND(990+18257,0)</f>
        <v>19247</v>
      </c>
    </row>
    <row r="112" spans="1:14" s="1" customFormat="1" ht="11.25" x14ac:dyDescent="0.2">
      <c r="A112" s="8" t="s">
        <v>103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65</v>
      </c>
      <c r="M112" s="9">
        <v>0</v>
      </c>
      <c r="N112" s="9">
        <f>ROUND(65+0,0)</f>
        <v>65</v>
      </c>
    </row>
    <row r="113" spans="1:14" s="1" customFormat="1" ht="11.25" x14ac:dyDescent="0.2">
      <c r="A113" s="8" t="s">
        <v>104</v>
      </c>
      <c r="B113" s="9">
        <v>0</v>
      </c>
      <c r="C113" s="9">
        <v>0</v>
      </c>
      <c r="D113" s="9">
        <v>0</v>
      </c>
      <c r="E113" s="9">
        <v>980</v>
      </c>
      <c r="F113" s="9">
        <v>400</v>
      </c>
      <c r="G113" s="9">
        <v>494</v>
      </c>
      <c r="H113" s="9">
        <v>0</v>
      </c>
      <c r="I113" s="9">
        <v>0</v>
      </c>
      <c r="J113" s="9">
        <v>2414</v>
      </c>
      <c r="K113" s="9">
        <v>400</v>
      </c>
      <c r="L113" s="9">
        <v>0</v>
      </c>
      <c r="M113" s="9">
        <v>0</v>
      </c>
      <c r="N113" s="9">
        <f>ROUND(2814+1874,0)</f>
        <v>4688</v>
      </c>
    </row>
    <row r="114" spans="1:14" s="1" customFormat="1" ht="11.25" x14ac:dyDescent="0.2">
      <c r="A114" s="8" t="s">
        <v>105</v>
      </c>
      <c r="B114" s="9">
        <v>0</v>
      </c>
      <c r="C114" s="9">
        <v>0</v>
      </c>
      <c r="D114" s="9">
        <v>0</v>
      </c>
      <c r="E114" s="9">
        <v>185</v>
      </c>
      <c r="F114" s="9">
        <v>0</v>
      </c>
      <c r="G114" s="9">
        <v>225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f>ROUND(0+410,0)</f>
        <v>410</v>
      </c>
    </row>
    <row r="115" spans="1:14" s="1" customFormat="1" ht="11.25" x14ac:dyDescent="0.2">
      <c r="A115" s="8" t="s">
        <v>106</v>
      </c>
      <c r="B115" s="9">
        <v>90</v>
      </c>
      <c r="C115" s="9">
        <v>0</v>
      </c>
      <c r="D115" s="9">
        <v>0</v>
      </c>
      <c r="E115" s="9">
        <v>150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160</v>
      </c>
      <c r="M115" s="9">
        <v>0</v>
      </c>
      <c r="N115" s="9">
        <f>ROUND(160+240,0)</f>
        <v>400</v>
      </c>
    </row>
    <row r="116" spans="1:14" s="1" customFormat="1" ht="11.25" x14ac:dyDescent="0.2">
      <c r="A116" s="8" t="s">
        <v>107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180</v>
      </c>
      <c r="L116" s="9">
        <v>0</v>
      </c>
      <c r="M116" s="9">
        <v>0</v>
      </c>
      <c r="N116" s="9">
        <f>ROUND(180+0,0)</f>
        <v>180</v>
      </c>
    </row>
    <row r="117" spans="1:14" s="1" customFormat="1" ht="11.25" x14ac:dyDescent="0.2">
      <c r="A117" s="8" t="s">
        <v>108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348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f>ROUND(0+348,0)</f>
        <v>348</v>
      </c>
    </row>
    <row r="118" spans="1:14" s="1" customFormat="1" ht="11.25" x14ac:dyDescent="0.2">
      <c r="A118" s="8" t="s">
        <v>109</v>
      </c>
      <c r="B118" s="9">
        <v>0</v>
      </c>
      <c r="C118" s="9">
        <v>875</v>
      </c>
      <c r="D118" s="9">
        <v>375</v>
      </c>
      <c r="E118" s="9">
        <v>0</v>
      </c>
      <c r="F118" s="9">
        <v>0</v>
      </c>
      <c r="G118" s="9">
        <v>0</v>
      </c>
      <c r="H118" s="9">
        <v>225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f>ROUND(225+1250,0)</f>
        <v>1475</v>
      </c>
    </row>
    <row r="119" spans="1:14" s="1" customFormat="1" ht="11.25" x14ac:dyDescent="0.2">
      <c r="A119" s="8" t="s">
        <v>110</v>
      </c>
      <c r="B119" s="9">
        <v>125</v>
      </c>
      <c r="C119" s="9">
        <v>166</v>
      </c>
      <c r="D119" s="9">
        <v>349</v>
      </c>
      <c r="E119" s="9">
        <v>558</v>
      </c>
      <c r="F119" s="9">
        <v>42</v>
      </c>
      <c r="G119" s="9">
        <v>133</v>
      </c>
      <c r="H119" s="9">
        <v>532</v>
      </c>
      <c r="I119" s="9">
        <v>108</v>
      </c>
      <c r="J119" s="9">
        <v>108</v>
      </c>
      <c r="K119" s="9">
        <v>33</v>
      </c>
      <c r="L119" s="9">
        <v>141</v>
      </c>
      <c r="M119" s="9">
        <v>141</v>
      </c>
      <c r="N119" s="9">
        <f>ROUND(1063+1372,0)</f>
        <v>2435</v>
      </c>
    </row>
    <row r="120" spans="1:14" customFormat="1" ht="15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15">
      <c r="A121" s="6" t="s">
        <v>111</v>
      </c>
      <c r="B121" s="12">
        <f>ROUND(SUBTOTAL(9, B99:B120), 5)</f>
        <v>2887</v>
      </c>
      <c r="C121" s="12">
        <f>ROUND(SUBTOTAL(9, C99:C120), 5)</f>
        <v>5911</v>
      </c>
      <c r="D121" s="12">
        <f>ROUND(SUBTOTAL(9, D99:D120), 5)</f>
        <v>3761</v>
      </c>
      <c r="E121" s="12">
        <f>ROUND(SUBTOTAL(9, E99:E120), 5)</f>
        <v>6565</v>
      </c>
      <c r="F121" s="12">
        <f>ROUND(SUBTOTAL(9, F99:F120), 5)</f>
        <v>4880</v>
      </c>
      <c r="G121" s="12">
        <f>ROUND(SUBTOTAL(9, G99:G120), 5)</f>
        <v>4750</v>
      </c>
      <c r="H121" s="12">
        <f>ROUND(SUBTOTAL(9, H99:H120), 5)</f>
        <v>1700</v>
      </c>
      <c r="I121" s="12">
        <f>ROUND(SUBTOTAL(9, I99:I120), 5)</f>
        <v>298</v>
      </c>
      <c r="J121" s="12">
        <f>ROUND(SUBTOTAL(9, J99:J120), 5)</f>
        <v>2522</v>
      </c>
      <c r="K121" s="12">
        <f>ROUND(SUBTOTAL(9, K99:K120), 5)</f>
        <v>2670</v>
      </c>
      <c r="L121" s="12">
        <f>ROUND(SUBTOTAL(9, L99:L120), 5)</f>
        <v>2437</v>
      </c>
      <c r="M121" s="12">
        <f>ROUND(SUBTOTAL(9, M99:M120), 5)</f>
        <v>3491</v>
      </c>
      <c r="N121" s="12">
        <f>ROUND(13115+28750,0)</f>
        <v>41865</v>
      </c>
    </row>
    <row r="122" spans="1:14" customFormat="1" ht="15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15">
      <c r="A123" s="6" t="s">
        <v>112</v>
      </c>
    </row>
    <row r="124" spans="1:14" s="1" customFormat="1" ht="11.25" x14ac:dyDescent="0.2">
      <c r="A124" s="8" t="s">
        <v>113</v>
      </c>
      <c r="B124" s="9">
        <v>1574</v>
      </c>
      <c r="C124" s="9">
        <v>1184</v>
      </c>
      <c r="D124" s="9">
        <v>2071</v>
      </c>
      <c r="E124" s="9">
        <v>2182</v>
      </c>
      <c r="F124" s="9">
        <v>2043</v>
      </c>
      <c r="G124" s="9">
        <v>2071</v>
      </c>
      <c r="H124" s="9">
        <v>2846</v>
      </c>
      <c r="I124" s="9">
        <v>2840</v>
      </c>
      <c r="J124" s="9">
        <v>2887</v>
      </c>
      <c r="K124" s="9">
        <v>3253</v>
      </c>
      <c r="L124" s="9">
        <v>3242</v>
      </c>
      <c r="M124" s="9">
        <v>2981</v>
      </c>
      <c r="N124" s="9">
        <f>ROUND(18050+11125,0)</f>
        <v>29175</v>
      </c>
    </row>
    <row r="125" spans="1:14" s="1" customFormat="1" ht="11.25" x14ac:dyDescent="0.2">
      <c r="A125" s="8" t="s">
        <v>114</v>
      </c>
      <c r="B125" s="9">
        <v>788</v>
      </c>
      <c r="C125" s="9">
        <v>2051</v>
      </c>
      <c r="D125" s="9">
        <v>1106</v>
      </c>
      <c r="E125" s="9">
        <v>1455</v>
      </c>
      <c r="F125" s="9">
        <v>1415</v>
      </c>
      <c r="G125" s="9">
        <v>1032</v>
      </c>
      <c r="H125" s="9">
        <v>0</v>
      </c>
      <c r="I125" s="9">
        <v>140</v>
      </c>
      <c r="J125" s="9">
        <v>140</v>
      </c>
      <c r="K125" s="9">
        <v>0</v>
      </c>
      <c r="L125" s="9">
        <v>195</v>
      </c>
      <c r="M125" s="9">
        <v>0</v>
      </c>
      <c r="N125" s="9">
        <f>ROUND(475+7846,0)</f>
        <v>8321</v>
      </c>
    </row>
    <row r="126" spans="1:14" s="1" customFormat="1" ht="11.25" x14ac:dyDescent="0.2">
      <c r="A126" s="8" t="s">
        <v>115</v>
      </c>
      <c r="B126" s="9">
        <v>110</v>
      </c>
      <c r="C126" s="9">
        <v>150</v>
      </c>
      <c r="D126" s="9">
        <v>210</v>
      </c>
      <c r="E126" s="9">
        <v>65</v>
      </c>
      <c r="F126" s="9">
        <v>85</v>
      </c>
      <c r="G126" s="9">
        <v>98</v>
      </c>
      <c r="H126" s="9">
        <v>90</v>
      </c>
      <c r="I126" s="9">
        <v>100</v>
      </c>
      <c r="J126" s="9">
        <v>170</v>
      </c>
      <c r="K126" s="9">
        <v>115</v>
      </c>
      <c r="L126" s="9">
        <v>75</v>
      </c>
      <c r="M126" s="9">
        <v>190</v>
      </c>
      <c r="N126" s="9">
        <f>ROUND(740+718,0)</f>
        <v>1458</v>
      </c>
    </row>
    <row r="127" spans="1:14" s="1" customFormat="1" ht="11.25" x14ac:dyDescent="0.2">
      <c r="A127" s="8" t="s">
        <v>116</v>
      </c>
      <c r="B127" s="9">
        <v>732</v>
      </c>
      <c r="C127" s="9">
        <v>732</v>
      </c>
      <c r="D127" s="9">
        <v>732</v>
      </c>
      <c r="E127" s="9">
        <v>732</v>
      </c>
      <c r="F127" s="9">
        <v>732</v>
      </c>
      <c r="G127" s="9">
        <v>732</v>
      </c>
      <c r="H127" s="9">
        <v>732</v>
      </c>
      <c r="I127" s="9">
        <v>732</v>
      </c>
      <c r="J127" s="9">
        <v>787</v>
      </c>
      <c r="K127" s="9">
        <v>768</v>
      </c>
      <c r="L127" s="9">
        <v>768</v>
      </c>
      <c r="M127" s="9">
        <v>768</v>
      </c>
      <c r="N127" s="9">
        <f>ROUND(4555+4391,0)</f>
        <v>8946</v>
      </c>
    </row>
    <row r="128" spans="1:14" s="1" customFormat="1" ht="11.25" x14ac:dyDescent="0.2">
      <c r="A128" s="8" t="s">
        <v>117</v>
      </c>
      <c r="B128" s="9">
        <v>0</v>
      </c>
      <c r="C128" s="9">
        <v>61</v>
      </c>
      <c r="D128" s="9">
        <v>57</v>
      </c>
      <c r="E128" s="9">
        <v>0</v>
      </c>
      <c r="F128" s="9">
        <v>0</v>
      </c>
      <c r="G128" s="9">
        <v>0</v>
      </c>
      <c r="H128" s="9">
        <v>1138</v>
      </c>
      <c r="I128" s="9">
        <v>412</v>
      </c>
      <c r="J128" s="9">
        <v>0</v>
      </c>
      <c r="K128" s="9">
        <v>2875</v>
      </c>
      <c r="L128" s="9">
        <v>1534</v>
      </c>
      <c r="M128" s="9">
        <v>3583</v>
      </c>
      <c r="N128" s="9">
        <f>ROUND(9540+118,0)</f>
        <v>9658</v>
      </c>
    </row>
    <row r="129" spans="1:14" s="1" customFormat="1" ht="11.25" x14ac:dyDescent="0.2">
      <c r="A129" s="8" t="s">
        <v>118</v>
      </c>
      <c r="B129" s="9">
        <v>396</v>
      </c>
      <c r="C129" s="9">
        <v>446</v>
      </c>
      <c r="D129" s="9">
        <v>194</v>
      </c>
      <c r="E129" s="9">
        <v>412</v>
      </c>
      <c r="F129" s="9">
        <v>345</v>
      </c>
      <c r="G129" s="9">
        <v>158</v>
      </c>
      <c r="H129" s="9">
        <v>655</v>
      </c>
      <c r="I129" s="9">
        <v>1174</v>
      </c>
      <c r="J129" s="9">
        <v>1474</v>
      </c>
      <c r="K129" s="9">
        <v>0</v>
      </c>
      <c r="L129" s="9">
        <v>1128</v>
      </c>
      <c r="M129" s="9">
        <v>80</v>
      </c>
      <c r="N129" s="9">
        <f>ROUND(4511+1951,0)</f>
        <v>6462</v>
      </c>
    </row>
    <row r="130" spans="1:14" s="1" customFormat="1" ht="11.25" x14ac:dyDescent="0.2">
      <c r="A130" s="8" t="s">
        <v>119</v>
      </c>
      <c r="B130" s="9">
        <v>6</v>
      </c>
      <c r="C130" s="9">
        <v>6</v>
      </c>
      <c r="D130" s="9">
        <v>15</v>
      </c>
      <c r="E130" s="9">
        <v>5</v>
      </c>
      <c r="F130" s="9">
        <v>5</v>
      </c>
      <c r="G130" s="9">
        <v>5</v>
      </c>
      <c r="H130" s="9">
        <v>5</v>
      </c>
      <c r="I130" s="9">
        <v>5</v>
      </c>
      <c r="J130" s="9">
        <v>5</v>
      </c>
      <c r="K130" s="9">
        <v>5</v>
      </c>
      <c r="L130" s="9">
        <v>5</v>
      </c>
      <c r="M130" s="9">
        <v>46</v>
      </c>
      <c r="N130" s="9">
        <f>ROUND(71+42,0)</f>
        <v>113</v>
      </c>
    </row>
    <row r="131" spans="1:14" s="1" customFormat="1" ht="11.25" x14ac:dyDescent="0.2">
      <c r="A131" s="8" t="s">
        <v>120</v>
      </c>
      <c r="B131" s="9">
        <v>301</v>
      </c>
      <c r="C131" s="9">
        <v>378</v>
      </c>
      <c r="D131" s="9">
        <v>367</v>
      </c>
      <c r="E131" s="9">
        <v>356</v>
      </c>
      <c r="F131" s="9">
        <v>414</v>
      </c>
      <c r="G131" s="9">
        <v>408</v>
      </c>
      <c r="H131" s="9">
        <v>592</v>
      </c>
      <c r="I131" s="9">
        <v>556</v>
      </c>
      <c r="J131" s="9">
        <v>372</v>
      </c>
      <c r="K131" s="9">
        <v>354</v>
      </c>
      <c r="L131" s="9">
        <v>349</v>
      </c>
      <c r="M131" s="9">
        <v>338</v>
      </c>
      <c r="N131" s="9">
        <f>ROUND(2560+2224,0)</f>
        <v>4784</v>
      </c>
    </row>
    <row r="132" spans="1:14" s="1" customFormat="1" ht="11.25" x14ac:dyDescent="0.2">
      <c r="A132" s="8" t="s">
        <v>121</v>
      </c>
      <c r="B132" s="9">
        <v>34</v>
      </c>
      <c r="C132" s="9">
        <v>43</v>
      </c>
      <c r="D132" s="9">
        <v>23</v>
      </c>
      <c r="E132" s="9">
        <v>35</v>
      </c>
      <c r="F132" s="9">
        <v>30</v>
      </c>
      <c r="G132" s="9">
        <v>16</v>
      </c>
      <c r="H132" s="9">
        <v>95</v>
      </c>
      <c r="I132" s="9">
        <v>215</v>
      </c>
      <c r="J132" s="9">
        <v>141</v>
      </c>
      <c r="K132" s="9">
        <v>476</v>
      </c>
      <c r="L132" s="9">
        <v>276</v>
      </c>
      <c r="M132" s="9">
        <v>288</v>
      </c>
      <c r="N132" s="9">
        <f>ROUND(1492+180,0)</f>
        <v>1672</v>
      </c>
    </row>
    <row r="133" spans="1:14" s="1" customFormat="1" ht="11.25" x14ac:dyDescent="0.2">
      <c r="A133" s="8" t="s">
        <v>122</v>
      </c>
      <c r="B133" s="9">
        <v>4</v>
      </c>
      <c r="C133" s="9">
        <v>4</v>
      </c>
      <c r="D133" s="9">
        <v>4</v>
      </c>
      <c r="E133" s="9">
        <v>4</v>
      </c>
      <c r="F133" s="9">
        <v>4</v>
      </c>
      <c r="G133" s="9">
        <v>4</v>
      </c>
      <c r="H133" s="9">
        <v>4</v>
      </c>
      <c r="I133" s="9">
        <v>4</v>
      </c>
      <c r="J133" s="9">
        <v>4</v>
      </c>
      <c r="K133" s="9">
        <v>4</v>
      </c>
      <c r="L133" s="9">
        <v>4</v>
      </c>
      <c r="M133" s="9">
        <v>356</v>
      </c>
      <c r="N133" s="9">
        <f>ROUND(374+24,0)</f>
        <v>398</v>
      </c>
    </row>
    <row r="134" spans="1:14" s="1" customFormat="1" ht="11.25" x14ac:dyDescent="0.2">
      <c r="A134" s="8" t="s">
        <v>123</v>
      </c>
      <c r="B134" s="9">
        <v>150</v>
      </c>
      <c r="C134" s="9">
        <v>135</v>
      </c>
      <c r="D134" s="9">
        <v>135</v>
      </c>
      <c r="E134" s="9">
        <v>135</v>
      </c>
      <c r="F134" s="9">
        <v>131</v>
      </c>
      <c r="G134" s="9">
        <v>131</v>
      </c>
      <c r="H134" s="9">
        <v>131</v>
      </c>
      <c r="I134" s="9">
        <v>131</v>
      </c>
      <c r="J134" s="9">
        <v>136</v>
      </c>
      <c r="K134" s="9">
        <v>136</v>
      </c>
      <c r="L134" s="9">
        <v>136</v>
      </c>
      <c r="M134" s="9">
        <v>142</v>
      </c>
      <c r="N134" s="9">
        <f>ROUND(811+815,0)</f>
        <v>1626</v>
      </c>
    </row>
    <row r="135" spans="1:14" s="1" customFormat="1" ht="11.25" x14ac:dyDescent="0.2">
      <c r="A135" s="8" t="s">
        <v>124</v>
      </c>
      <c r="B135" s="9">
        <v>0</v>
      </c>
      <c r="C135" s="9">
        <v>-360</v>
      </c>
      <c r="D135" s="9">
        <v>-10</v>
      </c>
      <c r="E135" s="9">
        <v>0</v>
      </c>
      <c r="F135" s="9">
        <v>0</v>
      </c>
      <c r="G135" s="9">
        <v>6228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f>ROUND(0+5858,0)</f>
        <v>5858</v>
      </c>
    </row>
    <row r="136" spans="1:14" customFormat="1" ht="15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15">
      <c r="A137" s="6" t="s">
        <v>125</v>
      </c>
      <c r="B137" s="12">
        <f>ROUND(SUBTOTAL(9, B123:B136), 5)</f>
        <v>4095</v>
      </c>
      <c r="C137" s="12">
        <f>ROUND(SUBTOTAL(9, C123:C136), 5)</f>
        <v>4830</v>
      </c>
      <c r="D137" s="12">
        <f>ROUND(SUBTOTAL(9, D123:D136), 5)</f>
        <v>4904</v>
      </c>
      <c r="E137" s="12">
        <f>ROUND(SUBTOTAL(9, E123:E136), 5)</f>
        <v>5381</v>
      </c>
      <c r="F137" s="12">
        <f>ROUND(SUBTOTAL(9, F123:F136), 5)</f>
        <v>5204</v>
      </c>
      <c r="G137" s="12">
        <f>ROUND(SUBTOTAL(9, G123:G136), 5)</f>
        <v>10883</v>
      </c>
      <c r="H137" s="12">
        <f>ROUND(SUBTOTAL(9, H123:H136), 5)</f>
        <v>6288</v>
      </c>
      <c r="I137" s="12">
        <f>ROUND(SUBTOTAL(9, I123:I136), 5)</f>
        <v>6309</v>
      </c>
      <c r="J137" s="12">
        <f>ROUND(SUBTOTAL(9, J123:J136), 5)</f>
        <v>6116</v>
      </c>
      <c r="K137" s="12">
        <f>ROUND(SUBTOTAL(9, K123:K136), 5)</f>
        <v>7986</v>
      </c>
      <c r="L137" s="12">
        <f>ROUND(SUBTOTAL(9, L123:L136), 5)</f>
        <v>7712</v>
      </c>
      <c r="M137" s="12">
        <f>ROUND(SUBTOTAL(9, M123:M136), 5)</f>
        <v>8772</v>
      </c>
      <c r="N137" s="12">
        <f>ROUND(43179+35292,0)</f>
        <v>78471</v>
      </c>
    </row>
    <row r="138" spans="1:14" customFormat="1" ht="15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15">
      <c r="A139" s="6" t="s">
        <v>126</v>
      </c>
    </row>
    <row r="140" spans="1:14" s="1" customFormat="1" ht="11.25" x14ac:dyDescent="0.2">
      <c r="A140" s="8" t="s">
        <v>127</v>
      </c>
      <c r="B140" s="9">
        <v>2670</v>
      </c>
      <c r="C140" s="9">
        <v>2684</v>
      </c>
      <c r="D140" s="9">
        <v>2783</v>
      </c>
      <c r="E140" s="9">
        <v>2778</v>
      </c>
      <c r="F140" s="9">
        <v>2681</v>
      </c>
      <c r="G140" s="9">
        <v>2486</v>
      </c>
      <c r="H140" s="9">
        <v>2658</v>
      </c>
      <c r="I140" s="9">
        <v>2675</v>
      </c>
      <c r="J140" s="9">
        <v>2672</v>
      </c>
      <c r="K140" s="9">
        <v>2799</v>
      </c>
      <c r="L140" s="9">
        <v>2733</v>
      </c>
      <c r="M140" s="9">
        <v>2711</v>
      </c>
      <c r="N140" s="9">
        <f>ROUND(16248+16083,0)</f>
        <v>32331</v>
      </c>
    </row>
    <row r="141" spans="1:14" customFormat="1" ht="15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15">
      <c r="A142" s="6" t="s">
        <v>128</v>
      </c>
      <c r="B142" s="12">
        <f>ROUND(SUBTOTAL(9, B139:B141), 5)</f>
        <v>2670</v>
      </c>
      <c r="C142" s="12">
        <f>ROUND(SUBTOTAL(9, C139:C141), 5)</f>
        <v>2684</v>
      </c>
      <c r="D142" s="12">
        <f>ROUND(SUBTOTAL(9, D139:D141), 5)</f>
        <v>2783</v>
      </c>
      <c r="E142" s="12">
        <f>ROUND(SUBTOTAL(9, E139:E141), 5)</f>
        <v>2778</v>
      </c>
      <c r="F142" s="12">
        <f>ROUND(SUBTOTAL(9, F139:F141), 5)</f>
        <v>2681</v>
      </c>
      <c r="G142" s="12">
        <f>ROUND(SUBTOTAL(9, G139:G141), 5)</f>
        <v>2486</v>
      </c>
      <c r="H142" s="12">
        <f>ROUND(SUBTOTAL(9, H139:H141), 5)</f>
        <v>2658</v>
      </c>
      <c r="I142" s="12">
        <f>ROUND(SUBTOTAL(9, I139:I141), 5)</f>
        <v>2675</v>
      </c>
      <c r="J142" s="12">
        <f>ROUND(SUBTOTAL(9, J139:J141), 5)</f>
        <v>2672</v>
      </c>
      <c r="K142" s="12">
        <f>ROUND(SUBTOTAL(9, K139:K141), 5)</f>
        <v>2799</v>
      </c>
      <c r="L142" s="12">
        <f>ROUND(SUBTOTAL(9, L139:L141), 5)</f>
        <v>2733</v>
      </c>
      <c r="M142" s="12">
        <f>ROUND(SUBTOTAL(9, M139:M141), 5)</f>
        <v>2711</v>
      </c>
      <c r="N142" s="12">
        <f>ROUND(16248+16083,0)</f>
        <v>32331</v>
      </c>
    </row>
    <row r="143" spans="1:14" customFormat="1" ht="15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15">
      <c r="A144" s="6" t="s">
        <v>129</v>
      </c>
    </row>
    <row r="145" spans="1:14" s="1" customFormat="1" ht="11.25" x14ac:dyDescent="0.2">
      <c r="A145" s="8" t="s">
        <v>130</v>
      </c>
      <c r="B145" s="9">
        <v>2807</v>
      </c>
      <c r="C145" s="9">
        <v>2546</v>
      </c>
      <c r="D145" s="9">
        <v>2551</v>
      </c>
      <c r="E145" s="9">
        <v>2641</v>
      </c>
      <c r="F145" s="9">
        <v>1716</v>
      </c>
      <c r="G145" s="9">
        <v>1658</v>
      </c>
      <c r="H145" s="9">
        <v>2085</v>
      </c>
      <c r="I145" s="9">
        <v>1289</v>
      </c>
      <c r="J145" s="9">
        <v>1080</v>
      </c>
      <c r="K145" s="9">
        <v>2234</v>
      </c>
      <c r="L145" s="9">
        <v>2917</v>
      </c>
      <c r="M145" s="9">
        <v>3062</v>
      </c>
      <c r="N145" s="9">
        <f>ROUND(12667+13919,0)</f>
        <v>26586</v>
      </c>
    </row>
    <row r="146" spans="1:14" s="1" customFormat="1" ht="11.25" x14ac:dyDescent="0.2">
      <c r="A146" s="8" t="s">
        <v>131</v>
      </c>
      <c r="B146" s="9">
        <v>1182</v>
      </c>
      <c r="C146" s="9">
        <v>1118</v>
      </c>
      <c r="D146" s="9">
        <v>1119</v>
      </c>
      <c r="E146" s="9">
        <v>1065</v>
      </c>
      <c r="F146" s="9">
        <v>1060</v>
      </c>
      <c r="G146" s="9">
        <v>1060</v>
      </c>
      <c r="H146" s="9">
        <v>1063</v>
      </c>
      <c r="I146" s="9">
        <v>1137</v>
      </c>
      <c r="J146" s="9">
        <v>1079</v>
      </c>
      <c r="K146" s="9">
        <v>1012</v>
      </c>
      <c r="L146" s="9">
        <v>1012</v>
      </c>
      <c r="M146" s="9">
        <v>1066</v>
      </c>
      <c r="N146" s="9">
        <f>ROUND(6367+6604,0)</f>
        <v>12971</v>
      </c>
    </row>
    <row r="147" spans="1:14" s="1" customFormat="1" ht="11.25" x14ac:dyDescent="0.2">
      <c r="A147" s="8" t="s">
        <v>132</v>
      </c>
      <c r="B147" s="9">
        <v>311</v>
      </c>
      <c r="C147" s="9">
        <v>320</v>
      </c>
      <c r="D147" s="9">
        <v>303</v>
      </c>
      <c r="E147" s="9">
        <v>378</v>
      </c>
      <c r="F147" s="9">
        <v>420</v>
      </c>
      <c r="G147" s="9">
        <v>588</v>
      </c>
      <c r="H147" s="9">
        <v>645</v>
      </c>
      <c r="I147" s="9">
        <v>714</v>
      </c>
      <c r="J147" s="9">
        <v>955</v>
      </c>
      <c r="K147" s="9">
        <v>599</v>
      </c>
      <c r="L147" s="9">
        <v>677</v>
      </c>
      <c r="M147" s="9">
        <v>559</v>
      </c>
      <c r="N147" s="9">
        <f>ROUND(4148+2320,0)</f>
        <v>6468</v>
      </c>
    </row>
    <row r="148" spans="1:14" s="1" customFormat="1" ht="11.25" x14ac:dyDescent="0.2">
      <c r="A148" s="8" t="s">
        <v>133</v>
      </c>
      <c r="B148" s="9">
        <v>6461</v>
      </c>
      <c r="C148" s="9">
        <v>7458</v>
      </c>
      <c r="D148" s="9">
        <v>6426</v>
      </c>
      <c r="E148" s="9">
        <v>5234</v>
      </c>
      <c r="F148" s="9">
        <v>3617</v>
      </c>
      <c r="G148" s="9">
        <v>3045</v>
      </c>
      <c r="H148" s="9">
        <v>3369</v>
      </c>
      <c r="I148" s="9">
        <v>3280</v>
      </c>
      <c r="J148" s="9">
        <v>2881</v>
      </c>
      <c r="K148" s="9">
        <v>3294</v>
      </c>
      <c r="L148" s="9">
        <v>4299</v>
      </c>
      <c r="M148" s="9">
        <v>5958</v>
      </c>
      <c r="N148" s="9">
        <f>ROUND(23082+32241,0)</f>
        <v>55323</v>
      </c>
    </row>
    <row r="149" spans="1:14" s="1" customFormat="1" ht="11.25" x14ac:dyDescent="0.2">
      <c r="A149" s="8" t="s">
        <v>134</v>
      </c>
      <c r="B149" s="9">
        <v>1309</v>
      </c>
      <c r="C149" s="9">
        <v>1309</v>
      </c>
      <c r="D149" s="9">
        <v>1379</v>
      </c>
      <c r="E149" s="9">
        <v>1576</v>
      </c>
      <c r="F149" s="9">
        <v>1576</v>
      </c>
      <c r="G149" s="9">
        <v>1576</v>
      </c>
      <c r="H149" s="9">
        <v>1576</v>
      </c>
      <c r="I149" s="9">
        <v>1576</v>
      </c>
      <c r="J149" s="9">
        <v>1576</v>
      </c>
      <c r="K149" s="9">
        <v>1576</v>
      </c>
      <c r="L149" s="9">
        <v>1576</v>
      </c>
      <c r="M149" s="9">
        <v>1645</v>
      </c>
      <c r="N149" s="9">
        <f>ROUND(9523+8724,0)</f>
        <v>18247</v>
      </c>
    </row>
    <row r="150" spans="1:14" customFormat="1" ht="15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15">
      <c r="A151" s="6" t="s">
        <v>135</v>
      </c>
      <c r="B151" s="12">
        <f>ROUND(SUBTOTAL(9, B144:B150), 5)</f>
        <v>12070</v>
      </c>
      <c r="C151" s="12">
        <f>ROUND(SUBTOTAL(9, C144:C150), 5)</f>
        <v>12751</v>
      </c>
      <c r="D151" s="12">
        <f>ROUND(SUBTOTAL(9, D144:D150), 5)</f>
        <v>11778</v>
      </c>
      <c r="E151" s="12">
        <f>ROUND(SUBTOTAL(9, E144:E150), 5)</f>
        <v>10894</v>
      </c>
      <c r="F151" s="12">
        <f>ROUND(SUBTOTAL(9, F144:F150), 5)</f>
        <v>8389</v>
      </c>
      <c r="G151" s="12">
        <f>ROUND(SUBTOTAL(9, G144:G150), 5)</f>
        <v>7927</v>
      </c>
      <c r="H151" s="12">
        <f>ROUND(SUBTOTAL(9, H144:H150), 5)</f>
        <v>8738</v>
      </c>
      <c r="I151" s="12">
        <f>ROUND(SUBTOTAL(9, I144:I150), 5)</f>
        <v>7996</v>
      </c>
      <c r="J151" s="12">
        <f>ROUND(SUBTOTAL(9, J144:J150), 5)</f>
        <v>7571</v>
      </c>
      <c r="K151" s="12">
        <f>ROUND(SUBTOTAL(9, K144:K150), 5)</f>
        <v>8715</v>
      </c>
      <c r="L151" s="12">
        <f>ROUND(SUBTOTAL(9, L144:L150), 5)</f>
        <v>10481</v>
      </c>
      <c r="M151" s="12">
        <f>ROUND(SUBTOTAL(9, M144:M150), 5)</f>
        <v>12290</v>
      </c>
      <c r="N151" s="12">
        <f>ROUND(55787+63808,0)</f>
        <v>119595</v>
      </c>
    </row>
    <row r="152" spans="1:14" customFormat="1" ht="15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15">
      <c r="A153" s="6" t="s">
        <v>136</v>
      </c>
    </row>
    <row r="154" spans="1:14" s="1" customFormat="1" ht="11.25" x14ac:dyDescent="0.2">
      <c r="A154" s="8" t="s">
        <v>137</v>
      </c>
      <c r="B154" s="9">
        <v>1006</v>
      </c>
      <c r="C154" s="9">
        <v>1006</v>
      </c>
      <c r="D154" s="9">
        <v>1006</v>
      </c>
      <c r="E154" s="9">
        <v>1006</v>
      </c>
      <c r="F154" s="9">
        <v>1409</v>
      </c>
      <c r="G154" s="9">
        <v>1409</v>
      </c>
      <c r="H154" s="9">
        <v>1409</v>
      </c>
      <c r="I154" s="9">
        <v>1409</v>
      </c>
      <c r="J154" s="9">
        <v>1409</v>
      </c>
      <c r="K154" s="9">
        <v>1409</v>
      </c>
      <c r="L154" s="9">
        <v>1409</v>
      </c>
      <c r="M154" s="9">
        <v>1409</v>
      </c>
      <c r="N154" s="9">
        <f>ROUND(8454+6843,0)</f>
        <v>15297</v>
      </c>
    </row>
    <row r="155" spans="1:14" customFormat="1" ht="15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15">
      <c r="A156" s="6" t="s">
        <v>138</v>
      </c>
      <c r="B156" s="12">
        <f>ROUND(SUBTOTAL(9, B153:B155), 5)</f>
        <v>1006</v>
      </c>
      <c r="C156" s="12">
        <f>ROUND(SUBTOTAL(9, C153:C155), 5)</f>
        <v>1006</v>
      </c>
      <c r="D156" s="12">
        <f>ROUND(SUBTOTAL(9, D153:D155), 5)</f>
        <v>1006</v>
      </c>
      <c r="E156" s="12">
        <f>ROUND(SUBTOTAL(9, E153:E155), 5)</f>
        <v>1006</v>
      </c>
      <c r="F156" s="12">
        <f>ROUND(SUBTOTAL(9, F153:F155), 5)</f>
        <v>1409</v>
      </c>
      <c r="G156" s="12">
        <f>ROUND(SUBTOTAL(9, G153:G155), 5)</f>
        <v>1409</v>
      </c>
      <c r="H156" s="12">
        <f>ROUND(SUBTOTAL(9, H153:H155), 5)</f>
        <v>1409</v>
      </c>
      <c r="I156" s="12">
        <f>ROUND(SUBTOTAL(9, I153:I155), 5)</f>
        <v>1409</v>
      </c>
      <c r="J156" s="12">
        <f>ROUND(SUBTOTAL(9, J153:J155), 5)</f>
        <v>1409</v>
      </c>
      <c r="K156" s="12">
        <f>ROUND(SUBTOTAL(9, K153:K155), 5)</f>
        <v>1409</v>
      </c>
      <c r="L156" s="12">
        <f>ROUND(SUBTOTAL(9, L153:L155), 5)</f>
        <v>1409</v>
      </c>
      <c r="M156" s="12">
        <f>ROUND(SUBTOTAL(9, M153:M155), 5)</f>
        <v>1409</v>
      </c>
      <c r="N156" s="12">
        <f>ROUND(8454+6843,0)</f>
        <v>15297</v>
      </c>
    </row>
    <row r="157" spans="1:14" customFormat="1" ht="15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15">
      <c r="A158" s="6" t="s">
        <v>139</v>
      </c>
    </row>
    <row r="159" spans="1:14" s="1" customFormat="1" ht="11.25" x14ac:dyDescent="0.2">
      <c r="A159" s="8" t="s">
        <v>140</v>
      </c>
      <c r="B159" s="9">
        <v>2379</v>
      </c>
      <c r="C159" s="9">
        <v>2379</v>
      </c>
      <c r="D159" s="9">
        <v>2379</v>
      </c>
      <c r="E159" s="9">
        <v>2379</v>
      </c>
      <c r="F159" s="9">
        <v>2379</v>
      </c>
      <c r="G159" s="9">
        <v>1879</v>
      </c>
      <c r="H159" s="9">
        <v>2379</v>
      </c>
      <c r="I159" s="9">
        <v>2379</v>
      </c>
      <c r="J159" s="9">
        <v>2379</v>
      </c>
      <c r="K159" s="9">
        <v>2379</v>
      </c>
      <c r="L159" s="9">
        <v>2379</v>
      </c>
      <c r="M159" s="9">
        <v>2339</v>
      </c>
      <c r="N159" s="9">
        <f>ROUND(14233+13773,0)</f>
        <v>28006</v>
      </c>
    </row>
    <row r="160" spans="1:14" s="1" customFormat="1" ht="11.25" x14ac:dyDescent="0.2">
      <c r="A160" s="8" t="s">
        <v>141</v>
      </c>
      <c r="B160" s="9">
        <v>121</v>
      </c>
      <c r="C160" s="9">
        <v>86</v>
      </c>
      <c r="D160" s="9">
        <v>-33</v>
      </c>
      <c r="E160" s="9">
        <v>-324</v>
      </c>
      <c r="F160" s="9">
        <v>70</v>
      </c>
      <c r="G160" s="9">
        <v>84</v>
      </c>
      <c r="H160" s="9">
        <v>81</v>
      </c>
      <c r="I160" s="9">
        <v>144</v>
      </c>
      <c r="J160" s="9">
        <v>75</v>
      </c>
      <c r="K160" s="9">
        <v>77</v>
      </c>
      <c r="L160" s="9">
        <v>96</v>
      </c>
      <c r="M160" s="9">
        <v>206</v>
      </c>
      <c r="N160" s="9">
        <f>ROUND(678+3,0)</f>
        <v>681</v>
      </c>
    </row>
    <row r="161" spans="1:14" s="1" customFormat="1" ht="11.25" x14ac:dyDescent="0.2">
      <c r="A161" s="8" t="s">
        <v>142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50</v>
      </c>
      <c r="J161" s="9">
        <v>0</v>
      </c>
      <c r="K161" s="9">
        <v>250</v>
      </c>
      <c r="L161" s="9">
        <v>320</v>
      </c>
      <c r="M161" s="9">
        <v>0</v>
      </c>
      <c r="N161" s="9">
        <f>ROUND(620+0,0)</f>
        <v>620</v>
      </c>
    </row>
    <row r="162" spans="1:14" customFormat="1" ht="15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15">
      <c r="A163" s="6" t="s">
        <v>143</v>
      </c>
      <c r="B163" s="12">
        <f>ROUND(SUBTOTAL(9, B158:B162), 5)</f>
        <v>2500</v>
      </c>
      <c r="C163" s="12">
        <f>ROUND(SUBTOTAL(9, C158:C162), 5)</f>
        <v>2465</v>
      </c>
      <c r="D163" s="12">
        <f>ROUND(SUBTOTAL(9, D158:D162), 5)</f>
        <v>2346</v>
      </c>
      <c r="E163" s="12">
        <f>ROUND(SUBTOTAL(9, E158:E162), 5)</f>
        <v>2055</v>
      </c>
      <c r="F163" s="12">
        <f>ROUND(SUBTOTAL(9, F158:F162), 5)</f>
        <v>2449</v>
      </c>
      <c r="G163" s="12">
        <f>ROUND(SUBTOTAL(9, G158:G162), 5)</f>
        <v>1963</v>
      </c>
      <c r="H163" s="12">
        <f>ROUND(SUBTOTAL(9, H158:H162), 5)</f>
        <v>2460</v>
      </c>
      <c r="I163" s="12">
        <f>ROUND(SUBTOTAL(9, I158:I162), 5)</f>
        <v>2573</v>
      </c>
      <c r="J163" s="12">
        <f>ROUND(SUBTOTAL(9, J158:J162), 5)</f>
        <v>2454</v>
      </c>
      <c r="K163" s="12">
        <f>ROUND(SUBTOTAL(9, K158:K162), 5)</f>
        <v>2706</v>
      </c>
      <c r="L163" s="12">
        <f>ROUND(SUBTOTAL(9, L158:L162), 5)</f>
        <v>2795</v>
      </c>
      <c r="M163" s="12">
        <f>ROUND(SUBTOTAL(9, M158:M162), 5)</f>
        <v>2545</v>
      </c>
      <c r="N163" s="12">
        <f>ROUND(15531+13776,0)</f>
        <v>29307</v>
      </c>
    </row>
    <row r="164" spans="1:14" customFormat="1" ht="15" x14ac:dyDescent="0.25">
      <c r="A164" s="10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customFormat="1" ht="15" x14ac:dyDescent="0.25">
      <c r="A165" s="1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15">
      <c r="A166" s="6" t="s">
        <v>144</v>
      </c>
      <c r="B166" s="12">
        <f>ROUND(B48+B70+B82+B91+B97+B121+B137+B142+B151+B156+B163, 5)</f>
        <v>29357</v>
      </c>
      <c r="C166" s="12">
        <f>ROUND(C48+C70+C82+C91+C97+C121+C137+C142+C151+C156+C163, 5)</f>
        <v>38443</v>
      </c>
      <c r="D166" s="12">
        <f>ROUND(D48+D70+D82+D91+D97+D121+D137+D142+D151+D156+D163, 5)</f>
        <v>29558</v>
      </c>
      <c r="E166" s="12">
        <f>ROUND(E48+E70+E82+E91+E97+E121+E137+E142+E151+E156+E163, 5)</f>
        <v>33686</v>
      </c>
      <c r="F166" s="12">
        <f>ROUND(F48+F70+F82+F91+F97+F121+F137+F142+F151+F156+F163, 5)</f>
        <v>28154</v>
      </c>
      <c r="G166" s="12">
        <f>ROUND(G48+G70+G82+G91+G97+G121+G137+G142+G151+G156+G163, 5)</f>
        <v>34226</v>
      </c>
      <c r="H166" s="12">
        <f>ROUND(H48+H70+H82+H91+H97+H121+H137+H142+H151+H156+H163, 5)</f>
        <v>27908</v>
      </c>
      <c r="I166" s="12">
        <f>ROUND(I48+I70+I82+I91+I97+I121+I137+I142+I151+I156+I163, 5)</f>
        <v>24124</v>
      </c>
      <c r="J166" s="12">
        <f>ROUND(J48+J70+J82+J91+J97+J121+J137+J142+J151+J156+J163, 5)</f>
        <v>27366</v>
      </c>
      <c r="K166" s="12">
        <f>ROUND(K48+K70+K82+K91+K97+K121+K137+K142+K151+K156+K163, 5)</f>
        <v>34891</v>
      </c>
      <c r="L166" s="12">
        <f>ROUND(L48+L70+L82+L91+L97+L121+L137+L142+L151+L156+L163, 5)</f>
        <v>34343</v>
      </c>
      <c r="M166" s="12">
        <f>ROUND(M48+M70+M82+M91+M97+M121+M137+M142+M151+M156+M163, 5)</f>
        <v>41687</v>
      </c>
      <c r="N166" s="12">
        <f>ROUND(190304+193410,0)</f>
        <v>383714</v>
      </c>
    </row>
    <row r="167" spans="1:14" customFormat="1" ht="15" x14ac:dyDescent="0.25">
      <c r="A167" s="10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15">
      <c r="A168" s="6" t="s">
        <v>145</v>
      </c>
      <c r="B168" s="12">
        <f>-(ROUND(-B36+B166, 5))</f>
        <v>28312</v>
      </c>
      <c r="C168" s="12">
        <f>-(ROUND(-C36+C166, 5))</f>
        <v>19175</v>
      </c>
      <c r="D168" s="12">
        <f>-(ROUND(-D36+D166, 5))</f>
        <v>26167</v>
      </c>
      <c r="E168" s="12">
        <f>-(ROUND(-E36+E166, 5))</f>
        <v>23081</v>
      </c>
      <c r="F168" s="12">
        <f>-(ROUND(-F36+F166, 5))</f>
        <v>27232</v>
      </c>
      <c r="G168" s="12">
        <f>-(ROUND(-G36+G166, 5))</f>
        <v>21614</v>
      </c>
      <c r="H168" s="12">
        <f>-(ROUND(-H36+H166, 5))</f>
        <v>27923</v>
      </c>
      <c r="I168" s="12">
        <f>-(ROUND(-I36+I166, 5))</f>
        <v>34412</v>
      </c>
      <c r="J168" s="12">
        <f>-(ROUND(-J36+J166, 5))</f>
        <v>29902</v>
      </c>
      <c r="K168" s="12">
        <f>-(ROUND(-K36+K166, 5))</f>
        <v>21972</v>
      </c>
      <c r="L168" s="12">
        <f>-(ROUND(-L36+L166, 5))</f>
        <v>23815</v>
      </c>
      <c r="M168" s="12">
        <f>-(ROUND(-M36+M166, 5))</f>
        <v>14889</v>
      </c>
      <c r="N168" s="12">
        <f>ROUND(152925+145595,0)</f>
        <v>298520</v>
      </c>
    </row>
    <row r="169" spans="1:14" customFormat="1" ht="15" x14ac:dyDescent="0.25">
      <c r="A169" s="10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s="4" customFormat="1" ht="12.75" x14ac:dyDescent="0.2">
      <c r="A170" s="7" t="s">
        <v>0</v>
      </c>
    </row>
    <row r="171" spans="1:14" s="1" customFormat="1" ht="11.25" x14ac:dyDescent="0.2">
      <c r="A171" s="6" t="s">
        <v>146</v>
      </c>
    </row>
    <row r="172" spans="1:14" s="1" customFormat="1" ht="11.25" x14ac:dyDescent="0.2">
      <c r="A172" s="8" t="s">
        <v>147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1700</v>
      </c>
      <c r="L172" s="9">
        <v>0</v>
      </c>
      <c r="M172" s="9">
        <v>0</v>
      </c>
      <c r="N172" s="9">
        <f>ROUND(1700+0,0)</f>
        <v>1700</v>
      </c>
    </row>
    <row r="173" spans="1:14" s="1" customFormat="1" ht="11.25" x14ac:dyDescent="0.2">
      <c r="A173" s="8" t="s">
        <v>148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1455</v>
      </c>
      <c r="L173" s="9">
        <v>0</v>
      </c>
      <c r="M173" s="9">
        <v>0</v>
      </c>
      <c r="N173" s="9">
        <f>ROUND(1455+0,0)</f>
        <v>1455</v>
      </c>
    </row>
    <row r="174" spans="1:14" s="1" customFormat="1" ht="11.25" x14ac:dyDescent="0.2">
      <c r="A174" s="8" t="s">
        <v>149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1870</v>
      </c>
      <c r="L174" s="9">
        <v>0</v>
      </c>
      <c r="M174" s="9">
        <v>160</v>
      </c>
      <c r="N174" s="9">
        <f>ROUND(2030+0,0)</f>
        <v>2030</v>
      </c>
    </row>
    <row r="175" spans="1:14" s="1" customFormat="1" ht="11.25" x14ac:dyDescent="0.2">
      <c r="A175" s="8" t="s">
        <v>150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4443</v>
      </c>
      <c r="L175" s="9">
        <v>546</v>
      </c>
      <c r="M175" s="9">
        <v>1310</v>
      </c>
      <c r="N175" s="9">
        <f>ROUND(6299+0,0)</f>
        <v>6299</v>
      </c>
    </row>
    <row r="176" spans="1:14" s="1" customFormat="1" ht="11.25" x14ac:dyDescent="0.2">
      <c r="A176" s="8" t="s">
        <v>80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6000</v>
      </c>
      <c r="K176" s="9">
        <v>1800</v>
      </c>
      <c r="L176" s="9">
        <v>0</v>
      </c>
      <c r="M176" s="9">
        <v>4900</v>
      </c>
      <c r="N176" s="9">
        <f>ROUND(12700+0,0)</f>
        <v>12700</v>
      </c>
    </row>
    <row r="177" spans="1:14" s="1" customFormat="1" ht="11.25" x14ac:dyDescent="0.2">
      <c r="A177" s="8" t="s">
        <v>151</v>
      </c>
      <c r="B177" s="9">
        <v>0</v>
      </c>
      <c r="C177" s="9">
        <v>0</v>
      </c>
      <c r="D177" s="9">
        <v>0</v>
      </c>
      <c r="E177" s="9">
        <v>0</v>
      </c>
      <c r="F177" s="9">
        <v>1308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f>ROUND(0+1308,0)</f>
        <v>1308</v>
      </c>
    </row>
    <row r="178" spans="1:14" s="1" customFormat="1" ht="11.25" x14ac:dyDescent="0.2">
      <c r="A178" s="8" t="s">
        <v>152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2476</v>
      </c>
      <c r="M178" s="9">
        <v>2476</v>
      </c>
      <c r="N178" s="9">
        <f>ROUND(4952+0,0)</f>
        <v>4952</v>
      </c>
    </row>
    <row r="179" spans="1:14" s="24" customFormat="1" ht="11.25" x14ac:dyDescent="0.2">
      <c r="A179" s="22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</row>
    <row r="180" spans="1:14" x14ac:dyDescent="0.15">
      <c r="A180" s="6" t="s">
        <v>153</v>
      </c>
      <c r="B180" s="12">
        <f>ROUND(SUBTOTAL(9, B170:B179), 5)</f>
        <v>0</v>
      </c>
      <c r="C180" s="12">
        <f>ROUND(SUBTOTAL(9, C170:C179), 5)</f>
        <v>0</v>
      </c>
      <c r="D180" s="12">
        <f>ROUND(SUBTOTAL(9, D170:D179), 5)</f>
        <v>0</v>
      </c>
      <c r="E180" s="12">
        <f>ROUND(SUBTOTAL(9, E170:E179), 5)</f>
        <v>0</v>
      </c>
      <c r="F180" s="12">
        <f>ROUND(SUBTOTAL(9, F170:F179), 5)</f>
        <v>1308</v>
      </c>
      <c r="G180" s="12">
        <f>ROUND(SUBTOTAL(9, G170:G179), 5)</f>
        <v>0</v>
      </c>
      <c r="H180" s="12">
        <f>ROUND(SUBTOTAL(9, H170:H179), 5)</f>
        <v>0</v>
      </c>
      <c r="I180" s="12">
        <f>ROUND(SUBTOTAL(9, I170:I179), 5)</f>
        <v>0</v>
      </c>
      <c r="J180" s="12">
        <f>ROUND(SUBTOTAL(9, J170:J179), 5)</f>
        <v>6000</v>
      </c>
      <c r="K180" s="12">
        <f>ROUND(SUBTOTAL(9, K170:K179), 5)</f>
        <v>11268</v>
      </c>
      <c r="L180" s="12">
        <f>ROUND(SUBTOTAL(9, L170:L179), 5)</f>
        <v>3022</v>
      </c>
      <c r="M180" s="12">
        <f>ROUND(SUBTOTAL(9, M170:M179), 5)</f>
        <v>8846</v>
      </c>
      <c r="N180" s="12">
        <f>ROUND(29136+1308,0)</f>
        <v>30444</v>
      </c>
    </row>
    <row r="181" spans="1:14" customFormat="1" ht="15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15">
      <c r="A182" s="6" t="s">
        <v>154</v>
      </c>
    </row>
    <row r="183" spans="1:14" s="1" customFormat="1" ht="11.25" x14ac:dyDescent="0.2">
      <c r="A183" s="8" t="s">
        <v>155</v>
      </c>
      <c r="B183" s="9">
        <v>3670</v>
      </c>
      <c r="C183" s="9">
        <v>3659</v>
      </c>
      <c r="D183" s="9">
        <v>3648</v>
      </c>
      <c r="E183" s="9">
        <v>3638</v>
      </c>
      <c r="F183" s="9">
        <v>3627</v>
      </c>
      <c r="G183" s="9">
        <v>3586</v>
      </c>
      <c r="H183" s="9">
        <v>3605</v>
      </c>
      <c r="I183" s="9">
        <v>3594</v>
      </c>
      <c r="J183" s="9">
        <v>3583</v>
      </c>
      <c r="K183" s="9">
        <v>3572</v>
      </c>
      <c r="L183" s="9">
        <v>3561</v>
      </c>
      <c r="M183" s="9">
        <v>3549</v>
      </c>
      <c r="N183" s="9">
        <f>ROUND(21464+21829,0)</f>
        <v>43293</v>
      </c>
    </row>
    <row r="184" spans="1:14" s="1" customFormat="1" ht="11.25" x14ac:dyDescent="0.2">
      <c r="A184" s="8" t="s">
        <v>156</v>
      </c>
      <c r="B184" s="9">
        <v>2339</v>
      </c>
      <c r="C184" s="9">
        <v>2350</v>
      </c>
      <c r="D184" s="9">
        <v>2361</v>
      </c>
      <c r="E184" s="9">
        <v>2372</v>
      </c>
      <c r="F184" s="9">
        <v>2383</v>
      </c>
      <c r="G184" s="9">
        <v>2393</v>
      </c>
      <c r="H184" s="9">
        <v>2405</v>
      </c>
      <c r="I184" s="9">
        <v>2416</v>
      </c>
      <c r="J184" s="9">
        <v>2426</v>
      </c>
      <c r="K184" s="9">
        <v>2438</v>
      </c>
      <c r="L184" s="9">
        <v>2449</v>
      </c>
      <c r="M184" s="9">
        <v>2460</v>
      </c>
      <c r="N184" s="9">
        <f>ROUND(14594+14198,0)</f>
        <v>28792</v>
      </c>
    </row>
    <row r="185" spans="1:14" customFormat="1" ht="15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15">
      <c r="A186" s="6" t="s">
        <v>157</v>
      </c>
      <c r="B186" s="12">
        <f>ROUND(SUBTOTAL(9, B182:B185), 5)</f>
        <v>6009</v>
      </c>
      <c r="C186" s="12">
        <f>ROUND(SUBTOTAL(9, C182:C185), 5)</f>
        <v>6009</v>
      </c>
      <c r="D186" s="12">
        <f>ROUND(SUBTOTAL(9, D182:D185), 5)</f>
        <v>6009</v>
      </c>
      <c r="E186" s="12">
        <f>ROUND(SUBTOTAL(9, E182:E185), 5)</f>
        <v>6010</v>
      </c>
      <c r="F186" s="12">
        <f>ROUND(SUBTOTAL(9, F182:F185), 5)</f>
        <v>6010</v>
      </c>
      <c r="G186" s="12">
        <f>ROUND(SUBTOTAL(9, G182:G185), 5)</f>
        <v>5979</v>
      </c>
      <c r="H186" s="12">
        <f>ROUND(SUBTOTAL(9, H182:H185), 5)</f>
        <v>6010</v>
      </c>
      <c r="I186" s="12">
        <f>ROUND(SUBTOTAL(9, I182:I185), 5)</f>
        <v>6010</v>
      </c>
      <c r="J186" s="12">
        <f>ROUND(SUBTOTAL(9, J182:J185), 5)</f>
        <v>6009</v>
      </c>
      <c r="K186" s="12">
        <f>ROUND(SUBTOTAL(9, K182:K185), 5)</f>
        <v>6010</v>
      </c>
      <c r="L186" s="12">
        <f>ROUND(SUBTOTAL(9, L182:L185), 5)</f>
        <v>6010</v>
      </c>
      <c r="M186" s="12">
        <f>ROUND(SUBTOTAL(9, M182:M185), 5)</f>
        <v>6009</v>
      </c>
      <c r="N186" s="12">
        <f>ROUND(36058+36027,0)</f>
        <v>72085</v>
      </c>
    </row>
    <row r="187" spans="1:14" customFormat="1" ht="15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s="4" customFormat="1" ht="12.75" x14ac:dyDescent="0.2">
      <c r="A188" s="7" t="s">
        <v>158</v>
      </c>
    </row>
    <row r="189" spans="1:14" s="4" customFormat="1" ht="12.75" x14ac:dyDescent="0.2">
      <c r="A189" s="7" t="s">
        <v>159</v>
      </c>
      <c r="B189" s="14">
        <v>-2339</v>
      </c>
      <c r="C189" s="14">
        <v>-2350</v>
      </c>
      <c r="D189" s="14">
        <v>-2361</v>
      </c>
      <c r="E189" s="14">
        <v>-2372</v>
      </c>
      <c r="F189" s="14">
        <v>-2383</v>
      </c>
      <c r="G189" s="14">
        <v>-2393</v>
      </c>
      <c r="H189" s="14">
        <v>-2405</v>
      </c>
      <c r="I189" s="14">
        <v>-2416</v>
      </c>
      <c r="J189" s="14">
        <v>-2426</v>
      </c>
      <c r="K189" s="14">
        <v>-2438</v>
      </c>
      <c r="L189" s="14">
        <v>-2449</v>
      </c>
      <c r="M189" s="14">
        <v>-2460</v>
      </c>
      <c r="N189" s="14">
        <f>ROUND(-14594+-14198,0)</f>
        <v>-28792</v>
      </c>
    </row>
    <row r="190" spans="1:14" customFormat="1" ht="15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s="4" customFormat="1" ht="12.75" x14ac:dyDescent="0.2">
      <c r="A191" s="7" t="s">
        <v>160</v>
      </c>
      <c r="B191" s="14">
        <f>ROUND(SUBTOTAL(9, B188:B190), 5)</f>
        <v>-2339</v>
      </c>
      <c r="C191" s="14">
        <f>ROUND(SUBTOTAL(9, C188:C190), 5)</f>
        <v>-2350</v>
      </c>
      <c r="D191" s="14">
        <f>ROUND(SUBTOTAL(9, D188:D190), 5)</f>
        <v>-2361</v>
      </c>
      <c r="E191" s="14">
        <f>ROUND(SUBTOTAL(9, E188:E190), 5)</f>
        <v>-2372</v>
      </c>
      <c r="F191" s="14">
        <f>ROUND(SUBTOTAL(9, F188:F190), 5)</f>
        <v>-2383</v>
      </c>
      <c r="G191" s="14">
        <f>ROUND(SUBTOTAL(9, G188:G190), 5)</f>
        <v>-2393</v>
      </c>
      <c r="H191" s="14">
        <f>ROUND(SUBTOTAL(9, H188:H190), 5)</f>
        <v>-2405</v>
      </c>
      <c r="I191" s="14">
        <f>ROUND(SUBTOTAL(9, I188:I190), 5)</f>
        <v>-2416</v>
      </c>
      <c r="J191" s="14">
        <f>ROUND(SUBTOTAL(9, J188:J190), 5)</f>
        <v>-2426</v>
      </c>
      <c r="K191" s="14">
        <f>ROUND(SUBTOTAL(9, K188:K190), 5)</f>
        <v>-2438</v>
      </c>
      <c r="L191" s="14">
        <f>ROUND(SUBTOTAL(9, L188:L190), 5)</f>
        <v>-2449</v>
      </c>
      <c r="M191" s="14">
        <f>ROUND(SUBTOTAL(9, M188:M190), 5)</f>
        <v>-2460</v>
      </c>
      <c r="N191" s="14">
        <f>ROUND(-14594+-14198,0)</f>
        <v>-28792</v>
      </c>
    </row>
    <row r="192" spans="1:14" customFormat="1" ht="15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15">
      <c r="A193" s="6" t="s">
        <v>161</v>
      </c>
    </row>
    <row r="194" spans="1:14" s="1" customFormat="1" ht="11.25" x14ac:dyDescent="0.2">
      <c r="A194" s="8" t="s">
        <v>162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1149</v>
      </c>
      <c r="K194" s="9">
        <v>0</v>
      </c>
      <c r="L194" s="9">
        <v>0</v>
      </c>
      <c r="M194" s="9">
        <v>0</v>
      </c>
      <c r="N194" s="9">
        <f>ROUND(1149+0,0)</f>
        <v>1149</v>
      </c>
    </row>
    <row r="195" spans="1:14" s="1" customFormat="1" ht="11.25" x14ac:dyDescent="0.2">
      <c r="A195" s="8" t="s">
        <v>163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13715</v>
      </c>
      <c r="M195" s="9">
        <v>0</v>
      </c>
      <c r="N195" s="9">
        <f>ROUND(13715+0,0)</f>
        <v>13715</v>
      </c>
    </row>
    <row r="196" spans="1:14" customFormat="1" ht="15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15">
      <c r="A197" s="6" t="s">
        <v>164</v>
      </c>
      <c r="B197" s="12">
        <f>ROUND(SUBTOTAL(9, B193:B196), 5)</f>
        <v>0</v>
      </c>
      <c r="C197" s="12">
        <f>ROUND(SUBTOTAL(9, C193:C196), 5)</f>
        <v>0</v>
      </c>
      <c r="D197" s="12">
        <f>ROUND(SUBTOTAL(9, D193:D196), 5)</f>
        <v>0</v>
      </c>
      <c r="E197" s="12">
        <f>ROUND(SUBTOTAL(9, E193:E196), 5)</f>
        <v>0</v>
      </c>
      <c r="F197" s="12">
        <f>ROUND(SUBTOTAL(9, F193:F196), 5)</f>
        <v>0</v>
      </c>
      <c r="G197" s="12">
        <f>ROUND(SUBTOTAL(9, G193:G196), 5)</f>
        <v>0</v>
      </c>
      <c r="H197" s="12">
        <f>ROUND(SUBTOTAL(9, H193:H196), 5)</f>
        <v>0</v>
      </c>
      <c r="I197" s="12">
        <f>ROUND(SUBTOTAL(9, I193:I196), 5)</f>
        <v>0</v>
      </c>
      <c r="J197" s="12">
        <f>ROUND(SUBTOTAL(9, J193:J196), 5)</f>
        <v>1149</v>
      </c>
      <c r="K197" s="12">
        <f>ROUND(SUBTOTAL(9, K193:K196), 5)</f>
        <v>0</v>
      </c>
      <c r="L197" s="12">
        <f>ROUND(SUBTOTAL(9, L193:L196), 5)</f>
        <v>13715</v>
      </c>
      <c r="M197" s="12">
        <f>ROUND(SUBTOTAL(9, M193:M196), 5)</f>
        <v>0</v>
      </c>
      <c r="N197" s="12">
        <f>ROUND(14864+0,0)</f>
        <v>14864</v>
      </c>
    </row>
    <row r="198" spans="1:14" customFormat="1" ht="15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customFormat="1" ht="15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15">
      <c r="A200" s="6" t="s">
        <v>165</v>
      </c>
      <c r="B200" s="12">
        <v>0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f>ROUND(0+0,0)</f>
        <v>0</v>
      </c>
    </row>
    <row r="201" spans="1:14" customFormat="1" ht="15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ht="11.25" thickBot="1" x14ac:dyDescent="0.2">
      <c r="A202" s="6" t="s">
        <v>166</v>
      </c>
      <c r="B202" s="12">
        <f>-(ROUND(-B168+B180+B186+B191+B197+B200, 5))</f>
        <v>24642</v>
      </c>
      <c r="C202" s="12">
        <f>-(ROUND(-C168+C180+C186+C191+C197+C200, 5))</f>
        <v>15516</v>
      </c>
      <c r="D202" s="12">
        <f>-(ROUND(-D168+D180+D186+D191+D197+D200, 5))</f>
        <v>22519</v>
      </c>
      <c r="E202" s="12">
        <f>-(ROUND(-E168+E180+E186+E191+E197+E200, 5))</f>
        <v>19443</v>
      </c>
      <c r="F202" s="12">
        <f>-(ROUND(-F168+F180+F186+F191+F197+F200, 5))</f>
        <v>22297</v>
      </c>
      <c r="G202" s="12">
        <f>-(ROUND(-G168+G180+G186+G191+G197+G200, 5))</f>
        <v>18028</v>
      </c>
      <c r="H202" s="12">
        <f>-(ROUND(-H168+H180+H186+H191+H197+H200, 5))</f>
        <v>24318</v>
      </c>
      <c r="I202" s="12">
        <f>-(ROUND(-I168+I180+I186+I191+I197+I200, 5))</f>
        <v>30818</v>
      </c>
      <c r="J202" s="12">
        <f>-(ROUND(-J168+J180+J186+J191+J197+J200, 5))</f>
        <v>19170</v>
      </c>
      <c r="K202" s="12">
        <f>-(ROUND(-K168+K180+K186+K191+K197+K200, 5))</f>
        <v>7132</v>
      </c>
      <c r="L202" s="12">
        <f>-(ROUND(-L168+L180+L186+L191+L197+L200, 5))</f>
        <v>3517</v>
      </c>
      <c r="M202" s="12">
        <f>-(ROUND(-M168+M180+M186+M191+M197+M200, 5))</f>
        <v>2494</v>
      </c>
      <c r="N202" s="12">
        <f>ROUND(87461+122458,0)</f>
        <v>209919</v>
      </c>
    </row>
    <row r="203" spans="1:14" customFormat="1" ht="16.5" thickTop="1" thickBot="1" x14ac:dyDescent="0.3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</sheetData>
  <mergeCells count="5">
    <mergeCell ref="A1:N1"/>
    <mergeCell ref="A2:N2"/>
    <mergeCell ref="A3:N3"/>
    <mergeCell ref="A4:N4"/>
    <mergeCell ref="A5:N5"/>
  </mergeCells>
  <printOptions horizontalCentered="1"/>
  <pageMargins left="0.7" right="0.7" top="0.5" bottom="0.65277777777777801" header="0.3" footer="0.3"/>
  <pageSetup scale="98" orientation="landscape" horizontalDpi="1200" verticalDpi="1200" r:id="rId1"/>
  <headerFooter>
    <oddFooter>&amp;C&amp;"Times New Roman,Regular"&amp;10Prepared by: ParaWest Management&amp;R&amp;"Times New Roman,Regular"&amp;10Page: &amp;P</oddFooter>
  </headerFooter>
  <rowBreaks count="5" manualBreakCount="5">
    <brk id="37" max="16383" man="1"/>
    <brk id="71" max="16383" man="1"/>
    <brk id="98" max="16383" man="1"/>
    <brk id="138" max="16383" man="1"/>
    <brk id="16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D7F616-E95E-4B23-BAC4-ACC6EF0EF585}"/>
</file>

<file path=customXml/itemProps2.xml><?xml version="1.0" encoding="utf-8"?>
<ds:datastoreItem xmlns:ds="http://schemas.openxmlformats.org/officeDocument/2006/customXml" ds:itemID="{882BEBF9-7DFC-42D7-A3B0-C58F499A75C4}"/>
</file>

<file path=customXml/itemProps3.xml><?xml version="1.0" encoding="utf-8"?>
<ds:datastoreItem xmlns:ds="http://schemas.openxmlformats.org/officeDocument/2006/customXml" ds:itemID="{BE1A1763-08EC-4443-B85A-9FCE885FF3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Detailed Income T12</vt:lpstr>
      <vt:lpstr>'Detailed Income T12'!Print_Titles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Jemmings</dc:creator>
  <cp:lastModifiedBy>Holly Jemmings</cp:lastModifiedBy>
  <cp:lastPrinted>2021-09-10T23:30:53Z</cp:lastPrinted>
  <dcterms:created xsi:type="dcterms:W3CDTF">2021-09-10T23:25:34Z</dcterms:created>
  <dcterms:modified xsi:type="dcterms:W3CDTF">2021-09-10T23:31:25Z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