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Avenue North TEAM DRIVE\C) OWNERSHIP\f) Proximity at Papago (Phoenix, Az)\D) FINANCIALS\2020 Financials\May 2020\"/>
    </mc:Choice>
  </mc:AlternateContent>
  <xr:revisionPtr revIDLastSave="0" documentId="13_ncr:1_{76AEEA83-E33C-4CFA-8912-B01AAEA0ABB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Accounting Tree Report" sheetId="1" r:id="rId1"/>
  </sheets>
  <definedNames>
    <definedName name="_xlnm.Print_Titles" localSheetId="0">'Accounting Tree Report'!$1:$7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5" i="1" l="1"/>
  <c r="J15" i="1"/>
  <c r="K15" i="1"/>
  <c r="L15" i="1"/>
  <c r="M15" i="1"/>
  <c r="N15" i="1"/>
  <c r="O15" i="1"/>
  <c r="T15" i="1"/>
  <c r="P15" i="1"/>
  <c r="Q15" i="1"/>
  <c r="R15" i="1"/>
  <c r="S15" i="1"/>
  <c r="D272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37" i="1"/>
  <c r="E236" i="1"/>
  <c r="D231" i="1"/>
  <c r="E223" i="1"/>
  <c r="E222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D205" i="1"/>
  <c r="E202" i="1"/>
  <c r="E201" i="1"/>
  <c r="E200" i="1"/>
  <c r="E199" i="1"/>
  <c r="E198" i="1"/>
  <c r="E197" i="1"/>
  <c r="E196" i="1"/>
  <c r="E195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D172" i="1"/>
  <c r="E169" i="1"/>
  <c r="E168" i="1"/>
  <c r="E167" i="1"/>
  <c r="E166" i="1"/>
  <c r="E165" i="1"/>
  <c r="E164" i="1"/>
  <c r="E163" i="1"/>
  <c r="E162" i="1"/>
  <c r="E161" i="1"/>
  <c r="E160" i="1"/>
  <c r="E159" i="1"/>
  <c r="D158" i="1"/>
  <c r="E155" i="1"/>
  <c r="E154" i="1"/>
  <c r="E153" i="1"/>
  <c r="E152" i="1"/>
  <c r="E151" i="1"/>
  <c r="E150" i="1"/>
  <c r="F147" i="1"/>
  <c r="F146" i="1"/>
  <c r="E145" i="1"/>
  <c r="E144" i="1"/>
  <c r="E143" i="1"/>
  <c r="E142" i="1"/>
  <c r="E141" i="1"/>
  <c r="E137" i="1"/>
  <c r="D136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1" i="1"/>
  <c r="E110" i="1"/>
  <c r="E109" i="1"/>
  <c r="E108" i="1"/>
  <c r="E107" i="1"/>
  <c r="E106" i="1"/>
  <c r="E105" i="1"/>
  <c r="E104" i="1"/>
  <c r="E103" i="1"/>
  <c r="D102" i="1"/>
  <c r="F97" i="1"/>
  <c r="F96" i="1"/>
  <c r="E95" i="1"/>
  <c r="E94" i="1"/>
  <c r="E93" i="1"/>
  <c r="E92" i="1"/>
  <c r="F89" i="1"/>
  <c r="E88" i="1"/>
  <c r="F85" i="1"/>
  <c r="E84" i="1"/>
  <c r="E83" i="1"/>
  <c r="E82" i="1"/>
  <c r="F79" i="1"/>
  <c r="E78" i="1"/>
  <c r="E77" i="1"/>
  <c r="E76" i="1"/>
  <c r="F73" i="1"/>
  <c r="E72" i="1"/>
  <c r="E71" i="1"/>
  <c r="E62" i="1"/>
  <c r="E61" i="1"/>
  <c r="E60" i="1"/>
  <c r="E59" i="1"/>
  <c r="E58" i="1"/>
  <c r="E57" i="1"/>
  <c r="F54" i="1"/>
  <c r="F53" i="1"/>
  <c r="F52" i="1"/>
  <c r="F51" i="1"/>
  <c r="F50" i="1"/>
  <c r="F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D26" i="1"/>
  <c r="F21" i="1"/>
  <c r="F20" i="1"/>
  <c r="F19" i="1"/>
  <c r="F18" i="1"/>
  <c r="F17" i="1"/>
  <c r="F16" i="1"/>
  <c r="F12" i="1"/>
  <c r="F11" i="1"/>
  <c r="E10" i="1"/>
</calcChain>
</file>

<file path=xl/sharedStrings.xml><?xml version="1.0" encoding="utf-8"?>
<sst xmlns="http://schemas.openxmlformats.org/spreadsheetml/2006/main" count="64" uniqueCount="64">
  <si>
    <t>Proximity at Papago</t>
  </si>
  <si>
    <t xml:space="preserve">Stellar Residential </t>
  </si>
  <si>
    <t>Twelve Month Profit and Loss</t>
  </si>
  <si>
    <t>June 2019 - May 2020 - Accrual - Accounting Book: Default - Accounting Tree: Default</t>
  </si>
  <si>
    <t>Printed 6/5/2020 10:45:02 AM</t>
  </si>
  <si>
    <t>Account</t>
  </si>
  <si>
    <t>Jun 2019 Actual</t>
  </si>
  <si>
    <t>Jul 2019 Actual</t>
  </si>
  <si>
    <t>Aug 2019 Actual</t>
  </si>
  <si>
    <t>Sep 2019 Actual</t>
  </si>
  <si>
    <t>Oct 2019 Actual</t>
  </si>
  <si>
    <t>Nov 2019 Actual</t>
  </si>
  <si>
    <t>Dec 2019 Actual</t>
  </si>
  <si>
    <t>Jan 2020 Actual</t>
  </si>
  <si>
    <t>Feb 2020 Actual</t>
  </si>
  <si>
    <t>Mar 2020 Actual</t>
  </si>
  <si>
    <t>Apr 2020 Actual</t>
  </si>
  <si>
    <t>May 2020 Actual</t>
  </si>
  <si>
    <t>Adjusted Total</t>
  </si>
  <si>
    <t>Variance</t>
  </si>
  <si>
    <t>INCOME</t>
  </si>
  <si>
    <t>3000 Net Rental Income</t>
  </si>
  <si>
    <t>3005 Total Gross Potential Rent</t>
  </si>
  <si>
    <t>3120 Rent Losses</t>
  </si>
  <si>
    <t>3120 Total Rent Losses</t>
  </si>
  <si>
    <t>3000 Total Net Rental Income</t>
  </si>
  <si>
    <t>3585 Total RUBS Income</t>
  </si>
  <si>
    <t>3600 Total Miscellaneous</t>
  </si>
  <si>
    <t>3500 Total Other Income</t>
  </si>
  <si>
    <t>TOTAL INCOME</t>
  </si>
  <si>
    <t>EXPENSE</t>
  </si>
  <si>
    <t>3900 Salaries &amp; Payroll Related</t>
  </si>
  <si>
    <t>3953 Total Asstant Manager</t>
  </si>
  <si>
    <t>3958 Total Admin FICA</t>
  </si>
  <si>
    <t>3961 Total Admin Work Comp</t>
  </si>
  <si>
    <t>3962 Total Admin Med Insurance</t>
  </si>
  <si>
    <t>3980 Total 401K Plan Contributions</t>
  </si>
  <si>
    <t>3900 Total Salaries &amp; Payroll Related</t>
  </si>
  <si>
    <t>4100 Total Maintenenace Salaries</t>
  </si>
  <si>
    <t>4145 Administrative Expense</t>
  </si>
  <si>
    <t>4145 Total Administrative Expense</t>
  </si>
  <si>
    <t>4290 Total Management Fee</t>
  </si>
  <si>
    <t>4300 Marketing Expense</t>
  </si>
  <si>
    <t>4311 Total Internet Advertising</t>
  </si>
  <si>
    <t>4300 Total Marketing Expense</t>
  </si>
  <si>
    <t>4379 Total Contract Services</t>
  </si>
  <si>
    <t>4400 Total Repairs &amp; Maintenance Expense</t>
  </si>
  <si>
    <t>4700 Turnover Maintenance Expense</t>
  </si>
  <si>
    <t>4700 Total Turnover Maintenance Expense</t>
  </si>
  <si>
    <t>4800 Total Utility Expense</t>
  </si>
  <si>
    <t>5000 Taxes and Insurance Expense</t>
  </si>
  <si>
    <t>5000 Total Taxes and Insurance Expense</t>
  </si>
  <si>
    <t>TOTAL EXPENSE</t>
  </si>
  <si>
    <t>NET OPERATING INCOME</t>
  </si>
  <si>
    <t>OTHER INCOME</t>
  </si>
  <si>
    <t>TOTAL OTHER INCOME</t>
  </si>
  <si>
    <t>NON-OPERATING EXPENSE</t>
  </si>
  <si>
    <t>7300 Non Operating Expense</t>
  </si>
  <si>
    <t>7300 Total Non Operating Expense</t>
  </si>
  <si>
    <t>7500 Capital Expenses</t>
  </si>
  <si>
    <t>7500 Total Capital Expenses</t>
  </si>
  <si>
    <t>TOTAL NON-OPERATING EXPENSE</t>
  </si>
  <si>
    <t>NET INCOME</t>
  </si>
  <si>
    <t>© ResMan,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</si>
</sst>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 x14ac:knownFonts="1">
    <font>
      <sz val="8"/>
      <color theme="1"/>
      <name val="Trebuchet MS"/>
    </font>
    <font>
      <b/>
      <sz val="12"/>
      <color theme="1"/>
      <name val="Trebuchet MS"/>
      <family val="2"/>
    </font>
    <font>
      <sz val="10"/>
      <color rgb="FF000000"/>
      <name val="Trebuchet MS"/>
      <family val="2"/>
    </font>
    <font>
      <i/>
      <sz val="8"/>
      <color rgb="FF000000"/>
      <name val="Trebuchet MS"/>
      <family val="2"/>
    </font>
    <font>
      <sz val="8"/>
      <color rgb="FF000000"/>
      <name val="Trebuchet MS"/>
      <family val="2"/>
    </font>
    <font>
      <b/>
      <sz val="8"/>
      <color rgb="FF000000"/>
      <name val="Trebuchet MS"/>
      <family val="2"/>
    </font>
    <font>
      <b/>
      <sz val="8"/>
      <color theme="1"/>
      <name val="Trebuchet MS"/>
      <family val="2"/>
    </font>
    <font>
      <b/>
      <sz val="8"/>
      <color rgb="FF00659F"/>
      <name val="Trebuchet MS"/>
      <family val="2"/>
    </font>
    <font>
      <sz val="8"/>
      <color rgb="FF00659F"/>
      <name val="Trebuchet MS"/>
      <family val="2"/>
    </font>
    <font>
      <sz val="8"/>
      <color rgb="FFFF0000"/>
      <name val="Trebuchet MS"/>
      <family val="2"/>
    </font>
    <font>
      <b/>
      <sz val="8"/>
      <color rgb="FFFF0000"/>
      <name val="Trebuchet MS"/>
      <family val="2"/>
    </font>
    <font>
      <b/>
      <sz val="9"/>
      <color rgb="FF696969"/>
      <name val="Arial"/>
      <family val="2"/>
    </font>
    <font>
      <sz val="8"/>
      <color theme="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F0F0F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21">
    <xf numFmtId="0" fontId="0" fillId="0" borderId="0" xfId="0"/>
    <xf numFmtId="0" fontId="5" fillId="0" borderId="1" xfId="0" applyNumberFormat="1" applyFont="1" applyBorder="1" applyAlignment="1">
      <alignment horizontal="right" wrapText="1"/>
    </xf>
    <xf numFmtId="4" fontId="0" fillId="0" borderId="0" xfId="0" applyNumberFormat="1" applyAlignment="1">
      <alignment horizontal="right"/>
    </xf>
    <xf numFmtId="0" fontId="0" fillId="2" borderId="0" xfId="0" applyFill="1"/>
    <xf numFmtId="0" fontId="0" fillId="0" borderId="0" xfId="0" applyFill="1"/>
    <xf numFmtId="4" fontId="0" fillId="2" borderId="0" xfId="0" applyNumberFormat="1" applyFill="1" applyAlignment="1">
      <alignment horizontal="right"/>
    </xf>
    <xf numFmtId="4" fontId="9" fillId="2" borderId="0" xfId="0" applyNumberFormat="1" applyFont="1" applyFill="1" applyAlignment="1">
      <alignment horizontal="right"/>
    </xf>
    <xf numFmtId="4" fontId="6" fillId="0" borderId="2" xfId="0" applyNumberFormat="1" applyFont="1" applyBorder="1" applyAlignment="1">
      <alignment horizontal="right"/>
    </xf>
    <xf numFmtId="4" fontId="9" fillId="0" borderId="0" xfId="0" applyNumberFormat="1" applyFont="1" applyAlignment="1">
      <alignment horizontal="right"/>
    </xf>
    <xf numFmtId="4" fontId="10" fillId="0" borderId="2" xfId="0" applyNumberFormat="1" applyFont="1" applyBorder="1" applyAlignment="1">
      <alignment horizontal="right"/>
    </xf>
    <xf numFmtId="0" fontId="1" fillId="0" borderId="0" xfId="0" applyFont="1" applyAlignment="1">
      <alignment horizontal="center" vertical="top" wrapText="1"/>
    </xf>
    <xf numFmtId="0" fontId="2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 vertical="top" wrapText="1"/>
    </xf>
    <xf numFmtId="0" fontId="4" fillId="0" borderId="1" xfId="0" applyNumberFormat="1" applyFont="1" applyBorder="1" applyAlignment="1">
      <alignment horizontal="left" wrapText="1"/>
    </xf>
    <xf numFmtId="0" fontId="5" fillId="0" borderId="1" xfId="0" applyNumberFormat="1" applyFont="1" applyBorder="1" applyAlignment="1">
      <alignment horizontal="left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2" borderId="0" xfId="0" applyFont="1" applyFill="1"/>
    <xf numFmtId="0" fontId="11" fillId="0" borderId="0" xfId="0" applyFont="1" applyAlignment="1">
      <alignment horizontal="right"/>
    </xf>
    <xf numFmtId="164" fontId="0" fillId="0" borderId="0" xfId="1" applyNumberFormat="1" applyFont="1"/>
  </cellXfs>
  <cellStyles count="2">
    <cellStyle name="Normal" xfId="0" builtinId="0" customBuiltin="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8"/>
  <sheetViews>
    <sheetView showGridLines="0" tabSelected="1" topLeftCell="A4" zoomScale="80" zoomScaleNormal="80" workbookViewId="0">
      <selection activeCell="R19" sqref="R19"/>
    </sheetView>
  </sheetViews>
  <sheetFormatPr defaultRowHeight="12" x14ac:dyDescent="0.35"/>
  <cols>
    <col min="1" max="7" width="1" customWidth="1"/>
    <col min="8" max="8" width="68" customWidth="1"/>
    <col min="9" max="20" width="14" customWidth="1"/>
    <col min="21" max="22" width="18" customWidth="1"/>
  </cols>
  <sheetData>
    <row r="1" spans="1:22" ht="17.75" customHeight="1" x14ac:dyDescent="0.3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 ht="15.75" customHeight="1" x14ac:dyDescent="0.35">
      <c r="A2" s="11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</row>
    <row r="3" spans="1:22" ht="15.75" customHeight="1" x14ac:dyDescent="0.35">
      <c r="A3" s="11" t="s">
        <v>2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2" ht="12.75" customHeight="1" x14ac:dyDescent="0.35">
      <c r="A4" s="12" t="s">
        <v>3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</row>
    <row r="6" spans="1:22" x14ac:dyDescent="0.35">
      <c r="A6" s="13" t="s">
        <v>4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</row>
    <row r="7" spans="1:22" ht="24" x14ac:dyDescent="0.35">
      <c r="A7" s="14" t="s">
        <v>5</v>
      </c>
      <c r="B7" s="14"/>
      <c r="C7" s="14"/>
      <c r="D7" s="14"/>
      <c r="E7" s="14"/>
      <c r="F7" s="14"/>
      <c r="G7" s="14"/>
      <c r="H7" s="14"/>
      <c r="I7" s="1" t="s">
        <v>6</v>
      </c>
      <c r="J7" s="1" t="s">
        <v>7</v>
      </c>
      <c r="K7" s="1" t="s">
        <v>8</v>
      </c>
      <c r="L7" s="1" t="s">
        <v>9</v>
      </c>
      <c r="M7" s="1" t="s">
        <v>10</v>
      </c>
      <c r="N7" s="1" t="s">
        <v>11</v>
      </c>
      <c r="O7" s="1" t="s">
        <v>12</v>
      </c>
      <c r="P7" s="1" t="s">
        <v>13</v>
      </c>
      <c r="Q7" s="1" t="s">
        <v>14</v>
      </c>
      <c r="R7" s="1" t="s">
        <v>15</v>
      </c>
      <c r="S7" s="1" t="s">
        <v>16</v>
      </c>
      <c r="T7" s="1" t="s">
        <v>17</v>
      </c>
      <c r="U7" s="1" t="s">
        <v>18</v>
      </c>
      <c r="V7" s="1" t="s">
        <v>19</v>
      </c>
    </row>
    <row r="8" spans="1:22" x14ac:dyDescent="0.35">
      <c r="C8" s="15" t="s">
        <v>20</v>
      </c>
      <c r="D8" s="15"/>
      <c r="E8" s="15"/>
      <c r="F8" s="15"/>
      <c r="G8" s="15"/>
      <c r="H8" s="15"/>
    </row>
    <row r="9" spans="1:22" x14ac:dyDescent="0.35">
      <c r="D9" s="15" t="s">
        <v>21</v>
      </c>
      <c r="E9" s="15"/>
      <c r="F9" s="15"/>
      <c r="G9" s="15"/>
      <c r="H9" s="15"/>
    </row>
    <row r="10" spans="1:22" x14ac:dyDescent="0.35">
      <c r="E10" s="16" t="str">
        <f>HYPERLINK("https://stellar.myresman.com/#/GLAccounts/Detail/c5fe50df-3cbf-4428-aa87-2553f9a094b9?sd=06%2F01%2F2019%2000%3A00%3A00&amp;ed=08%2F31%2F2019%2000%3A00%3A00&amp;ab=Accrual&amp;pogid=74ebab12-2d0f-4d24-8804-b9708486f37f", "3005 Gross Potential Rent")</f>
        <v>3005 Gross Potential Rent</v>
      </c>
      <c r="F10" s="16"/>
      <c r="G10" s="16"/>
      <c r="H10" s="16"/>
      <c r="I10" s="2">
        <v>184066</v>
      </c>
      <c r="J10" s="2">
        <v>184603.9</v>
      </c>
      <c r="K10" s="2">
        <v>187887.06</v>
      </c>
      <c r="L10" s="2">
        <v>187831.74</v>
      </c>
      <c r="M10" s="2">
        <v>178998.68</v>
      </c>
      <c r="N10" s="2">
        <v>178354</v>
      </c>
      <c r="O10" s="2">
        <v>178652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1280393.3799999999</v>
      </c>
      <c r="V10" s="2">
        <v>76801.38</v>
      </c>
    </row>
    <row r="11" spans="1:22" x14ac:dyDescent="0.35">
      <c r="F11" s="17" t="str">
        <f>HYPERLINK("https://stellar.myresman.com/#/GLAccounts/Detail/3c3504fd-c739-49e2-8f1a-004035b930c1?sd=06%2F01%2F2019%2000%3A00%3A00&amp;ed=08%2F31%2F2019%2000%3A00%3A00&amp;ab=Accrual&amp;pogid=74ebab12-2d0f-4d24-8804-b9708486f37f", "3110 Market Rent")</f>
        <v>3110 Market Rent</v>
      </c>
      <c r="G11" s="17"/>
      <c r="H11" s="17"/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178398</v>
      </c>
      <c r="Q11" s="2">
        <v>181838</v>
      </c>
      <c r="R11" s="2">
        <v>191775</v>
      </c>
      <c r="S11" s="2">
        <v>182795</v>
      </c>
      <c r="T11" s="2">
        <v>182840</v>
      </c>
      <c r="U11" s="2">
        <v>917646</v>
      </c>
      <c r="V11" s="2">
        <v>5640.26</v>
      </c>
    </row>
    <row r="12" spans="1:22" s="3" customFormat="1" x14ac:dyDescent="0.35">
      <c r="A12" s="4"/>
      <c r="B12" s="4"/>
      <c r="C12" s="4"/>
      <c r="D12" s="4"/>
      <c r="E12" s="4"/>
      <c r="F12" s="18" t="str">
        <f>HYPERLINK("https://stellar.myresman.com/#/GLAccounts/Detail/602f379e-b989-4260-8e62-40bcec12f1c3?sd=06%2F01%2F2019%2000%3A00%3A00&amp;ed=08%2F31%2F2019%2000%3A00%3A00&amp;ab=Accrual&amp;pogid=74ebab12-2d0f-4d24-8804-b9708486f37f", "3125 (Loss) / Gain to Old Lease")</f>
        <v>3125 (Loss) / Gain to Old Lease</v>
      </c>
      <c r="G12" s="18"/>
      <c r="H12" s="18"/>
      <c r="I12" s="5">
        <v>-17712</v>
      </c>
      <c r="J12" s="5">
        <v>-15387</v>
      </c>
      <c r="K12" s="5">
        <v>-16065</v>
      </c>
      <c r="L12" s="5">
        <v>-14089</v>
      </c>
      <c r="M12" s="5">
        <v>-10005.209999999999</v>
      </c>
      <c r="N12" s="5">
        <v>-2310.8200000000002</v>
      </c>
      <c r="O12" s="5">
        <v>-3731.09</v>
      </c>
      <c r="P12" s="5">
        <v>-3630.56</v>
      </c>
      <c r="Q12" s="5">
        <v>-6495.05</v>
      </c>
      <c r="R12" s="5">
        <v>-12146.13</v>
      </c>
      <c r="S12" s="5">
        <v>-5119.78</v>
      </c>
      <c r="T12" s="5">
        <v>-1474.68</v>
      </c>
      <c r="U12" s="5">
        <v>-108166.32</v>
      </c>
      <c r="V12" s="6">
        <v>-24511.59</v>
      </c>
    </row>
    <row r="13" spans="1:22" x14ac:dyDescent="0.35">
      <c r="E13" s="15" t="s">
        <v>22</v>
      </c>
      <c r="F13" s="15"/>
      <c r="G13" s="15"/>
      <c r="H13" s="15"/>
      <c r="I13" s="7">
        <v>166354</v>
      </c>
      <c r="J13" s="7">
        <v>169216.9</v>
      </c>
      <c r="K13" s="7">
        <v>171822.06</v>
      </c>
      <c r="L13" s="7">
        <v>173742.74</v>
      </c>
      <c r="M13" s="7">
        <v>168993.47</v>
      </c>
      <c r="N13" s="7">
        <v>176043.18</v>
      </c>
      <c r="O13" s="7">
        <v>174920.91</v>
      </c>
      <c r="P13" s="7">
        <v>174767.44</v>
      </c>
      <c r="Q13" s="7">
        <v>175342.95</v>
      </c>
      <c r="R13" s="7">
        <v>179628.87</v>
      </c>
      <c r="S13" s="7">
        <v>177675.22</v>
      </c>
      <c r="T13" s="7">
        <v>181365.32</v>
      </c>
      <c r="U13" s="7">
        <v>2089873.06</v>
      </c>
      <c r="V13" s="7">
        <v>57930.05</v>
      </c>
    </row>
    <row r="15" spans="1:22" x14ac:dyDescent="0.35">
      <c r="E15" s="15" t="s">
        <v>23</v>
      </c>
      <c r="F15" s="15"/>
      <c r="G15" s="15"/>
      <c r="H15" s="15"/>
      <c r="I15" s="20">
        <f t="shared" ref="I15:N15" si="0">1+I16/I10</f>
        <v>0.94767523605663184</v>
      </c>
      <c r="J15" s="20">
        <f t="shared" si="0"/>
        <v>0.92566310895923654</v>
      </c>
      <c r="K15" s="20">
        <f t="shared" si="0"/>
        <v>0.91555363099513076</v>
      </c>
      <c r="L15" s="20">
        <f t="shared" si="0"/>
        <v>0.89808665990103698</v>
      </c>
      <c r="M15" s="20">
        <f t="shared" si="0"/>
        <v>0.89253585557167237</v>
      </c>
      <c r="N15" s="20">
        <f t="shared" si="0"/>
        <v>0.87319174226538232</v>
      </c>
      <c r="O15" s="20">
        <f>1+O16/O10</f>
        <v>0.89396094082350042</v>
      </c>
      <c r="P15" s="20">
        <f t="shared" ref="I15:S15" si="1">1+P16/P11</f>
        <v>0.90080101794863165</v>
      </c>
      <c r="Q15" s="20">
        <f t="shared" si="1"/>
        <v>0.92142450972843959</v>
      </c>
      <c r="R15" s="20">
        <f t="shared" si="1"/>
        <v>0.94224314952418198</v>
      </c>
      <c r="S15" s="20">
        <f t="shared" si="1"/>
        <v>0.95004540605596433</v>
      </c>
      <c r="T15" s="20">
        <f>1+T16/T11</f>
        <v>0.91667200831327933</v>
      </c>
    </row>
    <row r="16" spans="1:22" x14ac:dyDescent="0.35">
      <c r="F16" s="17" t="str">
        <f>HYPERLINK("https://stellar.myresman.com/#/GLAccounts/Detail/8b31c853-a825-4f6e-beb1-be074ed0e1ac?sd=06%2F01%2F2019%2000%3A00%3A00&amp;ed=08%2F31%2F2019%2000%3A00%3A00&amp;ab=Accrual&amp;pogid=74ebab12-2d0f-4d24-8804-b9708486f37f", "3130 Vacancy Loss")</f>
        <v>3130 Vacancy Loss</v>
      </c>
      <c r="G16" s="17"/>
      <c r="H16" s="17"/>
      <c r="I16" s="2">
        <v>-9631.2099999999991</v>
      </c>
      <c r="J16" s="2">
        <v>-13722.88</v>
      </c>
      <c r="K16" s="2">
        <v>-15866.38</v>
      </c>
      <c r="L16" s="2">
        <v>-19142.560000000001</v>
      </c>
      <c r="M16" s="2">
        <v>-19235.939999999999</v>
      </c>
      <c r="N16" s="2">
        <v>-22616.76</v>
      </c>
      <c r="O16" s="2">
        <v>-18944.09</v>
      </c>
      <c r="P16" s="2">
        <v>-17696.900000000001</v>
      </c>
      <c r="Q16" s="2">
        <v>-14288.01</v>
      </c>
      <c r="R16" s="2">
        <v>-11076.32</v>
      </c>
      <c r="S16" s="2">
        <v>-9131.4500000000007</v>
      </c>
      <c r="T16" s="2">
        <v>-15235.69</v>
      </c>
      <c r="U16" s="2">
        <v>-186588.19</v>
      </c>
      <c r="V16" s="8">
        <v>-32538.47</v>
      </c>
    </row>
    <row r="17" spans="1:22" s="3" customFormat="1" x14ac:dyDescent="0.35">
      <c r="A17" s="4"/>
      <c r="B17" s="4"/>
      <c r="C17" s="4"/>
      <c r="D17" s="4"/>
      <c r="E17" s="4"/>
      <c r="F17" s="18" t="str">
        <f>HYPERLINK("https://stellar.myresman.com/#/GLAccounts/Detail/804ea47d-7ecc-47d0-8ee3-2b3c6cd47e78?sd=06%2F01%2F2019%2000%3A00%3A00&amp;ed=08%2F31%2F2019%2000%3A00%3A00&amp;ab=Accrual&amp;pogid=74ebab12-2d0f-4d24-8804-b9708486f37f", "3240 Down Units")</f>
        <v>3240 Down Units</v>
      </c>
      <c r="G17" s="18"/>
      <c r="H17" s="18"/>
      <c r="I17" s="5">
        <v>0</v>
      </c>
      <c r="J17" s="5">
        <v>-3656</v>
      </c>
      <c r="K17" s="5">
        <v>-3716</v>
      </c>
      <c r="L17" s="5">
        <v>-3716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-11088</v>
      </c>
      <c r="V17" s="6">
        <v>-11088</v>
      </c>
    </row>
    <row r="18" spans="1:22" x14ac:dyDescent="0.35">
      <c r="F18" s="17" t="str">
        <f>HYPERLINK("https://stellar.myresman.com/#/GLAccounts/Detail/8fc74524-07c4-48ee-84ce-a2d40bf330d1?sd=06%2F01%2F2019%2000%3A00%3A00&amp;ed=08%2F31%2F2019%2000%3A00%3A00&amp;ab=Accrual&amp;pogid=74ebab12-2d0f-4d24-8804-b9708486f37f", "3250 Bad Debt")</f>
        <v>3250 Bad Debt</v>
      </c>
      <c r="G18" s="17"/>
      <c r="H18" s="17"/>
      <c r="I18" s="2">
        <v>-730.41</v>
      </c>
      <c r="J18" s="2">
        <v>-1484.94</v>
      </c>
      <c r="K18" s="2">
        <v>-5818.2</v>
      </c>
      <c r="L18" s="2">
        <v>2909.1</v>
      </c>
      <c r="M18" s="2">
        <v>-3014.37</v>
      </c>
      <c r="N18" s="2">
        <v>-5806.69</v>
      </c>
      <c r="O18" s="2">
        <v>-4017.31</v>
      </c>
      <c r="P18" s="2">
        <v>-2545.4299999999998</v>
      </c>
      <c r="Q18" s="2">
        <v>-1602.61</v>
      </c>
      <c r="R18" s="2">
        <v>-2983.38</v>
      </c>
      <c r="S18" s="2">
        <v>-724.23</v>
      </c>
      <c r="T18" s="2">
        <v>-1904.64</v>
      </c>
      <c r="U18" s="2">
        <v>-27723.11</v>
      </c>
      <c r="V18" s="8">
        <v>-4756.82</v>
      </c>
    </row>
    <row r="19" spans="1:22" s="3" customFormat="1" x14ac:dyDescent="0.35">
      <c r="A19" s="4"/>
      <c r="B19" s="4"/>
      <c r="C19" s="4"/>
      <c r="D19" s="4"/>
      <c r="E19" s="4"/>
      <c r="F19" s="18" t="str">
        <f>HYPERLINK("https://stellar.myresman.com/#/GLAccounts/Detail/ae9eb9d1-240e-4845-8e32-a3b485e79d21?sd=06%2F01%2F2019%2000%3A00%3A00&amp;ed=08%2F31%2F2019%2000%3A00%3A00&amp;ab=Accrual&amp;pogid=74ebab12-2d0f-4d24-8804-b9708486f37f", "3302 Model")</f>
        <v>3302 Model</v>
      </c>
      <c r="G19" s="18"/>
      <c r="H19" s="18"/>
      <c r="I19" s="5">
        <v>-889</v>
      </c>
      <c r="J19" s="5">
        <v>-889</v>
      </c>
      <c r="K19" s="5">
        <v>-929</v>
      </c>
      <c r="L19" s="5">
        <v>-929</v>
      </c>
      <c r="M19" s="5">
        <v>-1710</v>
      </c>
      <c r="N19" s="5">
        <v>-855</v>
      </c>
      <c r="O19" s="5">
        <v>-855</v>
      </c>
      <c r="P19" s="5">
        <v>-855</v>
      </c>
      <c r="Q19" s="5">
        <v>-885</v>
      </c>
      <c r="R19" s="5">
        <v>-925</v>
      </c>
      <c r="S19" s="5">
        <v>-885</v>
      </c>
      <c r="T19" s="5">
        <v>-885</v>
      </c>
      <c r="U19" s="5">
        <v>-11491</v>
      </c>
      <c r="V19" s="6">
        <v>-1313.5</v>
      </c>
    </row>
    <row r="20" spans="1:22" x14ac:dyDescent="0.35">
      <c r="F20" s="17" t="str">
        <f>HYPERLINK("https://stellar.myresman.com/#/GLAccounts/Detail/770a98b8-e773-48a4-813f-f2a95bd9da69?sd=06%2F01%2F2019%2000%3A00%3A00&amp;ed=08%2F31%2F2019%2000%3A00%3A00&amp;ab=Accrual&amp;pogid=74ebab12-2d0f-4d24-8804-b9708486f37f", "3304 Concessions")</f>
        <v>3304 Concessions</v>
      </c>
      <c r="G20" s="17"/>
      <c r="H20" s="17"/>
      <c r="I20" s="2">
        <v>0</v>
      </c>
      <c r="J20" s="2">
        <v>-1100</v>
      </c>
      <c r="K20" s="2">
        <v>-2600</v>
      </c>
      <c r="L20" s="2">
        <v>-1252.5</v>
      </c>
      <c r="M20" s="2">
        <v>-367.16</v>
      </c>
      <c r="N20" s="2">
        <v>-2847</v>
      </c>
      <c r="O20" s="2">
        <v>-9347.75</v>
      </c>
      <c r="P20" s="2">
        <v>-5863</v>
      </c>
      <c r="Q20" s="2">
        <v>-4454</v>
      </c>
      <c r="R20" s="2">
        <v>-5182.5</v>
      </c>
      <c r="S20" s="2">
        <v>-600</v>
      </c>
      <c r="T20" s="2">
        <v>-500</v>
      </c>
      <c r="U20" s="2">
        <v>-34113.910000000003</v>
      </c>
      <c r="V20" s="8">
        <v>-19713.91</v>
      </c>
    </row>
    <row r="21" spans="1:22" s="3" customFormat="1" x14ac:dyDescent="0.35">
      <c r="A21" s="4"/>
      <c r="B21" s="4"/>
      <c r="C21" s="4"/>
      <c r="D21" s="4"/>
      <c r="E21" s="4"/>
      <c r="F21" s="18" t="str">
        <f>HYPERLINK("https://stellar.myresman.com/#/GLAccounts/Detail/5400959c-3443-44e3-ae74-b2ddaf6bdded?sd=06%2F01%2F2019%2000%3A00%3A00&amp;ed=08%2F31%2F2019%2000%3A00%3A00&amp;ab=Accrual&amp;pogid=74ebab12-2d0f-4d24-8804-b9708486f37f", "3305 Resident Referrals")</f>
        <v>3305 Resident Referrals</v>
      </c>
      <c r="G21" s="18"/>
      <c r="H21" s="18"/>
      <c r="I21" s="5">
        <v>-100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-100</v>
      </c>
      <c r="V21" s="5">
        <v>300</v>
      </c>
    </row>
    <row r="22" spans="1:22" x14ac:dyDescent="0.35">
      <c r="E22" s="15" t="s">
        <v>24</v>
      </c>
      <c r="F22" s="15"/>
      <c r="G22" s="15"/>
      <c r="H22" s="15"/>
      <c r="I22" s="7">
        <v>-11350.62</v>
      </c>
      <c r="J22" s="7">
        <v>-20852.82</v>
      </c>
      <c r="K22" s="7">
        <v>-28929.58</v>
      </c>
      <c r="L22" s="7">
        <v>-22130.959999999999</v>
      </c>
      <c r="M22" s="7">
        <v>-24327.47</v>
      </c>
      <c r="N22" s="7">
        <v>-32125.45</v>
      </c>
      <c r="O22" s="7">
        <v>-33164.15</v>
      </c>
      <c r="P22" s="7">
        <v>-26960.33</v>
      </c>
      <c r="Q22" s="7">
        <v>-21229.62</v>
      </c>
      <c r="R22" s="7">
        <v>-20167.2</v>
      </c>
      <c r="S22" s="7">
        <v>-11340.68</v>
      </c>
      <c r="T22" s="7">
        <v>-18525.330000000002</v>
      </c>
      <c r="U22" s="7">
        <v>-271104.21000000002</v>
      </c>
      <c r="V22" s="9">
        <v>-69110.7</v>
      </c>
    </row>
    <row r="24" spans="1:22" x14ac:dyDescent="0.35">
      <c r="D24" s="15" t="s">
        <v>25</v>
      </c>
      <c r="E24" s="15"/>
      <c r="F24" s="15"/>
      <c r="G24" s="15"/>
      <c r="H24" s="15"/>
      <c r="I24" s="7">
        <v>155003.38</v>
      </c>
      <c r="J24" s="7">
        <v>148364.07999999999</v>
      </c>
      <c r="K24" s="7">
        <v>142892.48000000001</v>
      </c>
      <c r="L24" s="7">
        <v>151611.78</v>
      </c>
      <c r="M24" s="7">
        <v>144666</v>
      </c>
      <c r="N24" s="7">
        <v>143917.73000000001</v>
      </c>
      <c r="O24" s="7">
        <v>141756.76</v>
      </c>
      <c r="P24" s="7">
        <v>147807.10999999999</v>
      </c>
      <c r="Q24" s="7">
        <v>154113.32999999999</v>
      </c>
      <c r="R24" s="7">
        <v>159461.67000000001</v>
      </c>
      <c r="S24" s="7">
        <v>166334.54</v>
      </c>
      <c r="T24" s="7">
        <v>162839.99</v>
      </c>
      <c r="U24" s="7">
        <v>1818768.85</v>
      </c>
      <c r="V24" s="9">
        <v>-11180.65</v>
      </c>
    </row>
    <row r="26" spans="1:22" x14ac:dyDescent="0.35">
      <c r="D26" s="16" t="str">
        <f>HYPERLINK("https://stellar.myresman.com/#/GLAccounts/Detail/f42ff0d9-fef3-497c-a7b9-228388c1e72e?sd=06%2F01%2F2019%2000%3A00%3A00&amp;ed=08%2F31%2F2019%2000%3A00%3A00&amp;ab=Accrual&amp;pogid=74ebab12-2d0f-4d24-8804-b9708486f37f", "3500 Other Income")</f>
        <v>3500 Other Income</v>
      </c>
      <c r="E26" s="16"/>
      <c r="F26" s="16"/>
      <c r="G26" s="16"/>
      <c r="H26" s="16"/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17033.04</v>
      </c>
      <c r="Q26" s="2">
        <v>-17033.04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</row>
    <row r="27" spans="1:22" x14ac:dyDescent="0.35">
      <c r="E27" s="17" t="str">
        <f>HYPERLINK("https://stellar.myresman.com/#/GLAccounts/Detail/b9ab3822-fbd3-44a4-b914-b6524acd275f?sd=06%2F01%2F2019%2000%3A00%3A00&amp;ed=08%2F31%2F2019%2000%3A00%3A00&amp;ab=Accrual&amp;pogid=74ebab12-2d0f-4d24-8804-b9708486f37f", "3501 Keys/Lock Fees")</f>
        <v>3501 Keys/Lock Fees</v>
      </c>
      <c r="F27" s="17"/>
      <c r="G27" s="17"/>
      <c r="H27" s="17"/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8">
        <v>-75</v>
      </c>
    </row>
    <row r="28" spans="1:22" s="3" customFormat="1" x14ac:dyDescent="0.35">
      <c r="A28" s="4"/>
      <c r="B28" s="4"/>
      <c r="C28" s="4"/>
      <c r="D28" s="4"/>
      <c r="E28" s="18" t="str">
        <f>HYPERLINK("https://stellar.myresman.com/#/GLAccounts/Detail/850bebf5-2eb4-4192-9dab-c28b91ce51fd?sd=06%2F01%2F2019%2000%3A00%3A00&amp;ed=08%2F31%2F2019%2000%3A00%3A00&amp;ab=Accrual&amp;pogid=74ebab12-2d0f-4d24-8804-b9708486f37f", "3502 Cable Revenue Share")</f>
        <v>3502 Cable Revenue Share</v>
      </c>
      <c r="F28" s="18"/>
      <c r="G28" s="18"/>
      <c r="H28" s="18"/>
      <c r="I28" s="5">
        <v>1161.05</v>
      </c>
      <c r="J28" s="5">
        <v>0</v>
      </c>
      <c r="K28" s="5">
        <v>0</v>
      </c>
      <c r="L28" s="5">
        <v>1136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2297.0500000000002</v>
      </c>
      <c r="V28" s="6">
        <v>-2.95</v>
      </c>
    </row>
    <row r="29" spans="1:22" x14ac:dyDescent="0.35">
      <c r="E29" s="17" t="str">
        <f>HYPERLINK("https://stellar.myresman.com/#/GLAccounts/Detail/c7ba65d8-9abe-43a6-ab2e-9d935bbbe05b?sd=06%2F01%2F2019%2000%3A00%3A00&amp;ed=08%2F31%2F2019%2000%3A00%3A00&amp;ab=Accrual&amp;pogid=74ebab12-2d0f-4d24-8804-b9708486f37f", "3503 Cable Service Fees")</f>
        <v>3503 Cable Service Fees</v>
      </c>
      <c r="F29" s="17"/>
      <c r="G29" s="17"/>
      <c r="H29" s="17"/>
      <c r="I29" s="2">
        <v>-1161.05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-1161.05</v>
      </c>
      <c r="V29" s="8">
        <v>-1161.05</v>
      </c>
    </row>
    <row r="30" spans="1:22" s="3" customFormat="1" x14ac:dyDescent="0.35">
      <c r="A30" s="4"/>
      <c r="B30" s="4"/>
      <c r="C30" s="4"/>
      <c r="D30" s="4"/>
      <c r="E30" s="18" t="str">
        <f>HYPERLINK("https://stellar.myresman.com/#/GLAccounts/Detail/7679bf1d-5009-4e83-a08b-822595ce02cf?sd=06%2F01%2F2019%2000%3A00%3A00&amp;ed=08%2F31%2F2019%2000%3A00%3A00&amp;ab=Accrual&amp;pogid=74ebab12-2d0f-4d24-8804-b9708486f37f", "3505 Application Fees")</f>
        <v>3505 Application Fees</v>
      </c>
      <c r="F30" s="18"/>
      <c r="G30" s="18"/>
      <c r="H30" s="18"/>
      <c r="I30" s="5">
        <v>500</v>
      </c>
      <c r="J30" s="5">
        <v>1600</v>
      </c>
      <c r="K30" s="5">
        <v>700</v>
      </c>
      <c r="L30" s="5">
        <v>450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3250</v>
      </c>
      <c r="V30" s="6">
        <v>-6025</v>
      </c>
    </row>
    <row r="31" spans="1:22" x14ac:dyDescent="0.35">
      <c r="E31" s="17" t="str">
        <f>HYPERLINK("https://stellar.myresman.com/#/GLAccounts/Detail/be661128-deca-4490-af54-39cb226da384?sd=06%2F01%2F2019%2000%3A00%3A00&amp;ed=08%2F31%2F2019%2000%3A00%3A00&amp;ab=Accrual&amp;pogid=74ebab12-2d0f-4d24-8804-b9708486f37f", "3510 Short Term Premium ")</f>
        <v xml:space="preserve">3510 Short Term Premium </v>
      </c>
      <c r="F31" s="17"/>
      <c r="G31" s="17"/>
      <c r="H31" s="17"/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250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250</v>
      </c>
      <c r="V31" s="2">
        <v>250</v>
      </c>
    </row>
    <row r="32" spans="1:22" s="3" customFormat="1" x14ac:dyDescent="0.35">
      <c r="A32" s="4"/>
      <c r="B32" s="4"/>
      <c r="C32" s="4"/>
      <c r="D32" s="4"/>
      <c r="E32" s="18" t="str">
        <f>HYPERLINK("https://stellar.myresman.com/#/GLAccounts/Detail/70950a5c-b362-4507-b9fb-41397205e032?sd=06%2F01%2F2019%2000%3A00%3A00&amp;ed=08%2F31%2F2019%2000%3A00%3A00&amp;ab=Accrual&amp;pogid=74ebab12-2d0f-4d24-8804-b9708486f37f", "3512 Non-Refundable Fees")</f>
        <v>3512 Non-Refundable Fees</v>
      </c>
      <c r="F32" s="18"/>
      <c r="G32" s="18"/>
      <c r="H32" s="18"/>
      <c r="I32" s="5">
        <v>450</v>
      </c>
      <c r="J32" s="5">
        <v>2250</v>
      </c>
      <c r="K32" s="5">
        <v>900</v>
      </c>
      <c r="L32" s="5">
        <v>450</v>
      </c>
      <c r="M32" s="5">
        <v>1050</v>
      </c>
      <c r="N32" s="5">
        <v>150</v>
      </c>
      <c r="O32" s="5">
        <v>900</v>
      </c>
      <c r="P32" s="5">
        <v>1500</v>
      </c>
      <c r="Q32" s="5">
        <v>1650</v>
      </c>
      <c r="R32" s="5">
        <v>1650</v>
      </c>
      <c r="S32" s="5">
        <v>-600</v>
      </c>
      <c r="T32" s="5">
        <v>-150</v>
      </c>
      <c r="U32" s="5">
        <v>10200</v>
      </c>
      <c r="V32" s="6">
        <v>-10700</v>
      </c>
    </row>
    <row r="33" spans="1:22" x14ac:dyDescent="0.35">
      <c r="E33" s="17" t="str">
        <f>HYPERLINK("https://stellar.myresman.com/#/GLAccounts/Detail/07a3f507-7978-4f1e-b812-905fd6e63365?sd=06%2F01%2F2019%2000%3A00%3A00&amp;ed=08%2F31%2F2019%2000%3A00%3A00&amp;ab=Accrual&amp;pogid=74ebab12-2d0f-4d24-8804-b9708486f37f", "3513 Administration Fees")</f>
        <v>3513 Administration Fees</v>
      </c>
      <c r="F33" s="17"/>
      <c r="G33" s="17"/>
      <c r="H33" s="17"/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549</v>
      </c>
      <c r="T33" s="2">
        <v>900</v>
      </c>
      <c r="U33" s="2">
        <v>1449</v>
      </c>
      <c r="V33" s="2">
        <v>1449</v>
      </c>
    </row>
    <row r="34" spans="1:22" s="3" customFormat="1" x14ac:dyDescent="0.35">
      <c r="A34" s="4"/>
      <c r="B34" s="4"/>
      <c r="C34" s="4"/>
      <c r="D34" s="4"/>
      <c r="E34" s="18" t="str">
        <f>HYPERLINK("https://stellar.myresman.com/#/GLAccounts/Detail/f4eb3055-a7f5-4687-a32d-16626207864c?sd=06%2F01%2F2019%2000%3A00%3A00&amp;ed=08%2F31%2F2019%2000%3A00%3A00&amp;ab=Accrual&amp;pogid=74ebab12-2d0f-4d24-8804-b9708486f37f", "3517 Transfer Fees")</f>
        <v>3517 Transfer Fees</v>
      </c>
      <c r="F34" s="18"/>
      <c r="G34" s="18"/>
      <c r="H34" s="18"/>
      <c r="I34" s="5">
        <v>350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350</v>
      </c>
      <c r="V34" s="6">
        <v>-850</v>
      </c>
    </row>
    <row r="35" spans="1:22" x14ac:dyDescent="0.35">
      <c r="E35" s="17" t="str">
        <f>HYPERLINK("https://stellar.myresman.com/#/GLAccounts/Detail/360da57b-d07d-4406-86ec-6765d7706c37?sd=06%2F01%2F2019%2000%3A00%3A00&amp;ed=08%2F31%2F2019%2000%3A00%3A00&amp;ab=Accrual&amp;pogid=74ebab12-2d0f-4d24-8804-b9708486f37f", "3518 Lease Buyout Fees")</f>
        <v>3518 Lease Buyout Fees</v>
      </c>
      <c r="F35" s="17"/>
      <c r="G35" s="17"/>
      <c r="H35" s="17"/>
      <c r="I35" s="2">
        <v>0</v>
      </c>
      <c r="J35" s="2">
        <v>0</v>
      </c>
      <c r="K35" s="2">
        <v>1620</v>
      </c>
      <c r="L35" s="2">
        <v>1700</v>
      </c>
      <c r="M35" s="2">
        <v>1640</v>
      </c>
      <c r="N35" s="2">
        <v>0</v>
      </c>
      <c r="O35" s="2">
        <v>0</v>
      </c>
      <c r="P35" s="2">
        <v>219.05</v>
      </c>
      <c r="Q35" s="2">
        <v>0</v>
      </c>
      <c r="R35" s="2">
        <v>0</v>
      </c>
      <c r="S35" s="2">
        <v>1958</v>
      </c>
      <c r="T35" s="2">
        <v>1658</v>
      </c>
      <c r="U35" s="2">
        <v>8795.0499999999993</v>
      </c>
      <c r="V35" s="8">
        <v>-1604.95</v>
      </c>
    </row>
    <row r="36" spans="1:22" s="3" customFormat="1" x14ac:dyDescent="0.35">
      <c r="A36" s="4"/>
      <c r="B36" s="4"/>
      <c r="C36" s="4"/>
      <c r="D36" s="4"/>
      <c r="E36" s="18" t="str">
        <f>HYPERLINK("https://stellar.myresman.com/#/GLAccounts/Detail/9f0992d6-6cf2-40a6-8135-8c877ec1eac0?sd=06%2F01%2F2019%2000%3A00%3A00&amp;ed=08%2F31%2F2019%2000%3A00%3A00&amp;ab=Accrual&amp;pogid=74ebab12-2d0f-4d24-8804-b9708486f37f", "3525 Cleaning Charges / Fees")</f>
        <v>3525 Cleaning Charges / Fees</v>
      </c>
      <c r="F36" s="18"/>
      <c r="G36" s="18"/>
      <c r="H36" s="18"/>
      <c r="I36" s="5">
        <v>0</v>
      </c>
      <c r="J36" s="5">
        <v>0</v>
      </c>
      <c r="K36" s="5">
        <v>0</v>
      </c>
      <c r="L36" s="5">
        <v>0</v>
      </c>
      <c r="M36" s="5">
        <v>1011.3</v>
      </c>
      <c r="N36" s="5">
        <v>0</v>
      </c>
      <c r="O36" s="5">
        <v>850.02</v>
      </c>
      <c r="P36" s="5">
        <v>190</v>
      </c>
      <c r="Q36" s="5">
        <v>1245</v>
      </c>
      <c r="R36" s="5">
        <v>125</v>
      </c>
      <c r="S36" s="5">
        <v>1266.81</v>
      </c>
      <c r="T36" s="5">
        <v>513.29999999999995</v>
      </c>
      <c r="U36" s="5">
        <v>5201.43</v>
      </c>
      <c r="V36" s="5">
        <v>4826.43</v>
      </c>
    </row>
    <row r="37" spans="1:22" x14ac:dyDescent="0.35">
      <c r="E37" s="17" t="str">
        <f>HYPERLINK("https://stellar.myresman.com/#/GLAccounts/Detail/996d68f8-52f8-4f81-b98c-83cfa0cf6caf?sd=06%2F01%2F2019%2000%3A00%3A00&amp;ed=08%2F31%2F2019%2000%3A00%3A00&amp;ab=Accrual&amp;pogid=74ebab12-2d0f-4d24-8804-b9708486f37f", "3530 Pet Fees")</f>
        <v>3530 Pet Fees</v>
      </c>
      <c r="F37" s="17"/>
      <c r="G37" s="17"/>
      <c r="H37" s="17"/>
      <c r="I37" s="2">
        <v>200</v>
      </c>
      <c r="J37" s="2">
        <v>0</v>
      </c>
      <c r="K37" s="2">
        <v>200</v>
      </c>
      <c r="L37" s="2">
        <v>214.17</v>
      </c>
      <c r="M37" s="2">
        <v>848.07</v>
      </c>
      <c r="N37" s="2">
        <v>400.81</v>
      </c>
      <c r="O37" s="2">
        <v>356</v>
      </c>
      <c r="P37" s="2">
        <v>1125.49</v>
      </c>
      <c r="Q37" s="2">
        <v>1141.1199999999999</v>
      </c>
      <c r="R37" s="2">
        <v>1501.72</v>
      </c>
      <c r="S37" s="2">
        <v>1248.5899999999999</v>
      </c>
      <c r="T37" s="2">
        <v>1139.1400000000001</v>
      </c>
      <c r="U37" s="2">
        <v>8375.11</v>
      </c>
      <c r="V37" s="2">
        <v>4375.1099999999997</v>
      </c>
    </row>
    <row r="38" spans="1:22" s="3" customFormat="1" x14ac:dyDescent="0.35">
      <c r="A38" s="4"/>
      <c r="B38" s="4"/>
      <c r="C38" s="4"/>
      <c r="D38" s="4"/>
      <c r="E38" s="18" t="str">
        <f>HYPERLINK("https://stellar.myresman.com/#/GLAccounts/Detail/4e00e33e-ab23-4e99-861b-2b5e21aed896?sd=06%2F01%2F2019%2000%3A00%3A00&amp;ed=08%2F31%2F2019%2000%3A00%3A00&amp;ab=Accrual&amp;pogid=74ebab12-2d0f-4d24-8804-b9708486f37f", "3535 Pet Rent")</f>
        <v>3535 Pet Rent</v>
      </c>
      <c r="F38" s="18"/>
      <c r="G38" s="18"/>
      <c r="H38" s="18"/>
      <c r="I38" s="5">
        <v>962.5</v>
      </c>
      <c r="J38" s="5">
        <v>918.86</v>
      </c>
      <c r="K38" s="5">
        <v>845.48</v>
      </c>
      <c r="L38" s="5">
        <v>859.92</v>
      </c>
      <c r="M38" s="5">
        <v>0</v>
      </c>
      <c r="N38" s="5">
        <v>860</v>
      </c>
      <c r="O38" s="5">
        <v>883.56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5330.32</v>
      </c>
      <c r="V38" s="6">
        <v>-3735.88</v>
      </c>
    </row>
    <row r="39" spans="1:22" x14ac:dyDescent="0.35">
      <c r="E39" s="17" t="str">
        <f>HYPERLINK("https://stellar.myresman.com/#/GLAccounts/Detail/9ba0d04b-6289-445f-9618-09d96f91298d?sd=06%2F01%2F2019%2000%3A00%3A00&amp;ed=08%2F31%2F2019%2000%3A00%3A00&amp;ab=Accrual&amp;pogid=74ebab12-2d0f-4d24-8804-b9708486f37f", "3536 Renters Insurance Premium")</f>
        <v>3536 Renters Insurance Premium</v>
      </c>
      <c r="F39" s="17"/>
      <c r="G39" s="17"/>
      <c r="H39" s="17"/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150</v>
      </c>
      <c r="O39" s="2">
        <v>350</v>
      </c>
      <c r="P39" s="2">
        <v>503.23</v>
      </c>
      <c r="Q39" s="2">
        <v>350</v>
      </c>
      <c r="R39" s="2">
        <v>450</v>
      </c>
      <c r="S39" s="2">
        <v>600</v>
      </c>
      <c r="T39" s="2">
        <v>554.84</v>
      </c>
      <c r="U39" s="2">
        <v>2958.07</v>
      </c>
      <c r="V39" s="2">
        <v>2208.0700000000002</v>
      </c>
    </row>
    <row r="40" spans="1:22" s="3" customFormat="1" x14ac:dyDescent="0.35">
      <c r="A40" s="4"/>
      <c r="B40" s="4"/>
      <c r="C40" s="4"/>
      <c r="D40" s="4"/>
      <c r="E40" s="18" t="str">
        <f>HYPERLINK("https://stellar.myresman.com/#/GLAccounts/Detail/020fc772-78d2-4e6d-80a9-4267697d6ca6?sd=06%2F01%2F2019%2000%3A00%3A00&amp;ed=08%2F31%2F2019%2000%3A00%3A00&amp;ab=Accrual&amp;pogid=74ebab12-2d0f-4d24-8804-b9708486f37f", "3540 Late Charges")</f>
        <v>3540 Late Charges</v>
      </c>
      <c r="F40" s="18"/>
      <c r="G40" s="18"/>
      <c r="H40" s="18"/>
      <c r="I40" s="5">
        <v>3887.57</v>
      </c>
      <c r="J40" s="5">
        <v>3550</v>
      </c>
      <c r="K40" s="5">
        <v>2325</v>
      </c>
      <c r="L40" s="5">
        <v>4025</v>
      </c>
      <c r="M40" s="5">
        <v>2384.88</v>
      </c>
      <c r="N40" s="5">
        <v>3595</v>
      </c>
      <c r="O40" s="5">
        <v>2635</v>
      </c>
      <c r="P40" s="5">
        <v>3540</v>
      </c>
      <c r="Q40" s="5">
        <v>3774.98</v>
      </c>
      <c r="R40" s="5">
        <v>3910</v>
      </c>
      <c r="S40" s="5">
        <v>715</v>
      </c>
      <c r="T40" s="5">
        <v>0</v>
      </c>
      <c r="U40" s="5">
        <v>34342.43</v>
      </c>
      <c r="V40" s="6">
        <v>-9489.24</v>
      </c>
    </row>
    <row r="41" spans="1:22" x14ac:dyDescent="0.35">
      <c r="E41" s="17" t="str">
        <f>HYPERLINK("https://stellar.myresman.com/#/GLAccounts/Detail/94fb164a-f227-4a84-ba02-44bb9c1fc08e?sd=06%2F01%2F2019%2000%3A00%3A00&amp;ed=08%2F31%2F2019%2000%3A00%3A00&amp;ab=Accrual&amp;pogid=74ebab12-2d0f-4d24-8804-b9708486f37f", "3545 Month to Month Fees")</f>
        <v>3545 Month to Month Fees</v>
      </c>
      <c r="F41" s="17"/>
      <c r="G41" s="17"/>
      <c r="H41" s="17"/>
      <c r="I41" s="2">
        <v>890</v>
      </c>
      <c r="J41" s="2">
        <v>958.27</v>
      </c>
      <c r="K41" s="2">
        <v>735.48</v>
      </c>
      <c r="L41" s="2">
        <v>853.34</v>
      </c>
      <c r="M41" s="2">
        <v>1204.0999999999999</v>
      </c>
      <c r="N41" s="2">
        <v>1085.3499999999999</v>
      </c>
      <c r="O41" s="2">
        <v>925.7</v>
      </c>
      <c r="P41" s="2">
        <v>719.34</v>
      </c>
      <c r="Q41" s="2">
        <v>1300</v>
      </c>
      <c r="R41" s="2">
        <v>2117.96</v>
      </c>
      <c r="S41" s="2">
        <v>-192.47</v>
      </c>
      <c r="T41" s="2">
        <v>-38.71</v>
      </c>
      <c r="U41" s="2">
        <v>10558.36</v>
      </c>
      <c r="V41" s="2">
        <v>1067.1600000000001</v>
      </c>
    </row>
    <row r="42" spans="1:22" s="3" customFormat="1" x14ac:dyDescent="0.35">
      <c r="A42" s="4"/>
      <c r="B42" s="4"/>
      <c r="C42" s="4"/>
      <c r="D42" s="4"/>
      <c r="E42" s="18" t="str">
        <f>HYPERLINK("https://stellar.myresman.com/#/GLAccounts/Detail/60e7a6bc-3b3b-421d-b1c5-dbf176a6951a?sd=06%2F01%2F2019%2000%3A00%3A00&amp;ed=08%2F31%2F2019%2000%3A00%3A00&amp;ab=Accrual&amp;pogid=74ebab12-2d0f-4d24-8804-b9708486f37f", "3550 NSF Check Fees")</f>
        <v>3550 NSF Check Fees</v>
      </c>
      <c r="F42" s="18"/>
      <c r="G42" s="18"/>
      <c r="H42" s="18"/>
      <c r="I42" s="5">
        <v>35</v>
      </c>
      <c r="J42" s="5">
        <v>105</v>
      </c>
      <c r="K42" s="5">
        <v>105</v>
      </c>
      <c r="L42" s="5">
        <v>0</v>
      </c>
      <c r="M42" s="5">
        <v>223.03</v>
      </c>
      <c r="N42" s="5">
        <v>200</v>
      </c>
      <c r="O42" s="5">
        <v>100</v>
      </c>
      <c r="P42" s="5">
        <v>150</v>
      </c>
      <c r="Q42" s="5">
        <v>0</v>
      </c>
      <c r="R42" s="5">
        <v>100</v>
      </c>
      <c r="S42" s="5">
        <v>50</v>
      </c>
      <c r="T42" s="5">
        <v>0</v>
      </c>
      <c r="U42" s="5">
        <v>1068.03</v>
      </c>
      <c r="V42" s="5">
        <v>124.26</v>
      </c>
    </row>
    <row r="43" spans="1:22" x14ac:dyDescent="0.35">
      <c r="E43" s="17" t="str">
        <f>HYPERLINK("https://stellar.myresman.com/#/GLAccounts/Detail/16abeb36-74be-4873-bb60-e2c4f635109c?sd=06%2F01%2F2019%2000%3A00%3A00&amp;ed=08%2F31%2F2019%2000%3A00%3A00&amp;ab=Accrual&amp;pogid=74ebab12-2d0f-4d24-8804-b9708486f37f", "3560 Resident Screening")</f>
        <v>3560 Resident Screening</v>
      </c>
      <c r="F43" s="17"/>
      <c r="G43" s="17"/>
      <c r="H43" s="17"/>
      <c r="I43" s="2">
        <v>0</v>
      </c>
      <c r="J43" s="2">
        <v>0</v>
      </c>
      <c r="K43" s="2">
        <v>0</v>
      </c>
      <c r="L43" s="2">
        <v>90</v>
      </c>
      <c r="M43" s="2">
        <v>405</v>
      </c>
      <c r="N43" s="2">
        <v>315</v>
      </c>
      <c r="O43" s="2">
        <v>495</v>
      </c>
      <c r="P43" s="2">
        <v>945</v>
      </c>
      <c r="Q43" s="2">
        <v>855</v>
      </c>
      <c r="R43" s="2">
        <v>810</v>
      </c>
      <c r="S43" s="2">
        <v>0</v>
      </c>
      <c r="T43" s="2">
        <v>360</v>
      </c>
      <c r="U43" s="2">
        <v>4275</v>
      </c>
      <c r="V43" s="2">
        <v>2300</v>
      </c>
    </row>
    <row r="44" spans="1:22" s="3" customFormat="1" x14ac:dyDescent="0.35">
      <c r="A44" s="4"/>
      <c r="B44" s="4"/>
      <c r="C44" s="4"/>
      <c r="D44" s="4"/>
      <c r="E44" s="18" t="str">
        <f>HYPERLINK("https://stellar.myresman.com/#/GLAccounts/Detail/d7265962-31a0-443b-b0bc-02220da554cf?sd=06%2F01%2F2019%2000%3A00%3A00&amp;ed=08%2F31%2F2019%2000%3A00%3A00&amp;ab=Accrual&amp;pogid=74ebab12-2d0f-4d24-8804-b9708486f37f", "3563 Resident Damage Charges")</f>
        <v>3563 Resident Damage Charges</v>
      </c>
      <c r="F44" s="18"/>
      <c r="G44" s="18"/>
      <c r="H44" s="18"/>
      <c r="I44" s="5">
        <v>1237.77</v>
      </c>
      <c r="J44" s="5">
        <v>764.47</v>
      </c>
      <c r="K44" s="5">
        <v>743.18</v>
      </c>
      <c r="L44" s="5">
        <v>295.16000000000003</v>
      </c>
      <c r="M44" s="5">
        <v>250</v>
      </c>
      <c r="N44" s="5">
        <v>568.59</v>
      </c>
      <c r="O44" s="5">
        <v>684.36</v>
      </c>
      <c r="P44" s="5">
        <v>841.57</v>
      </c>
      <c r="Q44" s="5">
        <v>1065.79</v>
      </c>
      <c r="R44" s="5">
        <v>300.02</v>
      </c>
      <c r="S44" s="5">
        <v>368.85</v>
      </c>
      <c r="T44" s="5">
        <v>153.44999999999999</v>
      </c>
      <c r="U44" s="5">
        <v>7273.21</v>
      </c>
      <c r="V44" s="6">
        <v>-1832.79</v>
      </c>
    </row>
    <row r="45" spans="1:22" x14ac:dyDescent="0.35">
      <c r="E45" s="17" t="str">
        <f>HYPERLINK("https://stellar.myresman.com/#/GLAccounts/Detail/d4115853-502f-4fa8-99a4-1bc91d0bc335?sd=06%2F01%2F2019%2000%3A00%3A00&amp;ed=08%2F31%2F2019%2000%3A00%3A00&amp;ab=Accrual&amp;pogid=74ebab12-2d0f-4d24-8804-b9708486f37f", "3565 Attorney / Court Fees")</f>
        <v>3565 Attorney / Court Fees</v>
      </c>
      <c r="F45" s="17"/>
      <c r="G45" s="17"/>
      <c r="H45" s="17"/>
      <c r="I45" s="2">
        <v>1214.3900000000001</v>
      </c>
      <c r="J45" s="2">
        <v>1146</v>
      </c>
      <c r="K45" s="2">
        <v>324</v>
      </c>
      <c r="L45" s="2">
        <v>508</v>
      </c>
      <c r="M45" s="2">
        <v>713</v>
      </c>
      <c r="N45" s="2">
        <v>1069</v>
      </c>
      <c r="O45" s="2">
        <v>2667.16</v>
      </c>
      <c r="P45" s="2">
        <v>1104</v>
      </c>
      <c r="Q45" s="2">
        <v>1566.32</v>
      </c>
      <c r="R45" s="2">
        <v>1102.3399999999999</v>
      </c>
      <c r="S45" s="2">
        <v>298</v>
      </c>
      <c r="T45" s="2">
        <v>0</v>
      </c>
      <c r="U45" s="2">
        <v>11712.21</v>
      </c>
      <c r="V45" s="2">
        <v>7112.21</v>
      </c>
    </row>
    <row r="46" spans="1:22" s="3" customFormat="1" x14ac:dyDescent="0.35">
      <c r="A46" s="4"/>
      <c r="B46" s="4"/>
      <c r="C46" s="4"/>
      <c r="D46" s="4"/>
      <c r="E46" s="18" t="str">
        <f>HYPERLINK("https://stellar.myresman.com/#/GLAccounts/Detail/83296970-59e1-485e-8ac4-f00efb4efa85?sd=06%2F01%2F2019%2000%3A00%3A00&amp;ed=08%2F31%2F2019%2000%3A00%3A00&amp;ab=Accrual&amp;pogid=74ebab12-2d0f-4d24-8804-b9708486f37f", "3570 Bad Debt Recovery")</f>
        <v>3570 Bad Debt Recovery</v>
      </c>
      <c r="F46" s="18"/>
      <c r="G46" s="18"/>
      <c r="H46" s="18"/>
      <c r="I46" s="5">
        <v>0</v>
      </c>
      <c r="J46" s="5">
        <v>814.2</v>
      </c>
      <c r="K46" s="5">
        <v>470.26</v>
      </c>
      <c r="L46" s="5">
        <v>-202.44</v>
      </c>
      <c r="M46" s="5">
        <v>0</v>
      </c>
      <c r="N46" s="5">
        <v>2284.4899999999998</v>
      </c>
      <c r="O46" s="5">
        <v>85.58</v>
      </c>
      <c r="P46" s="5">
        <v>0</v>
      </c>
      <c r="Q46" s="5">
        <v>98.59</v>
      </c>
      <c r="R46" s="5">
        <v>0</v>
      </c>
      <c r="S46" s="5">
        <v>0</v>
      </c>
      <c r="T46" s="5">
        <v>0</v>
      </c>
      <c r="U46" s="5">
        <v>3550.68</v>
      </c>
      <c r="V46" s="6">
        <v>-2159.4899999999998</v>
      </c>
    </row>
    <row r="47" spans="1:22" x14ac:dyDescent="0.35">
      <c r="E47" s="17" t="str">
        <f>HYPERLINK("https://stellar.myresman.com/#/GLAccounts/Detail/81ddf2c7-b6ff-4a7d-b7c4-b7914d60af32?sd=06%2F01%2F2019%2000%3A00%3A00&amp;ed=08%2F31%2F2019%2000%3A00%3A00&amp;ab=Accrual&amp;pogid=74ebab12-2d0f-4d24-8804-b9708486f37f", "3582 Vending Machine Income")</f>
        <v>3582 Vending Machine Income</v>
      </c>
      <c r="F47" s="17"/>
      <c r="G47" s="17"/>
      <c r="H47" s="17"/>
      <c r="I47" s="2">
        <v>0</v>
      </c>
      <c r="J47" s="2">
        <v>323</v>
      </c>
      <c r="K47" s="2">
        <v>0</v>
      </c>
      <c r="L47" s="2">
        <v>251</v>
      </c>
      <c r="M47" s="2">
        <v>363</v>
      </c>
      <c r="N47" s="2">
        <v>0</v>
      </c>
      <c r="O47" s="2">
        <v>319</v>
      </c>
      <c r="P47" s="2">
        <v>126</v>
      </c>
      <c r="Q47" s="2">
        <v>173</v>
      </c>
      <c r="R47" s="2">
        <v>258.97000000000003</v>
      </c>
      <c r="S47" s="2">
        <v>3507.88</v>
      </c>
      <c r="T47" s="2">
        <v>945</v>
      </c>
      <c r="U47" s="2">
        <v>6266.85</v>
      </c>
      <c r="V47" s="2">
        <v>3466.85</v>
      </c>
    </row>
    <row r="48" spans="1:22" x14ac:dyDescent="0.35">
      <c r="E48" s="16" t="str">
        <f>HYPERLINK("https://stellar.myresman.com/#/GLAccounts/Detail/0757d378-de4c-426d-921c-782529913b72?sd=06%2F01%2F2019%2000%3A00%3A00&amp;ed=08%2F31%2F2019%2000%3A00%3A00&amp;ab=Accrual&amp;pogid=74ebab12-2d0f-4d24-8804-b9708486f37f", "3585 RUBS Income")</f>
        <v>3585 RUBS Income</v>
      </c>
      <c r="F48" s="16"/>
      <c r="G48" s="16"/>
      <c r="H48" s="16"/>
      <c r="I48" s="2">
        <v>0</v>
      </c>
      <c r="J48" s="2">
        <v>7.39</v>
      </c>
      <c r="K48" s="2">
        <v>0</v>
      </c>
      <c r="L48" s="2">
        <v>231.75</v>
      </c>
      <c r="M48" s="2">
        <v>1802.92</v>
      </c>
      <c r="N48" s="2">
        <v>3124.93</v>
      </c>
      <c r="O48" s="2">
        <v>4544.41</v>
      </c>
      <c r="P48" s="2">
        <v>4969.88</v>
      </c>
      <c r="Q48" s="2">
        <v>6133.37</v>
      </c>
      <c r="R48" s="2">
        <v>7105.31</v>
      </c>
      <c r="S48" s="2">
        <v>8137.37</v>
      </c>
      <c r="T48" s="2">
        <v>8619.56</v>
      </c>
      <c r="U48" s="2">
        <v>44676.89</v>
      </c>
      <c r="V48" s="2">
        <v>44676.89</v>
      </c>
    </row>
    <row r="49" spans="1:22" s="3" customFormat="1" x14ac:dyDescent="0.35">
      <c r="A49" s="4"/>
      <c r="B49" s="4"/>
      <c r="C49" s="4"/>
      <c r="D49" s="4"/>
      <c r="E49" s="4"/>
      <c r="F49" s="18" t="str">
        <f>HYPERLINK("https://stellar.myresman.com/#/GLAccounts/Detail/07770005-a2fb-4289-ba51-b361a268f3a4?sd=06%2F01%2F2019%2000%3A00%3A00&amp;ed=08%2F31%2F2019%2000%3A00%3A00&amp;ab=Accrual&amp;pogid=74ebab12-2d0f-4d24-8804-b9708486f37f", "3586 Reimbursed Electric")</f>
        <v>3586 Reimbursed Electric</v>
      </c>
      <c r="G49" s="18"/>
      <c r="H49" s="18"/>
      <c r="I49" s="5">
        <v>1266.76</v>
      </c>
      <c r="J49" s="5">
        <v>1209.3699999999999</v>
      </c>
      <c r="K49" s="5">
        <v>1182.69</v>
      </c>
      <c r="L49" s="5">
        <v>1203.07</v>
      </c>
      <c r="M49" s="5">
        <v>78.5</v>
      </c>
      <c r="N49" s="5">
        <v>0</v>
      </c>
      <c r="O49" s="5">
        <v>72.62</v>
      </c>
      <c r="P49" s="5">
        <v>15</v>
      </c>
      <c r="Q49" s="5">
        <v>15</v>
      </c>
      <c r="R49" s="5">
        <v>15</v>
      </c>
      <c r="S49" s="5">
        <v>15</v>
      </c>
      <c r="T49" s="5">
        <v>15</v>
      </c>
      <c r="U49" s="5">
        <v>5088.01</v>
      </c>
      <c r="V49" s="6">
        <v>-92.64</v>
      </c>
    </row>
    <row r="50" spans="1:22" x14ac:dyDescent="0.35">
      <c r="F50" s="17" t="str">
        <f>HYPERLINK("https://stellar.myresman.com/#/GLAccounts/Detail/d638713d-0e9f-4834-96c3-9b327fc6ccec?sd=06%2F01%2F2019%2000%3A00%3A00&amp;ed=08%2F31%2F2019%2000%3A00%3A00&amp;ab=Accrual&amp;pogid=74ebab12-2d0f-4d24-8804-b9708486f37f", "3587 Reimbursed Water")</f>
        <v>3587 Reimbursed Water</v>
      </c>
      <c r="G50" s="17"/>
      <c r="H50" s="17"/>
      <c r="I50" s="2">
        <v>6142.97</v>
      </c>
      <c r="J50" s="2">
        <v>5863</v>
      </c>
      <c r="K50" s="2">
        <v>5707.5</v>
      </c>
      <c r="L50" s="2">
        <v>5773.72</v>
      </c>
      <c r="M50" s="2">
        <v>5186.8</v>
      </c>
      <c r="N50" s="2">
        <v>4871.9399999999996</v>
      </c>
      <c r="O50" s="2">
        <v>4220.8100000000004</v>
      </c>
      <c r="P50" s="2">
        <v>3769.71</v>
      </c>
      <c r="Q50" s="2">
        <v>3326.05</v>
      </c>
      <c r="R50" s="2">
        <v>2904.2</v>
      </c>
      <c r="S50" s="2">
        <v>2450.66</v>
      </c>
      <c r="T50" s="2">
        <v>2007.16</v>
      </c>
      <c r="U50" s="2">
        <v>52224.52</v>
      </c>
      <c r="V50" s="8">
        <v>-21739.97</v>
      </c>
    </row>
    <row r="51" spans="1:22" s="3" customFormat="1" x14ac:dyDescent="0.35">
      <c r="A51" s="4"/>
      <c r="B51" s="4"/>
      <c r="C51" s="4"/>
      <c r="D51" s="4"/>
      <c r="E51" s="4"/>
      <c r="F51" s="18" t="str">
        <f>HYPERLINK("https://stellar.myresman.com/#/GLAccounts/Detail/1aaa7b3c-ed78-4190-9a39-49c0fe3e788d?sd=06%2F01%2F2019%2000%3A00%3A00&amp;ed=08%2F31%2F2019%2000%3A00%3A00&amp;ab=Accrual&amp;pogid=74ebab12-2d0f-4d24-8804-b9708486f37f", "3588 Reimbursed Sewer")</f>
        <v>3588 Reimbursed Sewer</v>
      </c>
      <c r="G51" s="18"/>
      <c r="H51" s="18"/>
      <c r="I51" s="5">
        <v>3532.48</v>
      </c>
      <c r="J51" s="5">
        <v>3369.04</v>
      </c>
      <c r="K51" s="5">
        <v>3357.68</v>
      </c>
      <c r="L51" s="5">
        <v>3389.32</v>
      </c>
      <c r="M51" s="5">
        <v>3088.09</v>
      </c>
      <c r="N51" s="5">
        <v>2915.06</v>
      </c>
      <c r="O51" s="5">
        <v>2624.21</v>
      </c>
      <c r="P51" s="5">
        <v>2285.02</v>
      </c>
      <c r="Q51" s="5">
        <v>1991.95</v>
      </c>
      <c r="R51" s="5">
        <v>1761.48</v>
      </c>
      <c r="S51" s="5">
        <v>1467.94</v>
      </c>
      <c r="T51" s="5">
        <v>1196.6099999999999</v>
      </c>
      <c r="U51" s="5">
        <v>30978.880000000001</v>
      </c>
      <c r="V51" s="6">
        <v>-6403.18</v>
      </c>
    </row>
    <row r="52" spans="1:22" x14ac:dyDescent="0.35">
      <c r="F52" s="17" t="str">
        <f>HYPERLINK("https://stellar.myresman.com/#/GLAccounts/Detail/3a801571-4460-4b37-971e-a2243461f97c?sd=06%2F01%2F2019%2000%3A00%3A00&amp;ed=08%2F31%2F2019%2000%3A00%3A00&amp;ab=Accrual&amp;pogid=74ebab12-2d0f-4d24-8804-b9708486f37f", "3589 Reimbursed Trash")</f>
        <v>3589 Reimbursed Trash</v>
      </c>
      <c r="G52" s="17"/>
      <c r="H52" s="17"/>
      <c r="I52" s="2">
        <v>906.33</v>
      </c>
      <c r="J52" s="2">
        <v>863.52</v>
      </c>
      <c r="K52" s="2">
        <v>856.5</v>
      </c>
      <c r="L52" s="2">
        <v>869.62</v>
      </c>
      <c r="M52" s="2">
        <v>791.18</v>
      </c>
      <c r="N52" s="2">
        <v>748.29</v>
      </c>
      <c r="O52" s="2">
        <v>653.48</v>
      </c>
      <c r="P52" s="2">
        <v>578.94000000000005</v>
      </c>
      <c r="Q52" s="2">
        <v>499.97</v>
      </c>
      <c r="R52" s="2">
        <v>441.19</v>
      </c>
      <c r="S52" s="2">
        <v>372.36</v>
      </c>
      <c r="T52" s="2">
        <v>301.02999999999997</v>
      </c>
      <c r="U52" s="2">
        <v>7882.41</v>
      </c>
      <c r="V52" s="8">
        <v>-2057.98</v>
      </c>
    </row>
    <row r="53" spans="1:22" s="3" customFormat="1" x14ac:dyDescent="0.35">
      <c r="A53" s="4"/>
      <c r="B53" s="4"/>
      <c r="C53" s="4"/>
      <c r="D53" s="4"/>
      <c r="E53" s="4"/>
      <c r="F53" s="18" t="str">
        <f>HYPERLINK("https://stellar.myresman.com/#/GLAccounts/Detail/1092d0af-0430-4a2f-954f-339f610c4fb7?sd=06%2F01%2F2019%2000%3A00%3A00&amp;ed=08%2F31%2F2019%2000%3A00%3A00&amp;ab=Accrual&amp;pogid=74ebab12-2d0f-4d24-8804-b9708486f37f", "3591 Reimbursed Pest")</f>
        <v>3591 Reimbursed Pest</v>
      </c>
      <c r="G53" s="18"/>
      <c r="H53" s="18"/>
      <c r="I53" s="5">
        <v>550.9</v>
      </c>
      <c r="J53" s="5">
        <v>658.73</v>
      </c>
      <c r="K53" s="5">
        <v>1262.32</v>
      </c>
      <c r="L53" s="5">
        <v>892.98</v>
      </c>
      <c r="M53" s="5">
        <v>474.12</v>
      </c>
      <c r="N53" s="5">
        <v>0</v>
      </c>
      <c r="O53" s="5">
        <v>386.34</v>
      </c>
      <c r="P53" s="5">
        <v>346.15</v>
      </c>
      <c r="Q53" s="5">
        <v>376.78</v>
      </c>
      <c r="R53" s="5">
        <v>263.23</v>
      </c>
      <c r="S53" s="5">
        <v>222.21</v>
      </c>
      <c r="T53" s="5">
        <v>179.42</v>
      </c>
      <c r="U53" s="5">
        <v>5613.18</v>
      </c>
      <c r="V53" s="6">
        <v>-2313.66</v>
      </c>
    </row>
    <row r="54" spans="1:22" x14ac:dyDescent="0.35">
      <c r="F54" s="17" t="str">
        <f>HYPERLINK("https://stellar.myresman.com/#/GLAccounts/Detail/6dd60a1a-9d6e-40f9-9804-3cb379b651ea?sd=06%2F01%2F2019%2000%3A00%3A00&amp;ed=08%2F31%2F2019%2000%3A00%3A00&amp;ab=Accrual&amp;pogid=74ebab12-2d0f-4d24-8804-b9708486f37f", "3596 Other Reimbursed Costs")</f>
        <v>3596 Other Reimbursed Costs</v>
      </c>
      <c r="G54" s="17"/>
      <c r="H54" s="17"/>
      <c r="I54" s="2">
        <v>0</v>
      </c>
      <c r="J54" s="2">
        <v>50</v>
      </c>
      <c r="K54" s="2">
        <v>0</v>
      </c>
      <c r="L54" s="2">
        <v>250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300</v>
      </c>
      <c r="V54" s="2">
        <v>300</v>
      </c>
    </row>
    <row r="55" spans="1:22" x14ac:dyDescent="0.35">
      <c r="E55" s="15" t="s">
        <v>26</v>
      </c>
      <c r="F55" s="15"/>
      <c r="G55" s="15"/>
      <c r="H55" s="15"/>
      <c r="I55" s="7">
        <v>12399.44</v>
      </c>
      <c r="J55" s="7">
        <v>12021.05</v>
      </c>
      <c r="K55" s="7">
        <v>12366.69</v>
      </c>
      <c r="L55" s="7">
        <v>12610.46</v>
      </c>
      <c r="M55" s="7">
        <v>11421.61</v>
      </c>
      <c r="N55" s="7">
        <v>11660.22</v>
      </c>
      <c r="O55" s="7">
        <v>12501.87</v>
      </c>
      <c r="P55" s="7">
        <v>11964.7</v>
      </c>
      <c r="Q55" s="7">
        <v>12343.12</v>
      </c>
      <c r="R55" s="7">
        <v>12490.41</v>
      </c>
      <c r="S55" s="7">
        <v>12665.54</v>
      </c>
      <c r="T55" s="7">
        <v>12318.78</v>
      </c>
      <c r="U55" s="7">
        <v>146763.89000000001</v>
      </c>
      <c r="V55" s="7">
        <v>12369.46</v>
      </c>
    </row>
    <row r="57" spans="1:22" s="3" customFormat="1" x14ac:dyDescent="0.35">
      <c r="A57" s="4"/>
      <c r="B57" s="4"/>
      <c r="C57" s="4"/>
      <c r="D57" s="4"/>
      <c r="E57" s="18" t="str">
        <f>HYPERLINK("https://stellar.myresman.com/#/GLAccounts/Detail/e7518f50-ddc1-4ce7-a4af-be7b8f9e7a61?sd=06%2F01%2F2019%2000%3A00%3A00&amp;ed=08%2F31%2F2019%2000%3A00%3A00&amp;ab=Accrual&amp;pogid=74ebab12-2d0f-4d24-8804-b9708486f37f", "3590 Interest")</f>
        <v>3590 Interest</v>
      </c>
      <c r="F57" s="18"/>
      <c r="G57" s="18"/>
      <c r="H57" s="18"/>
      <c r="I57" s="5">
        <v>0</v>
      </c>
      <c r="J57" s="5">
        <v>0</v>
      </c>
      <c r="K57" s="5">
        <v>0</v>
      </c>
      <c r="L57" s="5">
        <v>0</v>
      </c>
      <c r="M57" s="5">
        <v>1.92</v>
      </c>
      <c r="N57" s="5">
        <v>2.17</v>
      </c>
      <c r="O57" s="5">
        <v>3.1</v>
      </c>
      <c r="P57" s="5">
        <v>2.36</v>
      </c>
      <c r="Q57" s="5">
        <v>2.6</v>
      </c>
      <c r="R57" s="5">
        <v>1.89</v>
      </c>
      <c r="S57" s="5">
        <v>0.59</v>
      </c>
      <c r="T57" s="5">
        <v>0.52</v>
      </c>
      <c r="U57" s="5">
        <v>15.15</v>
      </c>
      <c r="V57" s="5">
        <v>15.15</v>
      </c>
    </row>
    <row r="58" spans="1:22" x14ac:dyDescent="0.35">
      <c r="E58" s="17" t="str">
        <f>HYPERLINK("https://stellar.myresman.com/#/GLAccounts/Detail/be4e93be-5c73-4c47-8c02-702eaaf9660c?sd=06%2F01%2F2019%2000%3A00%3A00&amp;ed=08%2F31%2F2019%2000%3A00%3A00&amp;ab=Accrual&amp;pogid=74ebab12-2d0f-4d24-8804-b9708486f37f", "3592 Lock/Key/Fob")</f>
        <v>3592 Lock/Key/Fob</v>
      </c>
      <c r="F58" s="17"/>
      <c r="G58" s="17"/>
      <c r="H58" s="17"/>
      <c r="I58" s="2">
        <v>0</v>
      </c>
      <c r="J58" s="2">
        <v>0</v>
      </c>
      <c r="K58" s="2">
        <v>0</v>
      </c>
      <c r="L58" s="2">
        <v>25</v>
      </c>
      <c r="M58" s="2">
        <v>0</v>
      </c>
      <c r="N58" s="2">
        <v>0</v>
      </c>
      <c r="O58" s="2">
        <v>50</v>
      </c>
      <c r="P58" s="2">
        <v>0</v>
      </c>
      <c r="Q58" s="2">
        <v>0</v>
      </c>
      <c r="R58" s="2">
        <v>50</v>
      </c>
      <c r="S58" s="2">
        <v>0</v>
      </c>
      <c r="T58" s="2">
        <v>115</v>
      </c>
      <c r="U58" s="2">
        <v>240</v>
      </c>
      <c r="V58" s="2">
        <v>240</v>
      </c>
    </row>
    <row r="59" spans="1:22" s="3" customFormat="1" x14ac:dyDescent="0.35">
      <c r="A59" s="4"/>
      <c r="B59" s="4"/>
      <c r="C59" s="4"/>
      <c r="D59" s="4"/>
      <c r="E59" s="18" t="str">
        <f>HYPERLINK("https://stellar.myresman.com/#/GLAccounts/Detail/82f67801-8d1f-4762-98b3-e11508234364?sd=06%2F01%2F2019%2000%3A00%3A00&amp;ed=08%2F31%2F2019%2000%3A00%3A00&amp;ab=Accrual&amp;pogid=74ebab12-2d0f-4d24-8804-b9708486f37f", "3593 Clubroom or Facility Rental")</f>
        <v>3593 Clubroom or Facility Rental</v>
      </c>
      <c r="F59" s="18"/>
      <c r="G59" s="18"/>
      <c r="H59" s="18"/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6">
        <v>-3875.2</v>
      </c>
    </row>
    <row r="60" spans="1:22" x14ac:dyDescent="0.35">
      <c r="E60" s="17" t="str">
        <f>HYPERLINK("https://stellar.myresman.com/#/GLAccounts/Detail/9a499dba-7892-4e28-9650-65de28049267?sd=06%2F01%2F2019%2000%3A00%3A00&amp;ed=08%2F31%2F2019%2000%3A00%3A00&amp;ab=Accrual&amp;pogid=74ebab12-2d0f-4d24-8804-b9708486f37f", "3597 Parking Rent")</f>
        <v>3597 Parking Rent</v>
      </c>
      <c r="F60" s="17"/>
      <c r="G60" s="17"/>
      <c r="H60" s="17"/>
      <c r="I60" s="2">
        <v>0</v>
      </c>
      <c r="J60" s="2">
        <v>0</v>
      </c>
      <c r="K60" s="2">
        <v>0</v>
      </c>
      <c r="L60" s="2">
        <v>0</v>
      </c>
      <c r="M60" s="2">
        <v>666.87</v>
      </c>
      <c r="N60" s="2">
        <v>659</v>
      </c>
      <c r="O60" s="2">
        <v>631.54</v>
      </c>
      <c r="P60" s="2">
        <v>657.59</v>
      </c>
      <c r="Q60" s="2">
        <v>652.76</v>
      </c>
      <c r="R60" s="2">
        <v>635.80999999999995</v>
      </c>
      <c r="S60" s="2">
        <v>639.66999999999996</v>
      </c>
      <c r="T60" s="2">
        <v>777.48</v>
      </c>
      <c r="U60" s="2">
        <v>5320.72</v>
      </c>
      <c r="V60" s="2">
        <v>1745.72</v>
      </c>
    </row>
    <row r="61" spans="1:22" s="3" customFormat="1" x14ac:dyDescent="0.35">
      <c r="A61" s="4"/>
      <c r="B61" s="4"/>
      <c r="C61" s="4"/>
      <c r="D61" s="4"/>
      <c r="E61" s="18" t="str">
        <f>HYPERLINK("https://stellar.myresman.com/#/GLAccounts/Detail/833dee12-36d0-4fe0-a9bb-151926073d6e?sd=06%2F01%2F2019%2000%3A00%3A00&amp;ed=08%2F31%2F2019%2000%3A00%3A00&amp;ab=Accrual&amp;pogid=74ebab12-2d0f-4d24-8804-b9708486f37f", "3598 Storage")</f>
        <v>3598 Storage</v>
      </c>
      <c r="F61" s="18"/>
      <c r="G61" s="18"/>
      <c r="H61" s="18"/>
      <c r="I61" s="5">
        <v>828</v>
      </c>
      <c r="J61" s="5">
        <v>840.48</v>
      </c>
      <c r="K61" s="5">
        <v>770.32</v>
      </c>
      <c r="L61" s="5">
        <v>824.5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3263.3</v>
      </c>
      <c r="V61" s="6">
        <v>-1064.2</v>
      </c>
    </row>
    <row r="62" spans="1:22" x14ac:dyDescent="0.35">
      <c r="E62" s="16" t="str">
        <f>HYPERLINK("https://stellar.myresman.com/#/GLAccounts/Detail/e91e5b4d-6432-4932-b228-a2c994e822ab?sd=06%2F01%2F2019%2000%3A00%3A00&amp;ed=08%2F31%2F2019%2000%3A00%3A00&amp;ab=Accrual&amp;pogid=74ebab12-2d0f-4d24-8804-b9708486f37f", "3600 Miscellaneous")</f>
        <v>3600 Miscellaneous</v>
      </c>
      <c r="F62" s="16"/>
      <c r="G62" s="16"/>
      <c r="H62" s="16"/>
      <c r="I62" s="2">
        <v>0</v>
      </c>
      <c r="J62" s="2">
        <v>0</v>
      </c>
      <c r="K62" s="2">
        <v>50</v>
      </c>
      <c r="L62" s="2">
        <v>0</v>
      </c>
      <c r="M62" s="2">
        <v>460.69</v>
      </c>
      <c r="N62" s="2">
        <v>2.1</v>
      </c>
      <c r="O62" s="2">
        <v>8.32</v>
      </c>
      <c r="P62" s="2">
        <v>6.84</v>
      </c>
      <c r="Q62" s="2">
        <v>3.21</v>
      </c>
      <c r="R62" s="2">
        <v>2.59</v>
      </c>
      <c r="S62" s="2">
        <v>7.31</v>
      </c>
      <c r="T62" s="2">
        <v>4.51</v>
      </c>
      <c r="U62" s="2">
        <v>545.57000000000005</v>
      </c>
      <c r="V62" s="2">
        <v>545.57000000000005</v>
      </c>
    </row>
    <row r="63" spans="1:22" x14ac:dyDescent="0.35">
      <c r="E63" s="15" t="s">
        <v>27</v>
      </c>
      <c r="F63" s="15"/>
      <c r="G63" s="15"/>
      <c r="H63" s="15"/>
      <c r="I63" s="7">
        <v>0</v>
      </c>
      <c r="J63" s="7">
        <v>0</v>
      </c>
      <c r="K63" s="7">
        <v>50</v>
      </c>
      <c r="L63" s="7">
        <v>0</v>
      </c>
      <c r="M63" s="7">
        <v>460.69</v>
      </c>
      <c r="N63" s="7">
        <v>2.1</v>
      </c>
      <c r="O63" s="7">
        <v>8.32</v>
      </c>
      <c r="P63" s="7">
        <v>6.84</v>
      </c>
      <c r="Q63" s="7">
        <v>3.21</v>
      </c>
      <c r="R63" s="7">
        <v>2.59</v>
      </c>
      <c r="S63" s="7">
        <v>7.31</v>
      </c>
      <c r="T63" s="7">
        <v>4.51</v>
      </c>
      <c r="U63" s="7">
        <v>545.57000000000005</v>
      </c>
      <c r="V63" s="7">
        <v>545.57000000000005</v>
      </c>
    </row>
    <row r="65" spans="1:22" x14ac:dyDescent="0.35">
      <c r="D65" s="15" t="s">
        <v>28</v>
      </c>
      <c r="E65" s="15"/>
      <c r="F65" s="15"/>
      <c r="G65" s="15"/>
      <c r="H65" s="15"/>
      <c r="I65" s="7">
        <v>22954.67</v>
      </c>
      <c r="J65" s="7">
        <v>25291.33</v>
      </c>
      <c r="K65" s="7">
        <v>22155.41</v>
      </c>
      <c r="L65" s="7">
        <v>24090.11</v>
      </c>
      <c r="M65" s="7">
        <v>22643.47</v>
      </c>
      <c r="N65" s="7">
        <v>23001.73</v>
      </c>
      <c r="O65" s="7">
        <v>24696.21</v>
      </c>
      <c r="P65" s="7">
        <v>40628.21</v>
      </c>
      <c r="Q65" s="7">
        <v>9188.4500000000007</v>
      </c>
      <c r="R65" s="7">
        <v>25506.71</v>
      </c>
      <c r="S65" s="7">
        <v>23082.77</v>
      </c>
      <c r="T65" s="7">
        <v>19251.310000000001</v>
      </c>
      <c r="U65" s="7">
        <v>282490.38</v>
      </c>
      <c r="V65" s="9">
        <v>-480.76</v>
      </c>
    </row>
    <row r="67" spans="1:22" x14ac:dyDescent="0.35">
      <c r="C67" s="15" t="s">
        <v>29</v>
      </c>
      <c r="D67" s="15"/>
      <c r="E67" s="15"/>
      <c r="F67" s="15"/>
      <c r="G67" s="15"/>
      <c r="H67" s="15"/>
      <c r="I67" s="7">
        <v>177958.05</v>
      </c>
      <c r="J67" s="7">
        <v>173655.41</v>
      </c>
      <c r="K67" s="7">
        <v>165047.89000000001</v>
      </c>
      <c r="L67" s="7">
        <v>175701.89</v>
      </c>
      <c r="M67" s="7">
        <v>167309.47</v>
      </c>
      <c r="N67" s="7">
        <v>166919.46</v>
      </c>
      <c r="O67" s="7">
        <v>166452.97</v>
      </c>
      <c r="P67" s="7">
        <v>188435.32</v>
      </c>
      <c r="Q67" s="7">
        <v>163301.78</v>
      </c>
      <c r="R67" s="7">
        <v>184968.38</v>
      </c>
      <c r="S67" s="7">
        <v>189417.31</v>
      </c>
      <c r="T67" s="7">
        <v>182091.3</v>
      </c>
      <c r="U67" s="7">
        <v>2101259.23</v>
      </c>
      <c r="V67" s="9">
        <v>-11661.41</v>
      </c>
    </row>
    <row r="69" spans="1:22" x14ac:dyDescent="0.35">
      <c r="C69" s="15" t="s">
        <v>30</v>
      </c>
      <c r="D69" s="15"/>
      <c r="E69" s="15"/>
      <c r="F69" s="15"/>
      <c r="G69" s="15"/>
      <c r="H69" s="15"/>
    </row>
    <row r="70" spans="1:22" x14ac:dyDescent="0.35">
      <c r="D70" s="15" t="s">
        <v>31</v>
      </c>
      <c r="E70" s="15"/>
      <c r="F70" s="15"/>
      <c r="G70" s="15"/>
      <c r="H70" s="15"/>
    </row>
    <row r="71" spans="1:22" x14ac:dyDescent="0.35">
      <c r="E71" s="17" t="str">
        <f>HYPERLINK("https://stellar.myresman.com/#/GLAccounts/Detail/aa4e7973-b81b-44c3-a2e9-e1c0e2d46c6e?sd=06%2F01%2F2019%2000%3A00%3A00&amp;ed=08%2F31%2F2019%2000%3A00%3A00&amp;ab=Accrual&amp;pogid=74ebab12-2d0f-4d24-8804-b9708486f37f", "3952 Manager")</f>
        <v>3952 Manager</v>
      </c>
      <c r="F71" s="17"/>
      <c r="G71" s="17"/>
      <c r="H71" s="17"/>
      <c r="I71" s="2">
        <v>5017.8</v>
      </c>
      <c r="J71" s="2">
        <v>4583.21</v>
      </c>
      <c r="K71" s="2">
        <v>4779.82</v>
      </c>
      <c r="L71" s="2">
        <v>7118.63</v>
      </c>
      <c r="M71" s="2">
        <v>4461.54</v>
      </c>
      <c r="N71" s="2">
        <v>4461.54</v>
      </c>
      <c r="O71" s="2">
        <v>6692.31</v>
      </c>
      <c r="P71" s="2">
        <v>4461.54</v>
      </c>
      <c r="Q71" s="2">
        <v>4461.54</v>
      </c>
      <c r="R71" s="2">
        <v>4461.54</v>
      </c>
      <c r="S71" s="2">
        <v>4961.54</v>
      </c>
      <c r="T71" s="2">
        <v>4461.54</v>
      </c>
      <c r="U71" s="2">
        <v>59922.55</v>
      </c>
      <c r="V71" s="2">
        <v>702.37</v>
      </c>
    </row>
    <row r="72" spans="1:22" x14ac:dyDescent="0.35">
      <c r="E72" s="16" t="str">
        <f>HYPERLINK("https://stellar.myresman.com/#/GLAccounts/Detail/bf2efc97-b687-46e9-ba06-ff151a63b575?sd=06%2F01%2F2019%2000%3A00%3A00&amp;ed=08%2F31%2F2019%2000%3A00%3A00&amp;ab=Accrual&amp;pogid=74ebab12-2d0f-4d24-8804-b9708486f37f", "3953 Asstant Manager")</f>
        <v>3953 Asstant Manager</v>
      </c>
      <c r="F72" s="16"/>
      <c r="G72" s="16"/>
      <c r="H72" s="16"/>
      <c r="I72" s="2">
        <v>93.33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93.33</v>
      </c>
      <c r="V72" s="2">
        <v>27133.72</v>
      </c>
    </row>
    <row r="73" spans="1:22" s="3" customFormat="1" x14ac:dyDescent="0.35">
      <c r="A73" s="4"/>
      <c r="B73" s="4"/>
      <c r="C73" s="4"/>
      <c r="D73" s="4"/>
      <c r="E73" s="4"/>
      <c r="F73" s="18" t="str">
        <f>HYPERLINK("https://stellar.myresman.com/#/GLAccounts/Detail/3e1248d8-2217-4d2f-b5fc-65884e7d1386?sd=06%2F01%2F2019%2000%3A00%3A00&amp;ed=08%2F31%2F2019%2000%3A00%3A00&amp;ab=Accrual&amp;pogid=74ebab12-2d0f-4d24-8804-b9708486f37f", "3956 Leasing Manager")</f>
        <v>3956 Leasing Manager</v>
      </c>
      <c r="G73" s="18"/>
      <c r="H73" s="18"/>
      <c r="I73" s="5">
        <v>0</v>
      </c>
      <c r="J73" s="5">
        <v>0</v>
      </c>
      <c r="K73" s="5">
        <v>241.67</v>
      </c>
      <c r="L73" s="5">
        <v>-241.67</v>
      </c>
      <c r="M73" s="5">
        <v>170.66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3020.04</v>
      </c>
      <c r="U73" s="5">
        <v>3190.7</v>
      </c>
      <c r="V73" s="5">
        <v>12929.3</v>
      </c>
    </row>
    <row r="74" spans="1:22" x14ac:dyDescent="0.35">
      <c r="E74" s="15" t="s">
        <v>32</v>
      </c>
      <c r="F74" s="15"/>
      <c r="G74" s="15"/>
      <c r="H74" s="15"/>
      <c r="I74" s="7">
        <v>93.33</v>
      </c>
      <c r="J74" s="7">
        <v>0</v>
      </c>
      <c r="K74" s="7">
        <v>241.67</v>
      </c>
      <c r="L74" s="7">
        <v>-241.67</v>
      </c>
      <c r="M74" s="7">
        <v>170.66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3020.04</v>
      </c>
      <c r="U74" s="7">
        <v>3284.03</v>
      </c>
      <c r="V74" s="7">
        <v>40063.019999999997</v>
      </c>
    </row>
    <row r="76" spans="1:22" x14ac:dyDescent="0.35">
      <c r="E76" s="17" t="str">
        <f>HYPERLINK("https://stellar.myresman.com/#/GLAccounts/Detail/737b3ba3-4168-4456-88b0-ffb1d6aa8617?sd=06%2F01%2F2019%2000%3A00%3A00&amp;ed=08%2F31%2F2019%2000%3A00%3A00&amp;ab=Accrual&amp;pogid=74ebab12-2d0f-4d24-8804-b9708486f37f", "3954 Leasing Consultant")</f>
        <v>3954 Leasing Consultant</v>
      </c>
      <c r="F76" s="17"/>
      <c r="G76" s="17"/>
      <c r="H76" s="17"/>
      <c r="I76" s="2">
        <v>1999.7</v>
      </c>
      <c r="J76" s="2">
        <v>2563.63</v>
      </c>
      <c r="K76" s="2">
        <v>2201.15</v>
      </c>
      <c r="L76" s="2">
        <v>2315.81</v>
      </c>
      <c r="M76" s="2">
        <v>1417.23</v>
      </c>
      <c r="N76" s="2">
        <v>6910.34</v>
      </c>
      <c r="O76" s="2">
        <v>5129.45</v>
      </c>
      <c r="P76" s="2">
        <v>4135.46</v>
      </c>
      <c r="Q76" s="2">
        <v>3541.3</v>
      </c>
      <c r="R76" s="2">
        <v>4557.7700000000004</v>
      </c>
      <c r="S76" s="2">
        <v>4736.1400000000003</v>
      </c>
      <c r="T76" s="2">
        <v>1051.06</v>
      </c>
      <c r="U76" s="2">
        <v>40559.040000000001</v>
      </c>
      <c r="V76" s="8">
        <v>-40559.040000000001</v>
      </c>
    </row>
    <row r="77" spans="1:22" s="3" customFormat="1" x14ac:dyDescent="0.35">
      <c r="A77" s="4"/>
      <c r="B77" s="4"/>
      <c r="C77" s="4"/>
      <c r="D77" s="4"/>
      <c r="E77" s="18" t="str">
        <f>HYPERLINK("https://stellar.myresman.com/#/GLAccounts/Detail/fe01dd36-a84b-490f-81b4-f2717efb545a?sd=06%2F01%2F2019%2000%3A00%3A00&amp;ed=08%2F31%2F2019%2000%3A00%3A00&amp;ab=Accrual&amp;pogid=74ebab12-2d0f-4d24-8804-b9708486f37f", "3955 Commissions")</f>
        <v>3955 Commissions</v>
      </c>
      <c r="F77" s="18"/>
      <c r="G77" s="18"/>
      <c r="H77" s="18"/>
      <c r="I77" s="5">
        <v>1650</v>
      </c>
      <c r="J77" s="5">
        <v>2489.69</v>
      </c>
      <c r="K77" s="5">
        <v>0</v>
      </c>
      <c r="L77" s="5">
        <v>6384</v>
      </c>
      <c r="M77" s="5">
        <v>-1900</v>
      </c>
      <c r="N77" s="5">
        <v>750</v>
      </c>
      <c r="O77" s="5">
        <v>750</v>
      </c>
      <c r="P77" s="5">
        <v>600</v>
      </c>
      <c r="Q77" s="5">
        <v>0</v>
      </c>
      <c r="R77" s="5">
        <v>0</v>
      </c>
      <c r="S77" s="5">
        <v>1500</v>
      </c>
      <c r="T77" s="5">
        <v>0</v>
      </c>
      <c r="U77" s="5">
        <v>12223.69</v>
      </c>
      <c r="V77" s="5">
        <v>2021.31</v>
      </c>
    </row>
    <row r="78" spans="1:22" x14ac:dyDescent="0.35">
      <c r="E78" s="16" t="str">
        <f>HYPERLINK("https://stellar.myresman.com/#/GLAccounts/Detail/5b69d8ab-dcf1-4ee2-99fa-6696686b117d?sd=06%2F01%2F2019%2000%3A00%3A00&amp;ed=08%2F31%2F2019%2000%3A00%3A00&amp;ab=Accrual&amp;pogid=74ebab12-2d0f-4d24-8804-b9708486f37f", "3958 Admin FICA")</f>
        <v>3958 Admin FICA</v>
      </c>
      <c r="F78" s="16"/>
      <c r="G78" s="16"/>
      <c r="H78" s="16"/>
      <c r="I78" s="2">
        <v>176.39</v>
      </c>
      <c r="J78" s="2">
        <v>300.67</v>
      </c>
      <c r="K78" s="2">
        <v>216.76</v>
      </c>
      <c r="L78" s="2">
        <v>68.19</v>
      </c>
      <c r="M78" s="2">
        <v>342.67</v>
      </c>
      <c r="N78" s="2">
        <v>614.33000000000004</v>
      </c>
      <c r="O78" s="2">
        <v>913.81</v>
      </c>
      <c r="P78" s="2">
        <v>601.79999999999995</v>
      </c>
      <c r="Q78" s="2">
        <v>612.23</v>
      </c>
      <c r="R78" s="2">
        <v>689.99</v>
      </c>
      <c r="S78" s="2">
        <v>791.91</v>
      </c>
      <c r="T78" s="2">
        <v>652.76</v>
      </c>
      <c r="U78" s="2">
        <v>5981.51</v>
      </c>
      <c r="V78" s="8">
        <v>-593.98</v>
      </c>
    </row>
    <row r="79" spans="1:22" x14ac:dyDescent="0.35">
      <c r="F79" s="17" t="str">
        <f>HYPERLINK("https://stellar.myresman.com/#/GLAccounts/Detail/7bb4d597-a45c-46d4-bd7f-b5f571b00d0b?sd=06%2F01%2F2019%2000%3A00%3A00&amp;ed=08%2F31%2F2019%2000%3A00%3A00&amp;ab=Accrual&amp;pogid=74ebab12-2d0f-4d24-8804-b9708486f37f", "3957 Payroll Taxes - Leasing")</f>
        <v>3957 Payroll Taxes - Leasing</v>
      </c>
      <c r="G79" s="17"/>
      <c r="H79" s="17"/>
      <c r="I79" s="2">
        <v>340.93</v>
      </c>
      <c r="J79" s="2">
        <v>354.53</v>
      </c>
      <c r="K79" s="2">
        <v>433.93</v>
      </c>
      <c r="L79" s="2">
        <v>728.82</v>
      </c>
      <c r="M79" s="2">
        <v>13.38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1871.59</v>
      </c>
      <c r="V79" s="2">
        <v>696.2</v>
      </c>
    </row>
    <row r="80" spans="1:22" x14ac:dyDescent="0.35">
      <c r="E80" s="15" t="s">
        <v>33</v>
      </c>
      <c r="F80" s="15"/>
      <c r="G80" s="15"/>
      <c r="H80" s="15"/>
      <c r="I80" s="7">
        <v>517.32000000000005</v>
      </c>
      <c r="J80" s="7">
        <v>655.20000000000005</v>
      </c>
      <c r="K80" s="7">
        <v>650.69000000000005</v>
      </c>
      <c r="L80" s="7">
        <v>797.01</v>
      </c>
      <c r="M80" s="7">
        <v>356.05</v>
      </c>
      <c r="N80" s="7">
        <v>614.33000000000004</v>
      </c>
      <c r="O80" s="7">
        <v>913.81</v>
      </c>
      <c r="P80" s="7">
        <v>601.79999999999995</v>
      </c>
      <c r="Q80" s="7">
        <v>612.23</v>
      </c>
      <c r="R80" s="7">
        <v>689.99</v>
      </c>
      <c r="S80" s="7">
        <v>791.91</v>
      </c>
      <c r="T80" s="7">
        <v>652.76</v>
      </c>
      <c r="U80" s="7">
        <v>7853.1</v>
      </c>
      <c r="V80" s="7">
        <v>102.22</v>
      </c>
    </row>
    <row r="82" spans="1:22" s="3" customFormat="1" x14ac:dyDescent="0.35">
      <c r="A82" s="4"/>
      <c r="B82" s="4"/>
      <c r="C82" s="4"/>
      <c r="D82" s="4"/>
      <c r="E82" s="18" t="str">
        <f>HYPERLINK("https://stellar.myresman.com/#/GLAccounts/Detail/a5277154-9283-4b80-8b34-4568dea934c8?sd=06%2F01%2F2019%2000%3A00%3A00&amp;ed=08%2F31%2F2019%2000%3A00%3A00&amp;ab=Accrual&amp;pogid=74ebab12-2d0f-4d24-8804-b9708486f37f", "3959 Admin FUTA")</f>
        <v>3959 Admin FUTA</v>
      </c>
      <c r="F82" s="18"/>
      <c r="G82" s="18"/>
      <c r="H82" s="18"/>
      <c r="I82" s="5">
        <v>0</v>
      </c>
      <c r="J82" s="5">
        <v>0</v>
      </c>
      <c r="K82" s="5">
        <v>0</v>
      </c>
      <c r="L82" s="5">
        <v>0</v>
      </c>
      <c r="M82" s="5">
        <v>38.86</v>
      </c>
      <c r="N82" s="5">
        <v>35.14</v>
      </c>
      <c r="O82" s="5">
        <v>13.84</v>
      </c>
      <c r="P82" s="5">
        <v>44.79</v>
      </c>
      <c r="Q82" s="5">
        <v>36.479999999999997</v>
      </c>
      <c r="R82" s="5">
        <v>13.75</v>
      </c>
      <c r="S82" s="5">
        <v>0</v>
      </c>
      <c r="T82" s="5">
        <v>0</v>
      </c>
      <c r="U82" s="5">
        <v>182.86</v>
      </c>
      <c r="V82" s="5">
        <v>184.64</v>
      </c>
    </row>
    <row r="83" spans="1:22" x14ac:dyDescent="0.35">
      <c r="E83" s="17" t="str">
        <f>HYPERLINK("https://stellar.myresman.com/#/GLAccounts/Detail/72880919-8b62-43e0-8d2b-31cd7a934cf9?sd=06%2F01%2F2019%2000%3A00%3A00&amp;ed=08%2F31%2F2019%2000%3A00%3A00&amp;ab=Accrual&amp;pogid=74ebab12-2d0f-4d24-8804-b9708486f37f", "3960 Admin SUTA")</f>
        <v>3960 Admin SUTA</v>
      </c>
      <c r="F83" s="17"/>
      <c r="G83" s="17"/>
      <c r="H83" s="17"/>
      <c r="I83" s="2">
        <v>0</v>
      </c>
      <c r="J83" s="2">
        <v>0</v>
      </c>
      <c r="K83" s="2">
        <v>0</v>
      </c>
      <c r="L83" s="2">
        <v>0</v>
      </c>
      <c r="M83" s="2">
        <v>108.13</v>
      </c>
      <c r="N83" s="2">
        <v>175.71</v>
      </c>
      <c r="O83" s="2">
        <v>69.22</v>
      </c>
      <c r="P83" s="2">
        <v>223.99</v>
      </c>
      <c r="Q83" s="2">
        <v>182.39</v>
      </c>
      <c r="R83" s="2">
        <v>68.760000000000005</v>
      </c>
      <c r="S83" s="2">
        <v>0</v>
      </c>
      <c r="T83" s="2">
        <v>0</v>
      </c>
      <c r="U83" s="2">
        <v>828.2</v>
      </c>
      <c r="V83" s="2">
        <v>793.05</v>
      </c>
    </row>
    <row r="84" spans="1:22" x14ac:dyDescent="0.35">
      <c r="E84" s="16" t="str">
        <f>HYPERLINK("https://stellar.myresman.com/#/GLAccounts/Detail/e2506a1d-4277-47f0-b6e0-6f319e9fa6b6?sd=06%2F01%2F2019%2000%3A00%3A00&amp;ed=08%2F31%2F2019%2000%3A00%3A00&amp;ab=Accrual&amp;pogid=74ebab12-2d0f-4d24-8804-b9708486f37f", "3961 Admin Work Comp")</f>
        <v>3961 Admin Work Comp</v>
      </c>
      <c r="F84" s="16"/>
      <c r="G84" s="16"/>
      <c r="H84" s="16"/>
      <c r="I84" s="2">
        <v>40.32</v>
      </c>
      <c r="J84" s="2">
        <v>42.17</v>
      </c>
      <c r="K84" s="2">
        <v>50.64</v>
      </c>
      <c r="L84" s="2">
        <v>84.68</v>
      </c>
      <c r="M84" s="2">
        <v>27.78</v>
      </c>
      <c r="N84" s="2">
        <v>63.47</v>
      </c>
      <c r="O84" s="2">
        <v>94.06</v>
      </c>
      <c r="P84" s="2">
        <v>62.36</v>
      </c>
      <c r="Q84" s="2">
        <v>63.19</v>
      </c>
      <c r="R84" s="2">
        <v>71.39</v>
      </c>
      <c r="S84" s="2">
        <v>81.84</v>
      </c>
      <c r="T84" s="2">
        <v>67.569999999999993</v>
      </c>
      <c r="U84" s="2">
        <v>749.47</v>
      </c>
      <c r="V84" s="2">
        <v>646.86</v>
      </c>
    </row>
    <row r="85" spans="1:22" s="3" customFormat="1" x14ac:dyDescent="0.35">
      <c r="A85" s="4"/>
      <c r="B85" s="4"/>
      <c r="C85" s="4"/>
      <c r="D85" s="4"/>
      <c r="E85" s="4"/>
      <c r="F85" s="18" t="str">
        <f>HYPERLINK("https://stellar.myresman.com/#/GLAccounts/Detail/b1c10214-3200-4e13-88ea-52c6de7ed186?sd=06%2F01%2F2019%2000%3A00%3A00&amp;ed=08%2F31%2F2019%2000%3A00%3A00&amp;ab=Accrual&amp;pogid=74ebab12-2d0f-4d24-8804-b9708486f37f", "3967 Work Comp - Leasing")</f>
        <v>3967 Work Comp - Leasing</v>
      </c>
      <c r="G85" s="18"/>
      <c r="H85" s="18"/>
      <c r="I85" s="5">
        <v>907.44</v>
      </c>
      <c r="J85" s="5">
        <v>896.64</v>
      </c>
      <c r="K85" s="5">
        <v>896.64</v>
      </c>
      <c r="L85" s="5">
        <v>1344.96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4045.68</v>
      </c>
      <c r="V85" s="5">
        <v>1229.58</v>
      </c>
    </row>
    <row r="86" spans="1:22" x14ac:dyDescent="0.35">
      <c r="E86" s="15" t="s">
        <v>34</v>
      </c>
      <c r="F86" s="15"/>
      <c r="G86" s="15"/>
      <c r="H86" s="15"/>
      <c r="I86" s="7">
        <v>947.76</v>
      </c>
      <c r="J86" s="7">
        <v>938.81</v>
      </c>
      <c r="K86" s="7">
        <v>947.28</v>
      </c>
      <c r="L86" s="7">
        <v>1429.64</v>
      </c>
      <c r="M86" s="7">
        <v>27.78</v>
      </c>
      <c r="N86" s="7">
        <v>63.47</v>
      </c>
      <c r="O86" s="7">
        <v>94.06</v>
      </c>
      <c r="P86" s="7">
        <v>62.36</v>
      </c>
      <c r="Q86" s="7">
        <v>63.19</v>
      </c>
      <c r="R86" s="7">
        <v>71.39</v>
      </c>
      <c r="S86" s="7">
        <v>81.84</v>
      </c>
      <c r="T86" s="7">
        <v>67.569999999999993</v>
      </c>
      <c r="U86" s="7">
        <v>4795.1499999999996</v>
      </c>
      <c r="V86" s="7">
        <v>1876.44</v>
      </c>
    </row>
    <row r="88" spans="1:22" x14ac:dyDescent="0.35">
      <c r="E88" s="16" t="str">
        <f>HYPERLINK("https://stellar.myresman.com/#/GLAccounts/Detail/d351cb30-2a96-4414-9530-20e2a029f3c7?sd=06%2F01%2F2019%2000%3A00%3A00&amp;ed=08%2F31%2F2019%2000%3A00%3A00&amp;ab=Accrual&amp;pogid=74ebab12-2d0f-4d24-8804-b9708486f37f", "3962 Admin Med Insurance")</f>
        <v>3962 Admin Med Insurance</v>
      </c>
      <c r="F88" s="16"/>
      <c r="G88" s="16"/>
      <c r="H88" s="16"/>
      <c r="I88" s="2">
        <v>16.059999999999999</v>
      </c>
      <c r="J88" s="2">
        <v>28.53</v>
      </c>
      <c r="K88" s="2">
        <v>23.63</v>
      </c>
      <c r="L88" s="2">
        <v>6.62</v>
      </c>
      <c r="M88" s="2">
        <v>812.87</v>
      </c>
      <c r="N88" s="2">
        <v>1619.74</v>
      </c>
      <c r="O88" s="2">
        <v>-303.12</v>
      </c>
      <c r="P88" s="2">
        <v>443.56</v>
      </c>
      <c r="Q88" s="2">
        <v>443.76</v>
      </c>
      <c r="R88" s="2">
        <v>396.99</v>
      </c>
      <c r="S88" s="2">
        <v>444.02</v>
      </c>
      <c r="T88" s="2">
        <v>443.95</v>
      </c>
      <c r="U88" s="2">
        <v>4376.6099999999997</v>
      </c>
      <c r="V88" s="2">
        <v>3824.31</v>
      </c>
    </row>
    <row r="89" spans="1:22" x14ac:dyDescent="0.35">
      <c r="F89" s="17" t="str">
        <f>HYPERLINK("https://stellar.myresman.com/#/GLAccounts/Detail/91855cc9-e301-4d9c-b29d-216b7c3a8e4a?sd=06%2F01%2F2019%2000%3A00%3A00&amp;ed=08%2F31%2F2019%2000%3A00%3A00&amp;ab=Accrual&amp;pogid=74ebab12-2d0f-4d24-8804-b9708486f37f", "3968 Medical Ins - Leasing")</f>
        <v>3968 Medical Ins - Leasing</v>
      </c>
      <c r="G89" s="17"/>
      <c r="H89" s="17"/>
      <c r="I89" s="2">
        <v>587.02</v>
      </c>
      <c r="J89" s="2">
        <v>664.25</v>
      </c>
      <c r="K89" s="2">
        <v>687.26</v>
      </c>
      <c r="L89" s="2">
        <v>317.61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2256.14</v>
      </c>
      <c r="V89" s="8">
        <v>-2256.14</v>
      </c>
    </row>
    <row r="90" spans="1:22" x14ac:dyDescent="0.35">
      <c r="E90" s="15" t="s">
        <v>35</v>
      </c>
      <c r="F90" s="15"/>
      <c r="G90" s="15"/>
      <c r="H90" s="15"/>
      <c r="I90" s="7">
        <v>603.08000000000004</v>
      </c>
      <c r="J90" s="7">
        <v>692.78</v>
      </c>
      <c r="K90" s="7">
        <v>710.89</v>
      </c>
      <c r="L90" s="7">
        <v>324.23</v>
      </c>
      <c r="M90" s="7">
        <v>812.87</v>
      </c>
      <c r="N90" s="7">
        <v>1619.74</v>
      </c>
      <c r="O90" s="7">
        <v>-303.12</v>
      </c>
      <c r="P90" s="7">
        <v>443.56</v>
      </c>
      <c r="Q90" s="7">
        <v>443.76</v>
      </c>
      <c r="R90" s="7">
        <v>396.99</v>
      </c>
      <c r="S90" s="7">
        <v>444.02</v>
      </c>
      <c r="T90" s="7">
        <v>443.95</v>
      </c>
      <c r="U90" s="7">
        <v>6632.75</v>
      </c>
      <c r="V90" s="7">
        <v>1568.17</v>
      </c>
    </row>
    <row r="92" spans="1:22" s="3" customFormat="1" x14ac:dyDescent="0.35">
      <c r="A92" s="4"/>
      <c r="B92" s="4"/>
      <c r="C92" s="4"/>
      <c r="D92" s="4"/>
      <c r="E92" s="18" t="str">
        <f>HYPERLINK("https://stellar.myresman.com/#/GLAccounts/Detail/e79ee9c7-839f-42fc-9881-a6e5192d6042?sd=06%2F01%2F2019%2000%3A00%3A00&amp;ed=08%2F31%2F2019%2000%3A00%3A00&amp;ab=Accrual&amp;pogid=74ebab12-2d0f-4d24-8804-b9708486f37f", "3963 Admin Uniforms")</f>
        <v>3963 Admin Uniforms</v>
      </c>
      <c r="F92" s="18"/>
      <c r="G92" s="18"/>
      <c r="H92" s="18"/>
      <c r="I92" s="5">
        <v>0</v>
      </c>
      <c r="J92" s="5">
        <v>0</v>
      </c>
      <c r="K92" s="5">
        <v>0</v>
      </c>
      <c r="L92" s="5">
        <v>0</v>
      </c>
      <c r="M92" s="5">
        <v>600</v>
      </c>
      <c r="N92" s="5">
        <v>166.2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766.2</v>
      </c>
      <c r="V92" s="5">
        <v>358.8</v>
      </c>
    </row>
    <row r="93" spans="1:22" x14ac:dyDescent="0.35">
      <c r="E93" s="17" t="str">
        <f>HYPERLINK("https://stellar.myresman.com/#/GLAccounts/Detail/13fae4a3-69d6-4b6b-89b1-92152309eb02?sd=06%2F01%2F2019%2000%3A00%3A00&amp;ed=08%2F31%2F2019%2000%3A00%3A00&amp;ab=Accrual&amp;pogid=74ebab12-2d0f-4d24-8804-b9708486f37f", "3966 Employee Recruiting")</f>
        <v>3966 Employee Recruiting</v>
      </c>
      <c r="F93" s="17"/>
      <c r="G93" s="17"/>
      <c r="H93" s="17"/>
      <c r="I93" s="2">
        <v>71</v>
      </c>
      <c r="J93" s="2">
        <v>50.78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121.78</v>
      </c>
      <c r="V93" s="2">
        <v>128.22</v>
      </c>
    </row>
    <row r="94" spans="1:22" s="3" customFormat="1" x14ac:dyDescent="0.35">
      <c r="A94" s="4"/>
      <c r="B94" s="4"/>
      <c r="C94" s="4"/>
      <c r="D94" s="4"/>
      <c r="E94" s="18" t="str">
        <f>HYPERLINK("https://stellar.myresman.com/#/GLAccounts/Detail/24dec826-6ec3-41d4-a320-57d8a1372434?sd=06%2F01%2F2019%2000%3A00%3A00&amp;ed=08%2F31%2F2019%2000%3A00%3A00&amp;ab=Accrual&amp;pogid=74ebab12-2d0f-4d24-8804-b9708486f37f", "3970 Outside labor")</f>
        <v>3970 Outside labor</v>
      </c>
      <c r="F94" s="18"/>
      <c r="G94" s="18"/>
      <c r="H94" s="18"/>
      <c r="I94" s="5">
        <v>1352.16</v>
      </c>
      <c r="J94" s="5">
        <v>169.02</v>
      </c>
      <c r="K94" s="5">
        <v>0</v>
      </c>
      <c r="L94" s="5">
        <v>1180.6400000000001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2701.82</v>
      </c>
      <c r="V94" s="6">
        <v>-1201.82</v>
      </c>
    </row>
    <row r="95" spans="1:22" x14ac:dyDescent="0.35">
      <c r="E95" s="16" t="str">
        <f>HYPERLINK("https://stellar.myresman.com/#/GLAccounts/Detail/91c48bbf-874d-4aa0-b2e2-945ba9309f55?sd=06%2F01%2F2019%2000%3A00%3A00&amp;ed=08%2F31%2F2019%2000%3A00%3A00&amp;ab=Accrual&amp;pogid=74ebab12-2d0f-4d24-8804-b9708486f37f", "3980 401K Plan Contributions")</f>
        <v>3980 401K Plan Contributions</v>
      </c>
      <c r="F95" s="16"/>
      <c r="G95" s="16"/>
      <c r="H95" s="16"/>
      <c r="I95" s="2">
        <v>144.30000000000001</v>
      </c>
      <c r="J95" s="2">
        <v>152.68</v>
      </c>
      <c r="K95" s="2">
        <v>183.83</v>
      </c>
      <c r="L95" s="2">
        <v>306.29000000000002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787.1</v>
      </c>
      <c r="V95" s="2">
        <v>36.08</v>
      </c>
    </row>
    <row r="96" spans="1:22" x14ac:dyDescent="0.35">
      <c r="F96" s="17" t="str">
        <f>HYPERLINK("https://stellar.myresman.com/#/GLAccounts/Detail/25b6024e-e45c-4bb4-952b-aee0eec87bda?sd=06%2F01%2F2019%2000%3A00%3A00&amp;ed=08%2F31%2F2019%2000%3A00%3A00&amp;ab=Accrual&amp;pogid=74ebab12-2d0f-4d24-8804-b9708486f37f", "3981 401K - Maintenance")</f>
        <v>3981 401K - Maintenance</v>
      </c>
      <c r="G96" s="17"/>
      <c r="H96" s="17"/>
      <c r="I96" s="2">
        <v>0</v>
      </c>
      <c r="J96" s="2">
        <v>0</v>
      </c>
      <c r="K96" s="2">
        <v>0</v>
      </c>
      <c r="L96" s="2">
        <v>16.73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16.73</v>
      </c>
      <c r="V96" s="8">
        <v>-16.73</v>
      </c>
    </row>
    <row r="97" spans="1:22" s="3" customFormat="1" x14ac:dyDescent="0.35">
      <c r="A97" s="4"/>
      <c r="B97" s="4"/>
      <c r="C97" s="4"/>
      <c r="D97" s="4"/>
      <c r="E97" s="4"/>
      <c r="F97" s="18" t="str">
        <f>HYPERLINK("https://stellar.myresman.com/#/GLAccounts/Detail/f836df43-0805-4993-8d66-78c5361242df?sd=06%2F01%2F2019%2000%3A00%3A00&amp;ed=08%2F31%2F2019%2000%3A00%3A00&amp;ab=Accrual&amp;pogid=74ebab12-2d0f-4d24-8804-b9708486f37f", "3982 401K - Leasing")</f>
        <v>3982 401K - Leasing</v>
      </c>
      <c r="G97" s="18"/>
      <c r="H97" s="18"/>
      <c r="I97" s="5">
        <v>33.43</v>
      </c>
      <c r="J97" s="5">
        <v>3.86</v>
      </c>
      <c r="K97" s="5">
        <v>6.21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43.5</v>
      </c>
      <c r="V97" s="6">
        <v>-43.5</v>
      </c>
    </row>
    <row r="98" spans="1:22" x14ac:dyDescent="0.35">
      <c r="E98" s="15" t="s">
        <v>36</v>
      </c>
      <c r="F98" s="15"/>
      <c r="G98" s="15"/>
      <c r="H98" s="15"/>
      <c r="I98" s="7">
        <v>177.73</v>
      </c>
      <c r="J98" s="7">
        <v>156.54</v>
      </c>
      <c r="K98" s="7">
        <v>190.04</v>
      </c>
      <c r="L98" s="7">
        <v>323.02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847.33</v>
      </c>
      <c r="V98" s="9">
        <v>-24.15</v>
      </c>
    </row>
    <row r="100" spans="1:22" x14ac:dyDescent="0.35">
      <c r="D100" s="15" t="s">
        <v>37</v>
      </c>
      <c r="E100" s="15"/>
      <c r="F100" s="15"/>
      <c r="G100" s="15"/>
      <c r="H100" s="15"/>
      <c r="I100" s="7">
        <v>12429.88</v>
      </c>
      <c r="J100" s="7">
        <v>12299.66</v>
      </c>
      <c r="K100" s="7">
        <v>9721.5400000000009</v>
      </c>
      <c r="L100" s="7">
        <v>19631.310000000001</v>
      </c>
      <c r="M100" s="7">
        <v>6093.12</v>
      </c>
      <c r="N100" s="7">
        <v>14796.47</v>
      </c>
      <c r="O100" s="7">
        <v>13359.57</v>
      </c>
      <c r="P100" s="7">
        <v>10573.5</v>
      </c>
      <c r="Q100" s="7">
        <v>9340.89</v>
      </c>
      <c r="R100" s="7">
        <v>10260.19</v>
      </c>
      <c r="S100" s="7">
        <v>12515.45</v>
      </c>
      <c r="T100" s="7">
        <v>9696.92</v>
      </c>
      <c r="U100" s="7">
        <v>140718.5</v>
      </c>
      <c r="V100" s="7">
        <v>6013.23</v>
      </c>
    </row>
    <row r="102" spans="1:22" x14ac:dyDescent="0.35">
      <c r="D102" s="16" t="str">
        <f>HYPERLINK("https://stellar.myresman.com/#/GLAccounts/Detail/1502ef97-2a92-4354-8594-bedf76f5f8a9?sd=06%2F01%2F2019%2000%3A00%3A00&amp;ed=08%2F31%2F2019%2000%3A00%3A00&amp;ab=Accrual&amp;pogid=74ebab12-2d0f-4d24-8804-b9708486f37f", "4100 Maintenenace Salaries")</f>
        <v>4100 Maintenenace Salaries</v>
      </c>
      <c r="E102" s="16"/>
      <c r="F102" s="16"/>
      <c r="G102" s="16"/>
      <c r="H102" s="16"/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47.1</v>
      </c>
      <c r="S102" s="2">
        <v>0</v>
      </c>
      <c r="T102" s="2">
        <v>0</v>
      </c>
      <c r="U102" s="2">
        <v>47.1</v>
      </c>
      <c r="V102" s="8">
        <v>-47.1</v>
      </c>
    </row>
    <row r="103" spans="1:22" x14ac:dyDescent="0.35">
      <c r="E103" s="17" t="str">
        <f>HYPERLINK("https://stellar.myresman.com/#/GLAccounts/Detail/d4bf535f-faa9-4239-9aa8-c1b948163a4a?sd=06%2F01%2F2019%2000%3A00%3A00&amp;ed=08%2F31%2F2019%2000%3A00%3A00&amp;ab=Accrual&amp;pogid=74ebab12-2d0f-4d24-8804-b9708486f37f", "4101 Maintenance Supervisor")</f>
        <v>4101 Maintenance Supervisor</v>
      </c>
      <c r="F103" s="17"/>
      <c r="G103" s="17"/>
      <c r="H103" s="17"/>
      <c r="I103" s="2">
        <v>3583.84</v>
      </c>
      <c r="J103" s="2">
        <v>3693.04</v>
      </c>
      <c r="K103" s="2">
        <v>3532.39</v>
      </c>
      <c r="L103" s="2">
        <v>4466.8599999999997</v>
      </c>
      <c r="M103" s="2">
        <v>3500</v>
      </c>
      <c r="N103" s="2">
        <v>4218.88</v>
      </c>
      <c r="O103" s="2">
        <v>6798.13</v>
      </c>
      <c r="P103" s="2">
        <v>3873.26</v>
      </c>
      <c r="Q103" s="2">
        <v>4825.38</v>
      </c>
      <c r="R103" s="2">
        <v>4694.5</v>
      </c>
      <c r="S103" s="2">
        <v>4477.25</v>
      </c>
      <c r="T103" s="2">
        <v>4618.38</v>
      </c>
      <c r="U103" s="2">
        <v>52281.91</v>
      </c>
      <c r="V103" s="2">
        <v>1125.3399999999999</v>
      </c>
    </row>
    <row r="104" spans="1:22" s="3" customFormat="1" x14ac:dyDescent="0.35">
      <c r="A104" s="4"/>
      <c r="B104" s="4"/>
      <c r="C104" s="4"/>
      <c r="D104" s="4"/>
      <c r="E104" s="18" t="str">
        <f>HYPERLINK("https://stellar.myresman.com/#/GLAccounts/Detail/7efd559c-f9e2-404c-994f-08c9acdbf5ee?sd=06%2F01%2F2019%2000%3A00%3A00&amp;ed=08%2F31%2F2019%2000%3A00%3A00&amp;ab=Accrual&amp;pogid=74ebab12-2d0f-4d24-8804-b9708486f37f", "4102 Assistant Maintenance")</f>
        <v>4102 Assistant Maintenance</v>
      </c>
      <c r="F104" s="18"/>
      <c r="G104" s="18"/>
      <c r="H104" s="18"/>
      <c r="I104" s="5">
        <v>2650.01</v>
      </c>
      <c r="J104" s="5">
        <v>2640.95</v>
      </c>
      <c r="K104" s="5">
        <v>2519.46</v>
      </c>
      <c r="L104" s="5">
        <v>2588.6799999999998</v>
      </c>
      <c r="M104" s="5">
        <v>1786.93</v>
      </c>
      <c r="N104" s="5">
        <v>6139.92</v>
      </c>
      <c r="O104" s="5">
        <v>4925.16</v>
      </c>
      <c r="P104" s="5">
        <v>4269.2</v>
      </c>
      <c r="Q104" s="5">
        <v>5923.5</v>
      </c>
      <c r="R104" s="5">
        <v>4762.01</v>
      </c>
      <c r="S104" s="5">
        <v>5109.8900000000003</v>
      </c>
      <c r="T104" s="5">
        <v>3426.9</v>
      </c>
      <c r="U104" s="5">
        <v>46742.61</v>
      </c>
      <c r="V104" s="6">
        <v>-5845.01</v>
      </c>
    </row>
    <row r="105" spans="1:22" x14ac:dyDescent="0.35">
      <c r="E105" s="17" t="str">
        <f>HYPERLINK("https://stellar.myresman.com/#/GLAccounts/Detail/dcebffd7-04f5-4b2e-9264-0403a1eba89b?sd=06%2F01%2F2019%2000%3A00%3A00&amp;ed=08%2F31%2F2019%2000%3A00%3A00&amp;ab=Accrual&amp;pogid=74ebab12-2d0f-4d24-8804-b9708486f37f", "4106 Maint FICA")</f>
        <v>4106 Maint FICA</v>
      </c>
      <c r="F105" s="17"/>
      <c r="G105" s="17"/>
      <c r="H105" s="17"/>
      <c r="I105" s="2">
        <v>461.34</v>
      </c>
      <c r="J105" s="2">
        <v>528.05999999999995</v>
      </c>
      <c r="K105" s="2">
        <v>518.45000000000005</v>
      </c>
      <c r="L105" s="2">
        <v>626.83000000000004</v>
      </c>
      <c r="M105" s="2">
        <v>404.46</v>
      </c>
      <c r="N105" s="2">
        <v>358.39</v>
      </c>
      <c r="O105" s="2">
        <v>728.7</v>
      </c>
      <c r="P105" s="2">
        <v>592.29</v>
      </c>
      <c r="Q105" s="2">
        <v>639.73</v>
      </c>
      <c r="R105" s="2">
        <v>618.37</v>
      </c>
      <c r="S105" s="2">
        <v>671.26</v>
      </c>
      <c r="T105" s="2">
        <v>615.47</v>
      </c>
      <c r="U105" s="2">
        <v>6763.35</v>
      </c>
      <c r="V105" s="2">
        <v>448.67</v>
      </c>
    </row>
    <row r="106" spans="1:22" s="3" customFormat="1" x14ac:dyDescent="0.35">
      <c r="A106" s="4"/>
      <c r="B106" s="4"/>
      <c r="C106" s="4"/>
      <c r="D106" s="4"/>
      <c r="E106" s="18" t="str">
        <f>HYPERLINK("https://stellar.myresman.com/#/GLAccounts/Detail/f751b50b-6360-41d9-adb4-c1a9fedf8c57?sd=06%2F01%2F2019%2000%3A00%3A00&amp;ed=08%2F31%2F2019%2000%3A00%3A00&amp;ab=Accrual&amp;pogid=74ebab12-2d0f-4d24-8804-b9708486f37f", "4107 Maint FUTA")</f>
        <v>4107 Maint FUTA</v>
      </c>
      <c r="F106" s="18"/>
      <c r="G106" s="18"/>
      <c r="H106" s="18"/>
      <c r="I106" s="5">
        <v>0</v>
      </c>
      <c r="J106" s="5">
        <v>0</v>
      </c>
      <c r="K106" s="5">
        <v>0</v>
      </c>
      <c r="L106" s="5">
        <v>0</v>
      </c>
      <c r="M106" s="5">
        <v>21</v>
      </c>
      <c r="N106" s="5">
        <v>19.579999999999998</v>
      </c>
      <c r="O106" s="5">
        <v>14.86</v>
      </c>
      <c r="P106" s="5">
        <v>46.84</v>
      </c>
      <c r="Q106" s="5">
        <v>38.75</v>
      </c>
      <c r="R106" s="5">
        <v>0</v>
      </c>
      <c r="S106" s="5">
        <v>0</v>
      </c>
      <c r="T106" s="5">
        <v>0</v>
      </c>
      <c r="U106" s="5">
        <v>141.03</v>
      </c>
      <c r="V106" s="5">
        <v>241.17</v>
      </c>
    </row>
    <row r="107" spans="1:22" x14ac:dyDescent="0.35">
      <c r="E107" s="17" t="str">
        <f>HYPERLINK("https://stellar.myresman.com/#/GLAccounts/Detail/a8dc98bb-8331-4876-9309-4015e7bec7f3?sd=06%2F01%2F2019%2000%3A00%3A00&amp;ed=08%2F31%2F2019%2000%3A00%3A00&amp;ab=Accrual&amp;pogid=74ebab12-2d0f-4d24-8804-b9708486f37f", "4108 Maint SUTA")</f>
        <v>4108 Maint SUTA</v>
      </c>
      <c r="F107" s="17"/>
      <c r="G107" s="17"/>
      <c r="H107" s="17"/>
      <c r="I107" s="2">
        <v>0</v>
      </c>
      <c r="J107" s="2">
        <v>0</v>
      </c>
      <c r="K107" s="2">
        <v>0</v>
      </c>
      <c r="L107" s="2">
        <v>0</v>
      </c>
      <c r="M107" s="2">
        <v>105</v>
      </c>
      <c r="N107" s="2">
        <v>97.88</v>
      </c>
      <c r="O107" s="2">
        <v>74.319999999999993</v>
      </c>
      <c r="P107" s="2">
        <v>226.27</v>
      </c>
      <c r="Q107" s="2">
        <v>193.72</v>
      </c>
      <c r="R107" s="2">
        <v>0</v>
      </c>
      <c r="S107" s="2">
        <v>0</v>
      </c>
      <c r="T107" s="2">
        <v>0</v>
      </c>
      <c r="U107" s="2">
        <v>697.19</v>
      </c>
      <c r="V107" s="2">
        <v>989.06</v>
      </c>
    </row>
    <row r="108" spans="1:22" s="3" customFormat="1" x14ac:dyDescent="0.35">
      <c r="A108" s="4"/>
      <c r="B108" s="4"/>
      <c r="C108" s="4"/>
      <c r="D108" s="4"/>
      <c r="E108" s="18" t="str">
        <f>HYPERLINK("https://stellar.myresman.com/#/GLAccounts/Detail/690a8243-08be-4b5a-b516-5252cee7edce?sd=06%2F01%2F2019%2000%3A00%3A00&amp;ed=08%2F31%2F2019%2000%3A00%3A00&amp;ab=Accrual&amp;pogid=74ebab12-2d0f-4d24-8804-b9708486f37f", "4109 Maint Workmans Comp")</f>
        <v>4109 Maint Workmans Comp</v>
      </c>
      <c r="F108" s="18"/>
      <c r="G108" s="18"/>
      <c r="H108" s="18"/>
      <c r="I108" s="5">
        <v>288.02999999999997</v>
      </c>
      <c r="J108" s="5">
        <v>321.99</v>
      </c>
      <c r="K108" s="5">
        <v>320.98</v>
      </c>
      <c r="L108" s="5">
        <v>358.58</v>
      </c>
      <c r="M108" s="5">
        <v>80.42</v>
      </c>
      <c r="N108" s="5">
        <v>42.14</v>
      </c>
      <c r="O108" s="5">
        <v>73.02</v>
      </c>
      <c r="P108" s="5">
        <v>58.59</v>
      </c>
      <c r="Q108" s="5">
        <v>63.19</v>
      </c>
      <c r="R108" s="5">
        <v>61.67</v>
      </c>
      <c r="S108" s="5">
        <v>69.03</v>
      </c>
      <c r="T108" s="5">
        <v>61.7</v>
      </c>
      <c r="U108" s="5">
        <v>1799.34</v>
      </c>
      <c r="V108" s="5">
        <v>603.47</v>
      </c>
    </row>
    <row r="109" spans="1:22" x14ac:dyDescent="0.35">
      <c r="E109" s="17" t="str">
        <f>HYPERLINK("https://stellar.myresman.com/#/GLAccounts/Detail/b96a9d44-61f3-4e2a-abc1-083ba6965cd2?sd=06%2F01%2F2019%2000%3A00%3A00&amp;ed=08%2F31%2F2019%2000%3A00%3A00&amp;ab=Accrual&amp;pogid=74ebab12-2d0f-4d24-8804-b9708486f37f", "4110 Maint Med Insurance")</f>
        <v>4110 Maint Med Insurance</v>
      </c>
      <c r="F109" s="17"/>
      <c r="G109" s="17"/>
      <c r="H109" s="17"/>
      <c r="I109" s="2">
        <v>693.38</v>
      </c>
      <c r="J109" s="2">
        <v>693.38</v>
      </c>
      <c r="K109" s="2">
        <v>693.38</v>
      </c>
      <c r="L109" s="2">
        <v>1036.22</v>
      </c>
      <c r="M109" s="2">
        <v>229.9</v>
      </c>
      <c r="N109" s="2">
        <v>22.12</v>
      </c>
      <c r="O109" s="2">
        <v>2</v>
      </c>
      <c r="P109" s="2">
        <v>2</v>
      </c>
      <c r="Q109" s="2">
        <v>553.96</v>
      </c>
      <c r="R109" s="2">
        <v>553.96</v>
      </c>
      <c r="S109" s="2">
        <v>553.96</v>
      </c>
      <c r="T109" s="2">
        <v>553.96</v>
      </c>
      <c r="U109" s="2">
        <v>5588.22</v>
      </c>
      <c r="V109" s="2">
        <v>7374.27</v>
      </c>
    </row>
    <row r="110" spans="1:22" s="3" customFormat="1" x14ac:dyDescent="0.35">
      <c r="A110" s="4"/>
      <c r="B110" s="4"/>
      <c r="C110" s="4"/>
      <c r="D110" s="4"/>
      <c r="E110" s="18" t="str">
        <f>HYPERLINK("https://stellar.myresman.com/#/GLAccounts/Detail/20cc4cdf-6e80-4d0f-a902-5ce15e823fd7?sd=06%2F01%2F2019%2000%3A00%3A00&amp;ed=08%2F31%2F2019%2000%3A00%3A00&amp;ab=Accrual&amp;pogid=74ebab12-2d0f-4d24-8804-b9708486f37f", "4112 Maint Uniforms")</f>
        <v>4112 Maint Uniforms</v>
      </c>
      <c r="F110" s="18"/>
      <c r="G110" s="18"/>
      <c r="H110" s="18"/>
      <c r="I110" s="5">
        <v>-34.56</v>
      </c>
      <c r="J110" s="5">
        <v>153.75</v>
      </c>
      <c r="K110" s="5">
        <v>0</v>
      </c>
      <c r="L110" s="5">
        <v>0</v>
      </c>
      <c r="M110" s="5">
        <v>0</v>
      </c>
      <c r="N110" s="5">
        <v>0</v>
      </c>
      <c r="O110" s="5">
        <v>1443.18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1562.37</v>
      </c>
      <c r="V110" s="6">
        <v>-12.37</v>
      </c>
    </row>
    <row r="111" spans="1:22" x14ac:dyDescent="0.35">
      <c r="E111" s="17" t="str">
        <f>HYPERLINK("https://stellar.myresman.com/#/GLAccounts/Detail/500fc81c-97d4-4eec-adc4-f90f8454e39a?sd=06%2F01%2F2019%2000%3A00%3A00&amp;ed=08%2F31%2F2019%2000%3A00%3A00&amp;ab=Accrual&amp;pogid=74ebab12-2d0f-4d24-8804-b9708486f37f", "4130 Other Personnel Costs")</f>
        <v>4130 Other Personnel Costs</v>
      </c>
      <c r="F111" s="17"/>
      <c r="G111" s="17"/>
      <c r="H111" s="17"/>
      <c r="I111" s="2">
        <v>653.27</v>
      </c>
      <c r="J111" s="2">
        <v>881.37</v>
      </c>
      <c r="K111" s="2">
        <v>566.4</v>
      </c>
      <c r="L111" s="2">
        <v>685.78</v>
      </c>
      <c r="M111" s="2">
        <v>213.58</v>
      </c>
      <c r="N111" s="2">
        <v>397.24</v>
      </c>
      <c r="O111" s="2">
        <v>310.42</v>
      </c>
      <c r="P111" s="2">
        <v>288.77999999999997</v>
      </c>
      <c r="Q111" s="2">
        <v>217.52</v>
      </c>
      <c r="R111" s="2">
        <v>236.76</v>
      </c>
      <c r="S111" s="2">
        <v>237.18</v>
      </c>
      <c r="T111" s="2">
        <v>228.54</v>
      </c>
      <c r="U111" s="2">
        <v>4916.84</v>
      </c>
      <c r="V111" s="8">
        <v>-2996.84</v>
      </c>
    </row>
    <row r="112" spans="1:22" x14ac:dyDescent="0.35">
      <c r="D112" s="15" t="s">
        <v>38</v>
      </c>
      <c r="E112" s="15"/>
      <c r="F112" s="15"/>
      <c r="G112" s="15"/>
      <c r="H112" s="15"/>
      <c r="I112" s="7">
        <v>8295.31</v>
      </c>
      <c r="J112" s="7">
        <v>8912.5400000000009</v>
      </c>
      <c r="K112" s="7">
        <v>8151.06</v>
      </c>
      <c r="L112" s="7">
        <v>9762.9500000000007</v>
      </c>
      <c r="M112" s="7">
        <v>6341.29</v>
      </c>
      <c r="N112" s="7">
        <v>11296.15</v>
      </c>
      <c r="O112" s="7">
        <v>14369.79</v>
      </c>
      <c r="P112" s="7">
        <v>9357.23</v>
      </c>
      <c r="Q112" s="7">
        <v>12455.75</v>
      </c>
      <c r="R112" s="7">
        <v>10974.37</v>
      </c>
      <c r="S112" s="7">
        <v>11118.57</v>
      </c>
      <c r="T112" s="7">
        <v>9504.9500000000007</v>
      </c>
      <c r="U112" s="7">
        <v>120539.96</v>
      </c>
      <c r="V112" s="7">
        <v>1880.66</v>
      </c>
    </row>
    <row r="114" spans="1:22" x14ac:dyDescent="0.35">
      <c r="D114" s="15" t="s">
        <v>39</v>
      </c>
      <c r="E114" s="15"/>
      <c r="F114" s="15"/>
      <c r="G114" s="15"/>
      <c r="H114" s="15"/>
    </row>
    <row r="115" spans="1:22" s="3" customFormat="1" x14ac:dyDescent="0.35">
      <c r="A115" s="4"/>
      <c r="B115" s="4"/>
      <c r="C115" s="4"/>
      <c r="D115" s="4"/>
      <c r="E115" s="18" t="str">
        <f>HYPERLINK("https://stellar.myresman.com/#/GLAccounts/Detail/e3dc5892-f39c-4ca2-9490-6c523936e35a?sd=06%2F01%2F2019%2000%3A00%3A00&amp;ed=08%2F31%2F2019%2000%3A00%3A00&amp;ab=Accrual&amp;pogid=74ebab12-2d0f-4d24-8804-b9708486f37f", "4147 Answering Service")</f>
        <v>4147 Answering Service</v>
      </c>
      <c r="F115" s="18"/>
      <c r="G115" s="18"/>
      <c r="H115" s="18"/>
      <c r="I115" s="5">
        <v>45</v>
      </c>
      <c r="J115" s="5">
        <v>45</v>
      </c>
      <c r="K115" s="5">
        <v>45</v>
      </c>
      <c r="L115" s="5">
        <v>45</v>
      </c>
      <c r="M115" s="5">
        <v>45</v>
      </c>
      <c r="N115" s="5">
        <v>90</v>
      </c>
      <c r="O115" s="5">
        <v>0</v>
      </c>
      <c r="P115" s="5">
        <v>45</v>
      </c>
      <c r="Q115" s="5">
        <v>45</v>
      </c>
      <c r="R115" s="5">
        <v>45</v>
      </c>
      <c r="S115" s="5">
        <v>45</v>
      </c>
      <c r="T115" s="5">
        <v>139.19999999999999</v>
      </c>
      <c r="U115" s="5">
        <v>634.20000000000005</v>
      </c>
      <c r="V115" s="6">
        <v>-94.2</v>
      </c>
    </row>
    <row r="116" spans="1:22" x14ac:dyDescent="0.35">
      <c r="E116" s="17" t="str">
        <f>HYPERLINK("https://stellar.myresman.com/#/GLAccounts/Detail/562b640a-85d7-413c-b6d0-2b896a200073?sd=06%2F01%2F2019%2000%3A00%3A00&amp;ed=08%2F31%2F2019%2000%3A00%3A00&amp;ab=Accrual&amp;pogid=74ebab12-2d0f-4d24-8804-b9708486f37f", "4148 Bank Charges")</f>
        <v>4148 Bank Charges</v>
      </c>
      <c r="F116" s="17"/>
      <c r="G116" s="17"/>
      <c r="H116" s="17"/>
      <c r="I116" s="2">
        <v>59.75</v>
      </c>
      <c r="J116" s="2">
        <v>56.35</v>
      </c>
      <c r="K116" s="2">
        <v>139.91999999999999</v>
      </c>
      <c r="L116" s="2">
        <v>109.56</v>
      </c>
      <c r="M116" s="2">
        <v>-109.56</v>
      </c>
      <c r="N116" s="2">
        <v>0</v>
      </c>
      <c r="O116" s="2">
        <v>0</v>
      </c>
      <c r="P116" s="2">
        <v>0</v>
      </c>
      <c r="Q116" s="2">
        <v>0</v>
      </c>
      <c r="R116" s="2">
        <v>165</v>
      </c>
      <c r="S116" s="2">
        <v>115</v>
      </c>
      <c r="T116" s="2">
        <v>0</v>
      </c>
      <c r="U116" s="2">
        <v>536.02</v>
      </c>
      <c r="V116" s="2">
        <v>1146.6600000000001</v>
      </c>
    </row>
    <row r="117" spans="1:22" s="3" customFormat="1" x14ac:dyDescent="0.35">
      <c r="A117" s="4"/>
      <c r="B117" s="4"/>
      <c r="C117" s="4"/>
      <c r="D117" s="4"/>
      <c r="E117" s="18" t="str">
        <f>HYPERLINK("https://stellar.myresman.com/#/GLAccounts/Detail/07b5b20c-6f5e-4267-85af-b947da3831a8?sd=06%2F01%2F2019%2000%3A00%3A00&amp;ed=08%2F31%2F2019%2000%3A00%3A00&amp;ab=Accrual&amp;pogid=74ebab12-2d0f-4d24-8804-b9708486f37f", "4156 Computer Services")</f>
        <v>4156 Computer Services</v>
      </c>
      <c r="F117" s="18"/>
      <c r="G117" s="18"/>
      <c r="H117" s="18"/>
      <c r="I117" s="5">
        <v>1912.4</v>
      </c>
      <c r="J117" s="5">
        <v>1912.4</v>
      </c>
      <c r="K117" s="5">
        <v>1512.4</v>
      </c>
      <c r="L117" s="5">
        <v>3210.4</v>
      </c>
      <c r="M117" s="5">
        <v>-757.19</v>
      </c>
      <c r="N117" s="5">
        <v>2556.14</v>
      </c>
      <c r="O117" s="5">
        <v>649.61</v>
      </c>
      <c r="P117" s="5">
        <v>503.55</v>
      </c>
      <c r="Q117" s="5">
        <v>0</v>
      </c>
      <c r="R117" s="5">
        <v>0</v>
      </c>
      <c r="S117" s="5">
        <v>1007.1</v>
      </c>
      <c r="T117" s="5">
        <v>274.92</v>
      </c>
      <c r="U117" s="5">
        <v>12781.73</v>
      </c>
      <c r="V117" s="5">
        <v>5850.77</v>
      </c>
    </row>
    <row r="118" spans="1:22" x14ac:dyDescent="0.35">
      <c r="E118" s="17" t="str">
        <f>HYPERLINK("https://stellar.myresman.com/#/GLAccounts/Detail/95f3eeac-19ff-4e3a-92ab-887940602e41?sd=06%2F01%2F2019%2000%3A00%3A00&amp;ed=08%2F31%2F2019%2000%3A00%3A00&amp;ab=Accrual&amp;pogid=74ebab12-2d0f-4d24-8804-b9708486f37f", "4161 Dues &amp; Subscriptions")</f>
        <v>4161 Dues &amp; Subscriptions</v>
      </c>
      <c r="F118" s="17"/>
      <c r="G118" s="17"/>
      <c r="H118" s="17"/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21.74</v>
      </c>
      <c r="T118" s="2">
        <v>13.61</v>
      </c>
      <c r="U118" s="2">
        <v>35.35</v>
      </c>
      <c r="V118" s="8">
        <v>-35.35</v>
      </c>
    </row>
    <row r="119" spans="1:22" s="3" customFormat="1" x14ac:dyDescent="0.35">
      <c r="A119" s="4"/>
      <c r="B119" s="4"/>
      <c r="C119" s="4"/>
      <c r="D119" s="4"/>
      <c r="E119" s="18" t="str">
        <f>HYPERLINK("https://stellar.myresman.com/#/GLAccounts/Detail/4b292ee4-c479-4a4c-b623-1dc4d0d39f12?sd=06%2F01%2F2019%2000%3A00%3A00&amp;ed=08%2F31%2F2019%2000%3A00%3A00&amp;ab=Accrual&amp;pogid=74ebab12-2d0f-4d24-8804-b9708486f37f", "4162 Employee Activities")</f>
        <v>4162 Employee Activities</v>
      </c>
      <c r="F119" s="18"/>
      <c r="G119" s="18"/>
      <c r="H119" s="18"/>
      <c r="I119" s="5">
        <v>36.29</v>
      </c>
      <c r="J119" s="5">
        <v>128.69999999999999</v>
      </c>
      <c r="K119" s="5">
        <v>155.38</v>
      </c>
      <c r="L119" s="5">
        <v>185.99</v>
      </c>
      <c r="M119" s="5">
        <v>0</v>
      </c>
      <c r="N119" s="5">
        <v>450.89</v>
      </c>
      <c r="O119" s="5">
        <v>306.41000000000003</v>
      </c>
      <c r="P119" s="5">
        <v>0</v>
      </c>
      <c r="Q119" s="5">
        <v>128.19999999999999</v>
      </c>
      <c r="R119" s="5">
        <v>0</v>
      </c>
      <c r="S119" s="5">
        <v>1346.77</v>
      </c>
      <c r="T119" s="5">
        <v>313.13</v>
      </c>
      <c r="U119" s="5">
        <v>3051.76</v>
      </c>
      <c r="V119" s="6">
        <v>-1916.76</v>
      </c>
    </row>
    <row r="120" spans="1:22" x14ac:dyDescent="0.35">
      <c r="E120" s="17" t="str">
        <f>HYPERLINK("https://stellar.myresman.com/#/GLAccounts/Detail/f0509588-1130-49e4-a62a-7654a1f1cfcf?sd=06%2F01%2F2019%2000%3A00%3A00&amp;ed=08%2F31%2F2019%2000%3A00%3A00&amp;ab=Accrual&amp;pogid=74ebab12-2d0f-4d24-8804-b9708486f37f", "4182 Employee Training")</f>
        <v>4182 Employee Training</v>
      </c>
      <c r="F120" s="17"/>
      <c r="G120" s="17"/>
      <c r="H120" s="17"/>
      <c r="I120" s="2">
        <v>348.25</v>
      </c>
      <c r="J120" s="2">
        <v>348.25</v>
      </c>
      <c r="K120" s="2">
        <v>363.25</v>
      </c>
      <c r="L120" s="2">
        <v>124.71</v>
      </c>
      <c r="M120" s="2">
        <v>-60.36</v>
      </c>
      <c r="N120" s="2">
        <v>55.72</v>
      </c>
      <c r="O120" s="2">
        <v>0</v>
      </c>
      <c r="P120" s="2">
        <v>0</v>
      </c>
      <c r="Q120" s="2">
        <v>44.34</v>
      </c>
      <c r="R120" s="2">
        <v>298.56</v>
      </c>
      <c r="S120" s="2">
        <v>0</v>
      </c>
      <c r="T120" s="2">
        <v>380</v>
      </c>
      <c r="U120" s="2">
        <v>1902.72</v>
      </c>
      <c r="V120" s="2">
        <v>190.28</v>
      </c>
    </row>
    <row r="121" spans="1:22" s="3" customFormat="1" x14ac:dyDescent="0.35">
      <c r="A121" s="4"/>
      <c r="B121" s="4"/>
      <c r="C121" s="4"/>
      <c r="D121" s="4"/>
      <c r="E121" s="18" t="str">
        <f>HYPERLINK("https://stellar.myresman.com/#/GLAccounts/Detail/8b1c4237-f049-409d-a944-b248629a2b33?sd=06%2F01%2F2019%2000%3A00%3A00&amp;ed=08%2F31%2F2019%2000%3A00%3A00&amp;ab=Accrual&amp;pogid=74ebab12-2d0f-4d24-8804-b9708486f37f", "4210 HOA Dues")</f>
        <v>4210 HOA Dues</v>
      </c>
      <c r="F121" s="18"/>
      <c r="G121" s="18"/>
      <c r="H121" s="18"/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750</v>
      </c>
    </row>
    <row r="122" spans="1:22" x14ac:dyDescent="0.35">
      <c r="E122" s="17" t="str">
        <f>HYPERLINK("https://stellar.myresman.com/#/GLAccounts/Detail/7ccbc455-cc84-44e7-a472-5b8214e813f7?sd=06%2F01%2F2019%2000%3A00%3A00&amp;ed=08%2F31%2F2019%2000%3A00%3A00&amp;ab=Accrual&amp;pogid=74ebab12-2d0f-4d24-8804-b9708486f37f", "4212 Legal - Evictions")</f>
        <v>4212 Legal - Evictions</v>
      </c>
      <c r="F122" s="17"/>
      <c r="G122" s="17"/>
      <c r="H122" s="17"/>
      <c r="I122" s="2">
        <v>1087</v>
      </c>
      <c r="J122" s="2">
        <v>1628</v>
      </c>
      <c r="K122" s="2">
        <v>1392</v>
      </c>
      <c r="L122" s="2">
        <v>270</v>
      </c>
      <c r="M122" s="2">
        <v>735</v>
      </c>
      <c r="N122" s="2">
        <v>671</v>
      </c>
      <c r="O122" s="2">
        <v>559</v>
      </c>
      <c r="P122" s="2">
        <v>565</v>
      </c>
      <c r="Q122" s="2">
        <v>3636</v>
      </c>
      <c r="R122" s="2">
        <v>1364</v>
      </c>
      <c r="S122" s="2">
        <v>1175</v>
      </c>
      <c r="T122" s="2">
        <v>0</v>
      </c>
      <c r="U122" s="2">
        <v>13082</v>
      </c>
      <c r="V122" s="2">
        <v>718</v>
      </c>
    </row>
    <row r="123" spans="1:22" s="3" customFormat="1" x14ac:dyDescent="0.35">
      <c r="A123" s="4"/>
      <c r="B123" s="4"/>
      <c r="C123" s="4"/>
      <c r="D123" s="4"/>
      <c r="E123" s="18" t="str">
        <f>HYPERLINK("https://stellar.myresman.com/#/GLAccounts/Detail/9d0b97a1-e0a9-4e57-8d06-a6781dad5fa9?sd=06%2F01%2F2019%2000%3A00%3A00&amp;ed=08%2F31%2F2019%2000%3A00%3A00&amp;ab=Accrual&amp;pogid=74ebab12-2d0f-4d24-8804-b9708486f37f", "4232 License &amp; Permits")</f>
        <v>4232 License &amp; Permits</v>
      </c>
      <c r="F123" s="18"/>
      <c r="G123" s="18"/>
      <c r="H123" s="18"/>
      <c r="I123" s="5">
        <v>0</v>
      </c>
      <c r="J123" s="5">
        <v>0</v>
      </c>
      <c r="K123" s="5">
        <v>0</v>
      </c>
      <c r="L123" s="5">
        <v>0</v>
      </c>
      <c r="M123" s="5">
        <v>640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640</v>
      </c>
      <c r="V123" s="6">
        <v>-390</v>
      </c>
    </row>
    <row r="124" spans="1:22" x14ac:dyDescent="0.35">
      <c r="E124" s="17" t="str">
        <f>HYPERLINK("https://stellar.myresman.com/#/GLAccounts/Detail/9cf3c92a-ad62-4bd7-8a07-c6b20ea0b28a?sd=06%2F01%2F2019%2000%3A00%3A00&amp;ed=08%2F31%2F2019%2000%3A00%3A00&amp;ab=Accrual&amp;pogid=74ebab12-2d0f-4d24-8804-b9708486f37f", "4242 Office Equip - Other")</f>
        <v>4242 Office Equip - Other</v>
      </c>
      <c r="F124" s="17"/>
      <c r="G124" s="17"/>
      <c r="H124" s="17"/>
      <c r="I124" s="2">
        <v>203.11</v>
      </c>
      <c r="J124" s="2">
        <v>166.98</v>
      </c>
      <c r="K124" s="2">
        <v>6.8</v>
      </c>
      <c r="L124" s="2">
        <v>315.38</v>
      </c>
      <c r="M124" s="2">
        <v>173.78</v>
      </c>
      <c r="N124" s="2">
        <v>0</v>
      </c>
      <c r="O124" s="2">
        <v>-116.96</v>
      </c>
      <c r="P124" s="2">
        <v>355.88</v>
      </c>
      <c r="Q124" s="2">
        <v>0</v>
      </c>
      <c r="R124" s="2">
        <v>604.22</v>
      </c>
      <c r="S124" s="2">
        <v>589.95000000000005</v>
      </c>
      <c r="T124" s="2">
        <v>187.4</v>
      </c>
      <c r="U124" s="2">
        <v>2486.54</v>
      </c>
      <c r="V124" s="8">
        <v>-741.54</v>
      </c>
    </row>
    <row r="125" spans="1:22" s="3" customFormat="1" x14ac:dyDescent="0.35">
      <c r="A125" s="4"/>
      <c r="B125" s="4"/>
      <c r="C125" s="4"/>
      <c r="D125" s="4"/>
      <c r="E125" s="18" t="str">
        <f>HYPERLINK("https://stellar.myresman.com/#/GLAccounts/Detail/fc2dc161-e581-4cf6-bef3-31c65d36ea41?sd=06%2F01%2F2019%2000%3A00%3A00&amp;ed=08%2F31%2F2019%2000%3A00%3A00&amp;ab=Accrual&amp;pogid=74ebab12-2d0f-4d24-8804-b9708486f37f", "4244 Office Telephone")</f>
        <v>4244 Office Telephone</v>
      </c>
      <c r="F125" s="18"/>
      <c r="G125" s="18"/>
      <c r="H125" s="18"/>
      <c r="I125" s="5">
        <v>526.83000000000004</v>
      </c>
      <c r="J125" s="5">
        <v>532.12</v>
      </c>
      <c r="K125" s="5">
        <v>532.38</v>
      </c>
      <c r="L125" s="5">
        <v>532.38</v>
      </c>
      <c r="M125" s="5">
        <v>36.61</v>
      </c>
      <c r="N125" s="5">
        <v>339.81</v>
      </c>
      <c r="O125" s="5">
        <v>122.01</v>
      </c>
      <c r="P125" s="5">
        <v>347.69</v>
      </c>
      <c r="Q125" s="5">
        <v>80</v>
      </c>
      <c r="R125" s="5">
        <v>391.92</v>
      </c>
      <c r="S125" s="5">
        <v>309.17</v>
      </c>
      <c r="T125" s="5">
        <v>755.92</v>
      </c>
      <c r="U125" s="5">
        <v>4506.84</v>
      </c>
      <c r="V125" s="6">
        <v>-1176.8399999999999</v>
      </c>
    </row>
    <row r="126" spans="1:22" x14ac:dyDescent="0.35">
      <c r="E126" s="17" t="str">
        <f>HYPERLINK("https://stellar.myresman.com/#/GLAccounts/Detail/92c964fc-f173-4c99-b606-ae1fec0e236f?sd=06%2F01%2F2019%2000%3A00%3A00&amp;ed=08%2F31%2F2019%2000%3A00%3A00&amp;ab=Accrual&amp;pogid=74ebab12-2d0f-4d24-8804-b9708486f37f", "4252 Other Office Supplies")</f>
        <v>4252 Other Office Supplies</v>
      </c>
      <c r="F126" s="17"/>
      <c r="G126" s="17"/>
      <c r="H126" s="17"/>
      <c r="I126" s="2">
        <v>53.37</v>
      </c>
      <c r="J126" s="2">
        <v>219.39</v>
      </c>
      <c r="K126" s="2">
        <v>-115.49</v>
      </c>
      <c r="L126" s="2">
        <v>248.41</v>
      </c>
      <c r="M126" s="2">
        <v>578.79</v>
      </c>
      <c r="N126" s="2">
        <v>1711.12</v>
      </c>
      <c r="O126" s="2">
        <v>1209.25</v>
      </c>
      <c r="P126" s="2">
        <v>80.17</v>
      </c>
      <c r="Q126" s="2">
        <v>92.61</v>
      </c>
      <c r="R126" s="2">
        <v>593.54</v>
      </c>
      <c r="S126" s="2">
        <v>698.72</v>
      </c>
      <c r="T126" s="2">
        <v>299.54000000000002</v>
      </c>
      <c r="U126" s="2">
        <v>5669.42</v>
      </c>
      <c r="V126" s="8">
        <v>-3749.42</v>
      </c>
    </row>
    <row r="127" spans="1:22" s="3" customFormat="1" x14ac:dyDescent="0.35">
      <c r="A127" s="4"/>
      <c r="B127" s="4"/>
      <c r="C127" s="4"/>
      <c r="D127" s="4"/>
      <c r="E127" s="18" t="str">
        <f>HYPERLINK("https://stellar.myresman.com/#/GLAccounts/Detail/1d4e28bc-3575-4b92-8cd4-a230a14b7edf?sd=06%2F01%2F2019%2000%3A00%3A00&amp;ed=08%2F31%2F2019%2000%3A00%3A00&amp;ab=Accrual&amp;pogid=74ebab12-2d0f-4d24-8804-b9708486f37f", "4254 Overnight Mail")</f>
        <v>4254 Overnight Mail</v>
      </c>
      <c r="F127" s="18"/>
      <c r="G127" s="18"/>
      <c r="H127" s="18"/>
      <c r="I127" s="5">
        <v>98.55</v>
      </c>
      <c r="J127" s="5">
        <v>69.650000000000006</v>
      </c>
      <c r="K127" s="5">
        <v>69.650000000000006</v>
      </c>
      <c r="L127" s="5">
        <v>69.650000000000006</v>
      </c>
      <c r="M127" s="5">
        <v>184.26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491.76</v>
      </c>
      <c r="V127" s="5">
        <v>36.840000000000003</v>
      </c>
    </row>
    <row r="128" spans="1:22" x14ac:dyDescent="0.35">
      <c r="E128" s="17" t="str">
        <f>HYPERLINK("https://stellar.myresman.com/#/GLAccounts/Detail/caa173a9-f1c7-4596-93cb-6ed8f3803940?sd=06%2F01%2F2019%2000%3A00%3A00&amp;ed=08%2F31%2F2019%2000%3A00%3A00&amp;ab=Accrual&amp;pogid=74ebab12-2d0f-4d24-8804-b9708486f37f", "4262 Postage")</f>
        <v>4262 Postage</v>
      </c>
      <c r="F128" s="17"/>
      <c r="G128" s="17"/>
      <c r="H128" s="17"/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54.38</v>
      </c>
      <c r="O128" s="2">
        <v>43.9</v>
      </c>
      <c r="P128" s="2">
        <v>33.67</v>
      </c>
      <c r="Q128" s="2">
        <v>0</v>
      </c>
      <c r="R128" s="2">
        <v>83.45</v>
      </c>
      <c r="S128" s="2">
        <v>37.85</v>
      </c>
      <c r="T128" s="2">
        <v>62.75</v>
      </c>
      <c r="U128" s="2">
        <v>316</v>
      </c>
      <c r="V128" s="8">
        <v>-266</v>
      </c>
    </row>
    <row r="129" spans="1:22" s="3" customFormat="1" x14ac:dyDescent="0.35">
      <c r="A129" s="4"/>
      <c r="B129" s="4"/>
      <c r="C129" s="4"/>
      <c r="D129" s="4"/>
      <c r="E129" s="18" t="str">
        <f>HYPERLINK("https://stellar.myresman.com/#/GLAccounts/Detail/14ef3f8a-ffa0-48e0-a98f-edb82255c508?sd=06%2F01%2F2019%2000%3A00%3A00&amp;ed=08%2F31%2F2019%2000%3A00%3A00&amp;ab=Accrual&amp;pogid=74ebab12-2d0f-4d24-8804-b9708486f37f", "4268 Printed Forms")</f>
        <v>4268 Printed Forms</v>
      </c>
      <c r="F129" s="18"/>
      <c r="G129" s="18"/>
      <c r="H129" s="18"/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285.62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285.62</v>
      </c>
      <c r="V129" s="6">
        <v>-160.62</v>
      </c>
    </row>
    <row r="130" spans="1:22" x14ac:dyDescent="0.35">
      <c r="E130" s="17" t="str">
        <f>HYPERLINK("https://stellar.myresman.com/#/GLAccounts/Detail/3fc5d939-53a8-4b11-b5a4-96c273bf37af?sd=06%2F01%2F2019%2000%3A00%3A00&amp;ed=08%2F31%2F2019%2000%3A00%3A00&amp;ab=Accrual&amp;pogid=74ebab12-2d0f-4d24-8804-b9708486f37f", "4270 Professional - Other")</f>
        <v>4270 Professional - Other</v>
      </c>
      <c r="F130" s="17"/>
      <c r="G130" s="17"/>
      <c r="H130" s="17"/>
      <c r="I130" s="2">
        <v>0</v>
      </c>
      <c r="J130" s="2">
        <v>0</v>
      </c>
      <c r="K130" s="2">
        <v>0</v>
      </c>
      <c r="L130" s="2">
        <v>0</v>
      </c>
      <c r="M130" s="2">
        <v>2898</v>
      </c>
      <c r="N130" s="2">
        <v>1550</v>
      </c>
      <c r="O130" s="2">
        <v>1155</v>
      </c>
      <c r="P130" s="2">
        <v>1155</v>
      </c>
      <c r="Q130" s="2">
        <v>2255</v>
      </c>
      <c r="R130" s="2">
        <v>55</v>
      </c>
      <c r="S130" s="2">
        <v>1155</v>
      </c>
      <c r="T130" s="2">
        <v>1155</v>
      </c>
      <c r="U130" s="2">
        <v>11378</v>
      </c>
      <c r="V130" s="8">
        <v>-11378</v>
      </c>
    </row>
    <row r="131" spans="1:22" s="3" customFormat="1" x14ac:dyDescent="0.35">
      <c r="A131" s="4"/>
      <c r="B131" s="4"/>
      <c r="C131" s="4"/>
      <c r="D131" s="4"/>
      <c r="E131" s="18" t="str">
        <f>HYPERLINK("https://stellar.myresman.com/#/GLAccounts/Detail/c4ddac08-0065-49e1-a463-93f618090c6a?sd=06%2F01%2F2019%2000%3A00%3A00&amp;ed=08%2F31%2F2019%2000%3A00%3A00&amp;ab=Accrual&amp;pogid=74ebab12-2d0f-4d24-8804-b9708486f37f", "4275 Resident Screening")</f>
        <v>4275 Resident Screening</v>
      </c>
      <c r="F131" s="18"/>
      <c r="G131" s="18"/>
      <c r="H131" s="18"/>
      <c r="I131" s="5">
        <v>711</v>
      </c>
      <c r="J131" s="5">
        <v>389</v>
      </c>
      <c r="K131" s="5">
        <v>318</v>
      </c>
      <c r="L131" s="5">
        <v>154</v>
      </c>
      <c r="M131" s="5">
        <v>-154</v>
      </c>
      <c r="N131" s="5">
        <v>282.23</v>
      </c>
      <c r="O131" s="5">
        <v>364.17</v>
      </c>
      <c r="P131" s="5">
        <v>364.17</v>
      </c>
      <c r="Q131" s="5">
        <v>0</v>
      </c>
      <c r="R131" s="5">
        <v>0</v>
      </c>
      <c r="S131" s="5">
        <v>728.34</v>
      </c>
      <c r="T131" s="5">
        <v>364.17</v>
      </c>
      <c r="U131" s="5">
        <v>3521.08</v>
      </c>
      <c r="V131" s="5">
        <v>2902.42</v>
      </c>
    </row>
    <row r="132" spans="1:22" x14ac:dyDescent="0.35">
      <c r="E132" s="17" t="str">
        <f>HYPERLINK("https://stellar.myresman.com/#/GLAccounts/Detail/74bd561a-2d48-4e37-b4d2-7f3a0d9edb2c?sd=06%2F01%2F2019%2000%3A00%3A00&amp;ed=08%2F31%2F2019%2000%3A00%3A00&amp;ab=Accrual&amp;pogid=74ebab12-2d0f-4d24-8804-b9708486f37f", "4280 Renters insurance Expense")</f>
        <v>4280 Renters insurance Expense</v>
      </c>
      <c r="F132" s="17"/>
      <c r="G132" s="17"/>
      <c r="H132" s="17"/>
      <c r="I132" s="2">
        <v>0</v>
      </c>
      <c r="J132" s="2">
        <v>0</v>
      </c>
      <c r="K132" s="2">
        <v>0</v>
      </c>
      <c r="L132" s="2">
        <v>0</v>
      </c>
      <c r="M132" s="2">
        <v>266.89999999999998</v>
      </c>
      <c r="N132" s="2">
        <v>72.77</v>
      </c>
      <c r="O132" s="2">
        <v>98.98</v>
      </c>
      <c r="P132" s="2">
        <v>120.73</v>
      </c>
      <c r="Q132" s="2">
        <v>246.35</v>
      </c>
      <c r="R132" s="2">
        <v>243.24</v>
      </c>
      <c r="S132" s="2">
        <v>164.08</v>
      </c>
      <c r="T132" s="2">
        <v>164.08</v>
      </c>
      <c r="U132" s="2">
        <v>1377.13</v>
      </c>
      <c r="V132" s="8">
        <v>-1002.13</v>
      </c>
    </row>
    <row r="133" spans="1:22" s="3" customFormat="1" x14ac:dyDescent="0.35">
      <c r="A133" s="4"/>
      <c r="B133" s="4"/>
      <c r="C133" s="4"/>
      <c r="D133" s="4"/>
      <c r="E133" s="18" t="str">
        <f>HYPERLINK("https://stellar.myresman.com/#/GLAccounts/Detail/1d03b553-b50e-4385-9d3b-851dd66a4087?sd=06%2F01%2F2019%2000%3A00%3A00&amp;ed=08%2F31%2F2019%2000%3A00%3A00&amp;ab=Accrual&amp;pogid=74ebab12-2d0f-4d24-8804-b9708486f37f", "4282 Travel")</f>
        <v>4282 Travel</v>
      </c>
      <c r="F133" s="18"/>
      <c r="G133" s="18"/>
      <c r="H133" s="18"/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103.93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103.93</v>
      </c>
      <c r="V133" s="6">
        <v>-103.93</v>
      </c>
    </row>
    <row r="134" spans="1:22" x14ac:dyDescent="0.35">
      <c r="D134" s="15" t="s">
        <v>40</v>
      </c>
      <c r="E134" s="15"/>
      <c r="F134" s="15"/>
      <c r="G134" s="15"/>
      <c r="H134" s="15"/>
      <c r="I134" s="7">
        <v>5081.55</v>
      </c>
      <c r="J134" s="7">
        <v>5495.84</v>
      </c>
      <c r="K134" s="7">
        <v>4419.29</v>
      </c>
      <c r="L134" s="7">
        <v>5265.48</v>
      </c>
      <c r="M134" s="7">
        <v>4477.2299999999996</v>
      </c>
      <c r="N134" s="7">
        <v>8223.61</v>
      </c>
      <c r="O134" s="7">
        <v>4391.37</v>
      </c>
      <c r="P134" s="7">
        <v>3570.86</v>
      </c>
      <c r="Q134" s="7">
        <v>6527.5</v>
      </c>
      <c r="R134" s="7">
        <v>3843.93</v>
      </c>
      <c r="S134" s="7">
        <v>7393.72</v>
      </c>
      <c r="T134" s="7">
        <v>4109.72</v>
      </c>
      <c r="U134" s="7">
        <v>62800.1</v>
      </c>
      <c r="V134" s="9">
        <v>-9419.82</v>
      </c>
    </row>
    <row r="136" spans="1:22" x14ac:dyDescent="0.35">
      <c r="D136" s="16" t="str">
        <f>HYPERLINK("https://stellar.myresman.com/#/GLAccounts/Detail/cdcccfa5-1c97-4768-a0c2-a3e86cbf2ec4?sd=06%2F01%2F2019%2000%3A00%3A00&amp;ed=08%2F31%2F2019%2000%3A00%3A00&amp;ab=Accrual&amp;pogid=74ebab12-2d0f-4d24-8804-b9708486f37f", "4290 Management Fee")</f>
        <v>4290 Management Fee</v>
      </c>
      <c r="E136" s="16"/>
      <c r="F136" s="16"/>
      <c r="G136" s="16"/>
      <c r="H136" s="16"/>
      <c r="I136" s="2">
        <v>5338.74</v>
      </c>
      <c r="J136" s="2">
        <v>5209.66</v>
      </c>
      <c r="K136" s="2">
        <v>3700</v>
      </c>
      <c r="L136" s="2">
        <v>3420.58</v>
      </c>
      <c r="M136" s="2">
        <v>6645.16</v>
      </c>
      <c r="N136" s="2">
        <v>5000</v>
      </c>
      <c r="O136" s="2">
        <v>5000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34314.14</v>
      </c>
      <c r="V136" s="2">
        <v>2243</v>
      </c>
    </row>
    <row r="137" spans="1:22" x14ac:dyDescent="0.35">
      <c r="E137" s="17" t="str">
        <f>HYPERLINK("https://stellar.myresman.com/#/GLAccounts/Detail/3da8f3b9-91fb-4c3c-ba21-9f1439adbee6?sd=06%2F01%2F2019%2000%3A00%3A00&amp;ed=08%2F31%2F2019%2000%3A00%3A00&amp;ab=Accrual&amp;pogid=74ebab12-2d0f-4d24-8804-b9708486f37f", "4296 Management Fee")</f>
        <v>4296 Management Fee</v>
      </c>
      <c r="F137" s="17"/>
      <c r="G137" s="17"/>
      <c r="H137" s="17"/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5000</v>
      </c>
      <c r="Q137" s="2">
        <v>5000</v>
      </c>
      <c r="R137" s="2">
        <v>5000</v>
      </c>
      <c r="S137" s="2">
        <v>5000</v>
      </c>
      <c r="T137" s="2">
        <v>10587.92</v>
      </c>
      <c r="U137" s="2">
        <v>30587.919999999998</v>
      </c>
      <c r="V137" s="8">
        <v>-3454.43</v>
      </c>
    </row>
    <row r="138" spans="1:22" x14ac:dyDescent="0.35">
      <c r="D138" s="15" t="s">
        <v>41</v>
      </c>
      <c r="E138" s="15"/>
      <c r="F138" s="15"/>
      <c r="G138" s="15"/>
      <c r="H138" s="15"/>
      <c r="I138" s="7">
        <v>5338.74</v>
      </c>
      <c r="J138" s="7">
        <v>5209.66</v>
      </c>
      <c r="K138" s="7">
        <v>3700</v>
      </c>
      <c r="L138" s="7">
        <v>3420.58</v>
      </c>
      <c r="M138" s="7">
        <v>6645.16</v>
      </c>
      <c r="N138" s="7">
        <v>5000</v>
      </c>
      <c r="O138" s="7">
        <v>5000</v>
      </c>
      <c r="P138" s="7">
        <v>5000</v>
      </c>
      <c r="Q138" s="7">
        <v>5000</v>
      </c>
      <c r="R138" s="7">
        <v>5000</v>
      </c>
      <c r="S138" s="7">
        <v>5000</v>
      </c>
      <c r="T138" s="7">
        <v>10587.92</v>
      </c>
      <c r="U138" s="7">
        <v>64902.06</v>
      </c>
      <c r="V138" s="9">
        <v>-1211.43</v>
      </c>
    </row>
    <row r="140" spans="1:22" x14ac:dyDescent="0.35">
      <c r="D140" s="15" t="s">
        <v>42</v>
      </c>
      <c r="E140" s="15"/>
      <c r="F140" s="15"/>
      <c r="G140" s="15"/>
      <c r="H140" s="15"/>
    </row>
    <row r="141" spans="1:22" s="3" customFormat="1" x14ac:dyDescent="0.35">
      <c r="A141" s="4"/>
      <c r="B141" s="4"/>
      <c r="C141" s="4"/>
      <c r="D141" s="4"/>
      <c r="E141" s="18" t="str">
        <f>HYPERLINK("https://stellar.myresman.com/#/GLAccounts/Detail/f9e3079c-8187-429f-a8b4-2772bc055ddf?sd=06%2F01%2F2019%2000%3A00%3A00&amp;ed=08%2F31%2F2019%2000%3A00%3A00&amp;ab=Accrual&amp;pogid=74ebab12-2d0f-4d24-8804-b9708486f37f", "4302 Ad Agency Fees")</f>
        <v>4302 Ad Agency Fees</v>
      </c>
      <c r="F141" s="18"/>
      <c r="G141" s="18"/>
      <c r="H141" s="18"/>
      <c r="I141" s="5">
        <v>0</v>
      </c>
      <c r="J141" s="5">
        <v>0</v>
      </c>
      <c r="K141" s="5">
        <v>309</v>
      </c>
      <c r="L141" s="5">
        <v>-309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800</v>
      </c>
    </row>
    <row r="142" spans="1:22" x14ac:dyDescent="0.35">
      <c r="E142" s="17" t="str">
        <f>HYPERLINK("https://stellar.myresman.com/#/GLAccounts/Detail/7affde6b-f5c6-4a3b-a546-6360fcdba97e?sd=06%2F01%2F2019%2000%3A00%3A00&amp;ed=08%2F31%2F2019%2000%3A00%3A00&amp;ab=Accrual&amp;pogid=74ebab12-2d0f-4d24-8804-b9708486f37f", "4307 Brochures")</f>
        <v>4307 Brochures</v>
      </c>
      <c r="F142" s="17"/>
      <c r="G142" s="17"/>
      <c r="H142" s="17"/>
      <c r="I142" s="2">
        <v>163.4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100.83</v>
      </c>
      <c r="P142" s="2">
        <v>0</v>
      </c>
      <c r="Q142" s="2">
        <v>0</v>
      </c>
      <c r="R142" s="2">
        <v>145.1</v>
      </c>
      <c r="S142" s="2">
        <v>324.85000000000002</v>
      </c>
      <c r="T142" s="2">
        <v>0</v>
      </c>
      <c r="U142" s="2">
        <v>734.18</v>
      </c>
      <c r="V142" s="2">
        <v>265.82</v>
      </c>
    </row>
    <row r="143" spans="1:22" s="3" customFormat="1" x14ac:dyDescent="0.35">
      <c r="A143" s="4"/>
      <c r="B143" s="4"/>
      <c r="C143" s="4"/>
      <c r="D143" s="4"/>
      <c r="E143" s="18" t="str">
        <f>HYPERLINK("https://stellar.myresman.com/#/GLAccounts/Detail/c10cc90b-5cae-4ccf-b3c5-ea64f3a21b46?sd=06%2F01%2F2019%2000%3A00%3A00&amp;ed=08%2F31%2F2019%2000%3A00%3A00&amp;ab=Accrual&amp;pogid=74ebab12-2d0f-4d24-8804-b9708486f37f", "4308 Business Cards")</f>
        <v>4308 Business Cards</v>
      </c>
      <c r="F143" s="18"/>
      <c r="G143" s="18"/>
      <c r="H143" s="18"/>
      <c r="I143" s="5">
        <v>0</v>
      </c>
      <c r="J143" s="5">
        <v>0</v>
      </c>
      <c r="K143" s="5">
        <v>0</v>
      </c>
      <c r="L143" s="5">
        <v>160.79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46.51</v>
      </c>
      <c r="T143" s="5">
        <v>0</v>
      </c>
      <c r="U143" s="5">
        <v>207.3</v>
      </c>
      <c r="V143" s="6">
        <v>-107.3</v>
      </c>
    </row>
    <row r="144" spans="1:22" x14ac:dyDescent="0.35">
      <c r="E144" s="17" t="str">
        <f>HYPERLINK("https://stellar.myresman.com/#/GLAccounts/Detail/e7d67bf3-27ca-47cf-bbcb-a6e7ac70f9e1?sd=06%2F01%2F2019%2000%3A00%3A00&amp;ed=08%2F31%2F2019%2000%3A00%3A00&amp;ab=Accrual&amp;pogid=74ebab12-2d0f-4d24-8804-b9708486f37f", "4310 For Rent")</f>
        <v>4310 For Rent</v>
      </c>
      <c r="F144" s="17"/>
      <c r="G144" s="17"/>
      <c r="H144" s="17"/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599</v>
      </c>
      <c r="Q144" s="2">
        <v>0</v>
      </c>
      <c r="R144" s="2">
        <v>1198</v>
      </c>
      <c r="S144" s="2">
        <v>599</v>
      </c>
      <c r="T144" s="2">
        <v>599</v>
      </c>
      <c r="U144" s="2">
        <v>2995</v>
      </c>
      <c r="V144" s="8">
        <v>-2995</v>
      </c>
    </row>
    <row r="145" spans="1:22" x14ac:dyDescent="0.35">
      <c r="E145" s="16" t="str">
        <f>HYPERLINK("https://stellar.myresman.com/#/GLAccounts/Detail/8a2994d1-2dd7-41b0-82cc-82d9b0b1a1eb?sd=06%2F01%2F2019%2000%3A00%3A00&amp;ed=08%2F31%2F2019%2000%3A00%3A00&amp;ab=Accrual&amp;pogid=74ebab12-2d0f-4d24-8804-b9708486f37f", "4311 Internet Advertising")</f>
        <v>4311 Internet Advertising</v>
      </c>
      <c r="F145" s="16"/>
      <c r="G145" s="16"/>
      <c r="H145" s="16"/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1121</v>
      </c>
      <c r="P145" s="2">
        <v>575</v>
      </c>
      <c r="Q145" s="2">
        <v>575</v>
      </c>
      <c r="R145" s="2">
        <v>769.95</v>
      </c>
      <c r="S145" s="2">
        <v>615.95000000000005</v>
      </c>
      <c r="T145" s="2">
        <v>130.82</v>
      </c>
      <c r="U145" s="2">
        <v>3787.72</v>
      </c>
      <c r="V145" s="8">
        <v>-3787.72</v>
      </c>
    </row>
    <row r="146" spans="1:22" s="3" customFormat="1" x14ac:dyDescent="0.35">
      <c r="A146" s="4"/>
      <c r="B146" s="4"/>
      <c r="C146" s="4"/>
      <c r="D146" s="4"/>
      <c r="E146" s="4"/>
      <c r="F146" s="18" t="str">
        <f>HYPERLINK("https://stellar.myresman.com/#/GLAccounts/Detail/2352168a-e946-4e46-a114-d2862540189b?sd=06%2F01%2F2019%2000%3A00%3A00&amp;ed=08%2F31%2F2019%2000%3A00%3A00&amp;ab=Accrual&amp;pogid=74ebab12-2d0f-4d24-8804-b9708486f37f", "4312 Website/Portals")</f>
        <v>4312 Website/Portals</v>
      </c>
      <c r="G146" s="18"/>
      <c r="H146" s="18"/>
      <c r="I146" s="5">
        <v>0</v>
      </c>
      <c r="J146" s="5">
        <v>0</v>
      </c>
      <c r="K146" s="5">
        <v>20.010000000000002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20.010000000000002</v>
      </c>
      <c r="V146" s="6">
        <v>-20.010000000000002</v>
      </c>
    </row>
    <row r="147" spans="1:22" x14ac:dyDescent="0.35">
      <c r="F147" s="17" t="str">
        <f>HYPERLINK("https://stellar.myresman.com/#/GLAccounts/Detail/9d97fc77-f3cf-423d-aeae-3aeeaf141f13?sd=06%2F01%2F2019%2000%3A00%3A00&amp;ed=08%2F31%2F2019%2000%3A00%3A00&amp;ab=Accrual&amp;pogid=74ebab12-2d0f-4d24-8804-b9708486f37f", "4314 Internet Listing Service")</f>
        <v>4314 Internet Listing Service</v>
      </c>
      <c r="G147" s="17"/>
      <c r="H147" s="17"/>
      <c r="I147" s="2">
        <v>2410.9499999999998</v>
      </c>
      <c r="J147" s="2">
        <v>2101.9499999999998</v>
      </c>
      <c r="K147" s="2">
        <v>1792.95</v>
      </c>
      <c r="L147" s="2">
        <v>2421.91</v>
      </c>
      <c r="M147" s="2">
        <v>-210</v>
      </c>
      <c r="N147" s="2">
        <v>1238.31</v>
      </c>
      <c r="O147" s="2">
        <v>119.95</v>
      </c>
      <c r="P147" s="2">
        <v>119.95</v>
      </c>
      <c r="Q147" s="2">
        <v>0</v>
      </c>
      <c r="R147" s="2">
        <v>0</v>
      </c>
      <c r="S147" s="2">
        <v>500</v>
      </c>
      <c r="T147" s="2">
        <v>250</v>
      </c>
      <c r="U147" s="2">
        <v>10745.97</v>
      </c>
      <c r="V147" s="2">
        <v>4946.03</v>
      </c>
    </row>
    <row r="148" spans="1:22" x14ac:dyDescent="0.35">
      <c r="E148" s="15" t="s">
        <v>43</v>
      </c>
      <c r="F148" s="15"/>
      <c r="G148" s="15"/>
      <c r="H148" s="15"/>
      <c r="I148" s="7">
        <v>2410.9499999999998</v>
      </c>
      <c r="J148" s="7">
        <v>2101.9499999999998</v>
      </c>
      <c r="K148" s="7">
        <v>1812.96</v>
      </c>
      <c r="L148" s="7">
        <v>2421.91</v>
      </c>
      <c r="M148" s="7">
        <v>-210</v>
      </c>
      <c r="N148" s="7">
        <v>1238.31</v>
      </c>
      <c r="O148" s="7">
        <v>1240.95</v>
      </c>
      <c r="P148" s="7">
        <v>694.95</v>
      </c>
      <c r="Q148" s="7">
        <v>575</v>
      </c>
      <c r="R148" s="7">
        <v>769.95</v>
      </c>
      <c r="S148" s="7">
        <v>1115.95</v>
      </c>
      <c r="T148" s="7">
        <v>380.82</v>
      </c>
      <c r="U148" s="7">
        <v>14553.7</v>
      </c>
      <c r="V148" s="7">
        <v>1138.3</v>
      </c>
    </row>
    <row r="150" spans="1:22" s="3" customFormat="1" x14ac:dyDescent="0.35">
      <c r="A150" s="4"/>
      <c r="B150" s="4"/>
      <c r="C150" s="4"/>
      <c r="D150" s="4"/>
      <c r="E150" s="18" t="str">
        <f>HYPERLINK("https://stellar.myresman.com/#/GLAccounts/Detail/f5539918-2dc6-43ed-ad08-cbde2c77c717?sd=06%2F01%2F2019%2000%3A00%3A00&amp;ed=08%2F31%2F2019%2000%3A00%3A00&amp;ab=Accrual&amp;pogid=74ebab12-2d0f-4d24-8804-b9708486f37f", "4313 Referral Fees")</f>
        <v>4313 Referral Fees</v>
      </c>
      <c r="F150" s="18"/>
      <c r="G150" s="18"/>
      <c r="H150" s="18"/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1007</v>
      </c>
      <c r="O150" s="5">
        <v>698</v>
      </c>
      <c r="P150" s="5">
        <v>1100</v>
      </c>
      <c r="Q150" s="5">
        <v>349</v>
      </c>
      <c r="R150" s="5">
        <v>8049</v>
      </c>
      <c r="S150" s="5">
        <v>899</v>
      </c>
      <c r="T150" s="5">
        <v>0</v>
      </c>
      <c r="U150" s="5">
        <v>12102</v>
      </c>
      <c r="V150" s="6">
        <v>-9902</v>
      </c>
    </row>
    <row r="151" spans="1:22" x14ac:dyDescent="0.35">
      <c r="E151" s="17" t="str">
        <f>HYPERLINK("https://stellar.myresman.com/#/GLAccounts/Detail/cd3549ce-42fb-496e-90bf-d802d9a15867?sd=06%2F01%2F2019%2000%3A00%3A00&amp;ed=08%2F31%2F2019%2000%3A00%3A00&amp;ab=Accrual&amp;pogid=74ebab12-2d0f-4d24-8804-b9708486f37f", "4346 Resident Activities")</f>
        <v>4346 Resident Activities</v>
      </c>
      <c r="F151" s="17"/>
      <c r="G151" s="17"/>
      <c r="H151" s="17"/>
      <c r="I151" s="2">
        <v>177.1</v>
      </c>
      <c r="J151" s="2">
        <v>0</v>
      </c>
      <c r="K151" s="2">
        <v>800</v>
      </c>
      <c r="L151" s="2">
        <v>0</v>
      </c>
      <c r="M151" s="2">
        <v>0</v>
      </c>
      <c r="N151" s="2">
        <v>47.78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1024.8800000000001</v>
      </c>
      <c r="V151" s="8">
        <v>-324.88</v>
      </c>
    </row>
    <row r="152" spans="1:22" s="3" customFormat="1" x14ac:dyDescent="0.35">
      <c r="A152" s="4"/>
      <c r="B152" s="4"/>
      <c r="C152" s="4"/>
      <c r="D152" s="4"/>
      <c r="E152" s="18" t="str">
        <f>HYPERLINK("https://stellar.myresman.com/#/GLAccounts/Detail/26db03a8-7315-4ee8-a8c9-a5ebc74ed4f9?sd=06%2F01%2F2019%2000%3A00%3A00&amp;ed=08%2F31%2F2019%2000%3A00%3A00&amp;ab=Accrual&amp;pogid=74ebab12-2d0f-4d24-8804-b9708486f37f", "4350 Resident Retention")</f>
        <v>4350 Resident Retention</v>
      </c>
      <c r="F152" s="18"/>
      <c r="G152" s="18"/>
      <c r="H152" s="18"/>
      <c r="I152" s="5">
        <v>65</v>
      </c>
      <c r="J152" s="5">
        <v>65</v>
      </c>
      <c r="K152" s="5">
        <v>0</v>
      </c>
      <c r="L152" s="5">
        <v>194.22</v>
      </c>
      <c r="M152" s="5">
        <v>6.9</v>
      </c>
      <c r="N152" s="5">
        <v>367.96</v>
      </c>
      <c r="O152" s="5">
        <v>170.39</v>
      </c>
      <c r="P152" s="5">
        <v>0</v>
      </c>
      <c r="Q152" s="5">
        <v>190</v>
      </c>
      <c r="R152" s="5">
        <v>115.75</v>
      </c>
      <c r="S152" s="5">
        <v>63.5</v>
      </c>
      <c r="T152" s="5">
        <v>0</v>
      </c>
      <c r="U152" s="5">
        <v>1238.72</v>
      </c>
      <c r="V152" s="5">
        <v>71.28</v>
      </c>
    </row>
    <row r="153" spans="1:22" x14ac:dyDescent="0.35">
      <c r="E153" s="17" t="str">
        <f>HYPERLINK("https://stellar.myresman.com/#/GLAccounts/Detail/d9526092-ed63-4ce4-9b6a-482ae893bbf2?sd=06%2F01%2F2019%2000%3A00%3A00&amp;ed=08%2F31%2F2019%2000%3A00%3A00&amp;ab=Accrual&amp;pogid=74ebab12-2d0f-4d24-8804-b9708486f37f", "4354 Resident Hospitality")</f>
        <v>4354 Resident Hospitality</v>
      </c>
      <c r="F153" s="17"/>
      <c r="G153" s="17"/>
      <c r="H153" s="17"/>
      <c r="I153" s="2">
        <v>130.66</v>
      </c>
      <c r="J153" s="2">
        <v>56.39</v>
      </c>
      <c r="K153" s="2">
        <v>241.07</v>
      </c>
      <c r="L153" s="2">
        <v>15.2</v>
      </c>
      <c r="M153" s="2">
        <v>0</v>
      </c>
      <c r="N153" s="2">
        <v>13.8</v>
      </c>
      <c r="O153" s="2">
        <v>0</v>
      </c>
      <c r="P153" s="2">
        <v>0</v>
      </c>
      <c r="Q153" s="2">
        <v>0</v>
      </c>
      <c r="R153" s="2">
        <v>4.3600000000000003</v>
      </c>
      <c r="S153" s="2">
        <v>0</v>
      </c>
      <c r="T153" s="2">
        <v>0</v>
      </c>
      <c r="U153" s="2">
        <v>461.48</v>
      </c>
      <c r="V153" s="2">
        <v>88.52</v>
      </c>
    </row>
    <row r="154" spans="1:22" s="3" customFormat="1" x14ac:dyDescent="0.35">
      <c r="A154" s="4"/>
      <c r="B154" s="4"/>
      <c r="C154" s="4"/>
      <c r="D154" s="4"/>
      <c r="E154" s="18" t="str">
        <f>HYPERLINK("https://stellar.myresman.com/#/GLAccounts/Detail/12d6affc-4817-4a5f-bc6e-8cca7350dbd0?sd=06%2F01%2F2019%2000%3A00%3A00&amp;ed=08%2F31%2F2019%2000%3A00%3A00&amp;ab=Accrual&amp;pogid=74ebab12-2d0f-4d24-8804-b9708486f37f", "4362 Signs Banners Balloons")</f>
        <v>4362 Signs Banners Balloons</v>
      </c>
      <c r="F154" s="18"/>
      <c r="G154" s="18"/>
      <c r="H154" s="18"/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735.72</v>
      </c>
      <c r="O154" s="5">
        <v>0</v>
      </c>
      <c r="P154" s="5">
        <v>480.26</v>
      </c>
      <c r="Q154" s="5">
        <v>0</v>
      </c>
      <c r="R154" s="5">
        <v>0</v>
      </c>
      <c r="S154" s="5">
        <v>0</v>
      </c>
      <c r="T154" s="5">
        <v>0</v>
      </c>
      <c r="U154" s="5">
        <v>1215.98</v>
      </c>
      <c r="V154" s="6">
        <v>-410.98</v>
      </c>
    </row>
    <row r="155" spans="1:22" x14ac:dyDescent="0.35">
      <c r="E155" s="17" t="str">
        <f>HYPERLINK("https://stellar.myresman.com/#/GLAccounts/Detail/d10cff50-e916-4cf6-bc5d-d9b1f98f7231?sd=06%2F01%2F2019%2000%3A00%3A00&amp;ed=08%2F31%2F2019%2000%3A00%3A00&amp;ab=Accrual&amp;pogid=74ebab12-2d0f-4d24-8804-b9708486f37f", "4375 Miscellaneous")</f>
        <v>4375 Miscellaneous</v>
      </c>
      <c r="F155" s="17"/>
      <c r="G155" s="17"/>
      <c r="H155" s="17"/>
      <c r="I155" s="2">
        <v>598.37</v>
      </c>
      <c r="J155" s="2">
        <v>401.37</v>
      </c>
      <c r="K155" s="2">
        <v>401.37</v>
      </c>
      <c r="L155" s="2">
        <v>401.37</v>
      </c>
      <c r="M155" s="2">
        <v>768.78</v>
      </c>
      <c r="N155" s="2">
        <v>1469.58</v>
      </c>
      <c r="O155" s="2">
        <v>407.58</v>
      </c>
      <c r="P155" s="2">
        <v>961.11</v>
      </c>
      <c r="Q155" s="2">
        <v>350.83</v>
      </c>
      <c r="R155" s="2">
        <v>407.58</v>
      </c>
      <c r="S155" s="2">
        <v>1598.84</v>
      </c>
      <c r="T155" s="2">
        <v>648.95000000000005</v>
      </c>
      <c r="U155" s="2">
        <v>8415.73</v>
      </c>
      <c r="V155" s="8">
        <v>-4028.25</v>
      </c>
    </row>
    <row r="156" spans="1:22" x14ac:dyDescent="0.35">
      <c r="D156" s="15" t="s">
        <v>44</v>
      </c>
      <c r="E156" s="15"/>
      <c r="F156" s="15"/>
      <c r="G156" s="15"/>
      <c r="H156" s="15"/>
      <c r="I156" s="7">
        <v>3545.48</v>
      </c>
      <c r="J156" s="7">
        <v>2624.71</v>
      </c>
      <c r="K156" s="7">
        <v>3564.4</v>
      </c>
      <c r="L156" s="7">
        <v>2884.49</v>
      </c>
      <c r="M156" s="7">
        <v>565.67999999999995</v>
      </c>
      <c r="N156" s="7">
        <v>4880.1499999999996</v>
      </c>
      <c r="O156" s="7">
        <v>2617.75</v>
      </c>
      <c r="P156" s="7">
        <v>3835.32</v>
      </c>
      <c r="Q156" s="7">
        <v>1464.83</v>
      </c>
      <c r="R156" s="7">
        <v>10689.74</v>
      </c>
      <c r="S156" s="7">
        <v>4647.6499999999996</v>
      </c>
      <c r="T156" s="7">
        <v>1628.77</v>
      </c>
      <c r="U156" s="7">
        <v>42948.97</v>
      </c>
      <c r="V156" s="9">
        <v>-15404.49</v>
      </c>
    </row>
    <row r="158" spans="1:22" x14ac:dyDescent="0.35">
      <c r="D158" s="16" t="str">
        <f>HYPERLINK("https://stellar.myresman.com/#/GLAccounts/Detail/0223cc0e-a313-4f98-a367-117a6689356c?sd=06%2F01%2F2019%2000%3A00%3A00&amp;ed=08%2F31%2F2019%2000%3A00%3A00&amp;ab=Accrual&amp;pogid=74ebab12-2d0f-4d24-8804-b9708486f37f", "4379 Contract Services")</f>
        <v>4379 Contract Services</v>
      </c>
      <c r="E158" s="16"/>
      <c r="F158" s="16"/>
      <c r="G158" s="16"/>
      <c r="H158" s="16"/>
      <c r="I158" s="2">
        <v>139.77000000000001</v>
      </c>
      <c r="J158" s="2">
        <v>139.77000000000001</v>
      </c>
      <c r="K158" s="2">
        <v>94.82</v>
      </c>
      <c r="L158" s="2">
        <v>94.82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469.18</v>
      </c>
      <c r="V158" s="2">
        <v>90.62</v>
      </c>
    </row>
    <row r="159" spans="1:22" s="3" customFormat="1" x14ac:dyDescent="0.35">
      <c r="A159" s="4"/>
      <c r="B159" s="4"/>
      <c r="C159" s="4"/>
      <c r="D159" s="4"/>
      <c r="E159" s="18" t="str">
        <f>HYPERLINK("https://stellar.myresman.com/#/GLAccounts/Detail/0f85ab8f-a628-48b5-95d9-4b921044b8e6?sd=06%2F01%2F2019%2000%3A00%3A00&amp;ed=08%2F31%2F2019%2000%3A00%3A00&amp;ab=Accrual&amp;pogid=74ebab12-2d0f-4d24-8804-b9708486f37f", "4381 Landscape Services")</f>
        <v>4381 Landscape Services</v>
      </c>
      <c r="F159" s="18"/>
      <c r="G159" s="18"/>
      <c r="H159" s="18"/>
      <c r="I159" s="5">
        <v>1708.45</v>
      </c>
      <c r="J159" s="5">
        <v>1575</v>
      </c>
      <c r="K159" s="5">
        <v>0</v>
      </c>
      <c r="L159" s="5">
        <v>3245.51</v>
      </c>
      <c r="M159" s="5">
        <v>-210</v>
      </c>
      <c r="N159" s="5">
        <v>1376.8</v>
      </c>
      <c r="O159" s="5">
        <v>1365</v>
      </c>
      <c r="P159" s="5">
        <v>1380</v>
      </c>
      <c r="Q159" s="5">
        <v>1500</v>
      </c>
      <c r="R159" s="5">
        <v>1509.53</v>
      </c>
      <c r="S159" s="5">
        <v>1533.49</v>
      </c>
      <c r="T159" s="5">
        <v>1533.49</v>
      </c>
      <c r="U159" s="5">
        <v>16517.27</v>
      </c>
      <c r="V159" s="6">
        <v>-4182.2700000000004</v>
      </c>
    </row>
    <row r="160" spans="1:22" x14ac:dyDescent="0.35">
      <c r="E160" s="17" t="str">
        <f>HYPERLINK("https://stellar.myresman.com/#/GLAccounts/Detail/b267fce3-3a65-4148-81fe-5748d77f8ec8?sd=06%2F01%2F2019%2000%3A00%3A00&amp;ed=08%2F31%2F2019%2000%3A00%3A00&amp;ab=Accrual&amp;pogid=74ebab12-2d0f-4d24-8804-b9708486f37f", "4383 Landscape Irrigation Supplies")</f>
        <v>4383 Landscape Irrigation Supplies</v>
      </c>
      <c r="F160" s="17"/>
      <c r="G160" s="17"/>
      <c r="H160" s="17"/>
      <c r="I160" s="2">
        <v>1135.58</v>
      </c>
      <c r="J160" s="2">
        <v>-1037.8399999999999</v>
      </c>
      <c r="K160" s="2">
        <v>0</v>
      </c>
      <c r="L160" s="2">
        <v>0</v>
      </c>
      <c r="M160" s="2">
        <v>36.020000000000003</v>
      </c>
      <c r="N160" s="2">
        <v>56.8</v>
      </c>
      <c r="O160" s="2">
        <v>33.869999999999997</v>
      </c>
      <c r="P160" s="2">
        <v>0</v>
      </c>
      <c r="Q160" s="2">
        <v>37.909999999999997</v>
      </c>
      <c r="R160" s="2">
        <v>39.53</v>
      </c>
      <c r="S160" s="2">
        <v>48.49</v>
      </c>
      <c r="T160" s="2">
        <v>0</v>
      </c>
      <c r="U160" s="2">
        <v>350.36</v>
      </c>
      <c r="V160" s="2">
        <v>1009.64</v>
      </c>
    </row>
    <row r="161" spans="1:22" s="3" customFormat="1" x14ac:dyDescent="0.35">
      <c r="A161" s="4"/>
      <c r="B161" s="4"/>
      <c r="C161" s="4"/>
      <c r="D161" s="4"/>
      <c r="E161" s="18" t="str">
        <f>HYPERLINK("https://stellar.myresman.com/#/GLAccounts/Detail/82397040-d8fe-4768-bdfd-68b557bdbd56?sd=06%2F01%2F2019%2000%3A00%3A00&amp;ed=08%2F31%2F2019%2000%3A00%3A00&amp;ab=Accrual&amp;pogid=74ebab12-2d0f-4d24-8804-b9708486f37f", "4384 Landscape Irrigation Repairs")</f>
        <v>4384 Landscape Irrigation Repairs</v>
      </c>
      <c r="F161" s="18"/>
      <c r="G161" s="18"/>
      <c r="H161" s="18"/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1042.56</v>
      </c>
      <c r="Q161" s="5">
        <v>0</v>
      </c>
      <c r="R161" s="5">
        <v>0</v>
      </c>
      <c r="S161" s="5">
        <v>0</v>
      </c>
      <c r="T161" s="5">
        <v>0</v>
      </c>
      <c r="U161" s="5">
        <v>1042.56</v>
      </c>
      <c r="V161" s="6">
        <v>-1042.56</v>
      </c>
    </row>
    <row r="162" spans="1:22" x14ac:dyDescent="0.35">
      <c r="E162" s="17" t="str">
        <f>HYPERLINK("https://stellar.myresman.com/#/GLAccounts/Detail/4090ddb3-7d18-4e4b-9006-effc08ef19cd?sd=06%2F01%2F2019%2000%3A00%3A00&amp;ed=08%2F31%2F2019%2000%3A00%3A00&amp;ab=Accrual&amp;pogid=74ebab12-2d0f-4d24-8804-b9708486f37f", "4386 Landscape Seasonal Services")</f>
        <v>4386 Landscape Seasonal Services</v>
      </c>
      <c r="F162" s="17"/>
      <c r="G162" s="17"/>
      <c r="H162" s="17"/>
      <c r="I162" s="2">
        <v>0</v>
      </c>
      <c r="J162" s="2">
        <v>337.75</v>
      </c>
      <c r="K162" s="2">
        <v>0</v>
      </c>
      <c r="L162" s="2">
        <v>0</v>
      </c>
      <c r="M162" s="2">
        <v>0</v>
      </c>
      <c r="N162" s="2">
        <v>515.80999999999995</v>
      </c>
      <c r="O162" s="2">
        <v>0</v>
      </c>
      <c r="P162" s="2">
        <v>403.89</v>
      </c>
      <c r="Q162" s="2">
        <v>1020.83</v>
      </c>
      <c r="R162" s="2">
        <v>0</v>
      </c>
      <c r="S162" s="2">
        <v>1998.97</v>
      </c>
      <c r="T162" s="2">
        <v>0</v>
      </c>
      <c r="U162" s="2">
        <v>4277.25</v>
      </c>
      <c r="V162" s="8">
        <v>-3227.25</v>
      </c>
    </row>
    <row r="163" spans="1:22" s="3" customFormat="1" x14ac:dyDescent="0.35">
      <c r="A163" s="4"/>
      <c r="B163" s="4"/>
      <c r="C163" s="4"/>
      <c r="D163" s="4"/>
      <c r="E163" s="18" t="str">
        <f>HYPERLINK("https://stellar.myresman.com/#/GLAccounts/Detail/5c830aac-f7b6-4e32-bcc8-57de7a128b19?sd=06%2F01%2F2019%2000%3A00%3A00&amp;ed=08%2F31%2F2019%2000%3A00%3A00&amp;ab=Accrual&amp;pogid=74ebab12-2d0f-4d24-8804-b9708486f37f", "4387 Landscape Supplies")</f>
        <v>4387 Landscape Supplies</v>
      </c>
      <c r="F163" s="18"/>
      <c r="G163" s="18"/>
      <c r="H163" s="18"/>
      <c r="I163" s="5">
        <v>0</v>
      </c>
      <c r="J163" s="5">
        <v>1184.45</v>
      </c>
      <c r="K163" s="5">
        <v>-687.06</v>
      </c>
      <c r="L163" s="5">
        <v>146.61000000000001</v>
      </c>
      <c r="M163" s="5">
        <v>113.01</v>
      </c>
      <c r="N163" s="5">
        <v>0</v>
      </c>
      <c r="O163" s="5">
        <v>108.87</v>
      </c>
      <c r="P163" s="5">
        <v>32.89</v>
      </c>
      <c r="Q163" s="5">
        <v>282.91000000000003</v>
      </c>
      <c r="R163" s="5">
        <v>1191.45</v>
      </c>
      <c r="S163" s="5">
        <v>101</v>
      </c>
      <c r="T163" s="5">
        <v>10.66</v>
      </c>
      <c r="U163" s="5">
        <v>2484.79</v>
      </c>
      <c r="V163" s="6">
        <v>-1709.79</v>
      </c>
    </row>
    <row r="164" spans="1:22" x14ac:dyDescent="0.35">
      <c r="E164" s="17" t="str">
        <f>HYPERLINK("https://stellar.myresman.com/#/GLAccounts/Detail/8a3f6eec-ce52-47ce-97a7-937c95b96763?sd=06%2F01%2F2019%2000%3A00%3A00&amp;ed=08%2F31%2F2019%2000%3A00%3A00&amp;ab=Accrual&amp;pogid=74ebab12-2d0f-4d24-8804-b9708486f37f", "4390 Alarm Service")</f>
        <v>4390 Alarm Service</v>
      </c>
      <c r="F164" s="17"/>
      <c r="G164" s="17"/>
      <c r="H164" s="17"/>
      <c r="I164" s="2">
        <v>141.30000000000001</v>
      </c>
      <c r="J164" s="2">
        <v>141.30000000000001</v>
      </c>
      <c r="K164" s="2">
        <v>0</v>
      </c>
      <c r="L164" s="2">
        <v>281.3</v>
      </c>
      <c r="M164" s="2">
        <v>264</v>
      </c>
      <c r="N164" s="2">
        <v>116</v>
      </c>
      <c r="O164" s="2">
        <v>237.2</v>
      </c>
      <c r="P164" s="2">
        <v>288.63</v>
      </c>
      <c r="Q164" s="2">
        <v>0</v>
      </c>
      <c r="R164" s="2">
        <v>329.7</v>
      </c>
      <c r="S164" s="2">
        <v>94.2</v>
      </c>
      <c r="T164" s="2">
        <v>0</v>
      </c>
      <c r="U164" s="2">
        <v>1893.63</v>
      </c>
      <c r="V164" s="8">
        <v>-132.63</v>
      </c>
    </row>
    <row r="165" spans="1:22" s="3" customFormat="1" x14ac:dyDescent="0.35">
      <c r="A165" s="4"/>
      <c r="B165" s="4"/>
      <c r="C165" s="4"/>
      <c r="D165" s="4"/>
      <c r="E165" s="18" t="str">
        <f>HYPERLINK("https://stellar.myresman.com/#/GLAccounts/Detail/251838e1-0017-4595-b88b-e4cc1518d863?sd=06%2F01%2F2019%2000%3A00%3A00&amp;ed=08%2F31%2F2019%2000%3A00%3A00&amp;ab=Accrual&amp;pogid=74ebab12-2d0f-4d24-8804-b9708486f37f", "4391 Extinguisher/Fire Services")</f>
        <v>4391 Extinguisher/Fire Services</v>
      </c>
      <c r="F165" s="18"/>
      <c r="G165" s="18"/>
      <c r="H165" s="18"/>
      <c r="I165" s="5">
        <v>45.75</v>
      </c>
      <c r="J165" s="5">
        <v>202.84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717</v>
      </c>
      <c r="S165" s="5">
        <v>0</v>
      </c>
      <c r="T165" s="5">
        <v>0</v>
      </c>
      <c r="U165" s="5">
        <v>965.59</v>
      </c>
      <c r="V165" s="5">
        <v>999.41</v>
      </c>
    </row>
    <row r="166" spans="1:22" x14ac:dyDescent="0.35">
      <c r="E166" s="17" t="str">
        <f>HYPERLINK("https://stellar.myresman.com/#/GLAccounts/Detail/93ed5330-ef48-4cc8-8b94-312e6a0a8a6b?sd=06%2F01%2F2019%2000%3A00%3A00&amp;ed=08%2F31%2F2019%2000%3A00%3A00&amp;ab=Accrual&amp;pogid=74ebab12-2d0f-4d24-8804-b9708486f37f", "4392 Parking Lot Svcs")</f>
        <v>4392 Parking Lot Svcs</v>
      </c>
      <c r="F166" s="17"/>
      <c r="G166" s="17"/>
      <c r="H166" s="17"/>
      <c r="I166" s="2">
        <v>0</v>
      </c>
      <c r="J166" s="2">
        <v>227.5</v>
      </c>
      <c r="K166" s="2">
        <v>0</v>
      </c>
      <c r="L166" s="2">
        <v>3234.68</v>
      </c>
      <c r="M166" s="2">
        <v>213.01</v>
      </c>
      <c r="N166" s="2">
        <v>221.8</v>
      </c>
      <c r="O166" s="2">
        <v>213.87</v>
      </c>
      <c r="P166" s="2">
        <v>0</v>
      </c>
      <c r="Q166" s="2">
        <v>217.91</v>
      </c>
      <c r="R166" s="2">
        <v>0</v>
      </c>
      <c r="S166" s="2">
        <v>243.49</v>
      </c>
      <c r="T166" s="2">
        <v>0</v>
      </c>
      <c r="U166" s="2">
        <v>4572.26</v>
      </c>
      <c r="V166" s="8">
        <v>-1932.26</v>
      </c>
    </row>
    <row r="167" spans="1:22" s="3" customFormat="1" x14ac:dyDescent="0.35">
      <c r="A167" s="4"/>
      <c r="B167" s="4"/>
      <c r="C167" s="4"/>
      <c r="D167" s="4"/>
      <c r="E167" s="18" t="str">
        <f>HYPERLINK("https://stellar.myresman.com/#/GLAccounts/Detail/84dd5674-cccb-4ddb-978e-25d42948a218?sd=06%2F01%2F2019%2000%3A00%3A00&amp;ed=08%2F31%2F2019%2000%3A00%3A00&amp;ab=Accrual&amp;pogid=74ebab12-2d0f-4d24-8804-b9708486f37f", "4393 Pest Control Service")</f>
        <v>4393 Pest Control Service</v>
      </c>
      <c r="F167" s="18"/>
      <c r="G167" s="18"/>
      <c r="H167" s="18"/>
      <c r="I167" s="5">
        <v>962</v>
      </c>
      <c r="J167" s="5">
        <v>1154</v>
      </c>
      <c r="K167" s="5">
        <v>947</v>
      </c>
      <c r="L167" s="5">
        <v>657</v>
      </c>
      <c r="M167" s="5">
        <v>282</v>
      </c>
      <c r="N167" s="5">
        <v>1242</v>
      </c>
      <c r="O167" s="5">
        <v>200</v>
      </c>
      <c r="P167" s="5">
        <v>282</v>
      </c>
      <c r="Q167" s="5">
        <v>1757</v>
      </c>
      <c r="R167" s="5">
        <v>382.12</v>
      </c>
      <c r="S167" s="5">
        <v>1426.85</v>
      </c>
      <c r="T167" s="5">
        <v>2057</v>
      </c>
      <c r="U167" s="5">
        <v>11348.97</v>
      </c>
      <c r="V167" s="6">
        <v>-131.97</v>
      </c>
    </row>
    <row r="168" spans="1:22" x14ac:dyDescent="0.35">
      <c r="E168" s="17" t="str">
        <f>HYPERLINK("https://stellar.myresman.com/#/GLAccounts/Detail/56161c8e-c77e-43e2-bc04-c9656f1d2499?sd=06%2F01%2F2019%2000%3A00%3A00&amp;ed=08%2F31%2F2019%2000%3A00%3A00&amp;ab=Accrual&amp;pogid=74ebab12-2d0f-4d24-8804-b9708486f37f", "4394 Pest Control Reimbursements")</f>
        <v>4394 Pest Control Reimbursements</v>
      </c>
      <c r="F168" s="17"/>
      <c r="G168" s="17"/>
      <c r="H168" s="17"/>
      <c r="I168" s="2">
        <v>0</v>
      </c>
      <c r="J168" s="2">
        <v>0</v>
      </c>
      <c r="K168" s="2">
        <v>85</v>
      </c>
      <c r="L168" s="2">
        <v>-85</v>
      </c>
      <c r="M168" s="2">
        <v>1.06</v>
      </c>
      <c r="N168" s="2">
        <v>1.06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2.12</v>
      </c>
      <c r="V168" s="8">
        <v>-2.12</v>
      </c>
    </row>
    <row r="169" spans="1:22" s="3" customFormat="1" x14ac:dyDescent="0.35">
      <c r="A169" s="4"/>
      <c r="B169" s="4"/>
      <c r="C169" s="4"/>
      <c r="D169" s="4"/>
      <c r="E169" s="18" t="str">
        <f>HYPERLINK("https://stellar.myresman.com/#/GLAccounts/Detail/f4faab87-a879-48a0-a0ac-3248beeec38e?sd=06%2F01%2F2019%2000%3A00%3A00&amp;ed=08%2F31%2F2019%2000%3A00%3A00&amp;ab=Accrual&amp;pogid=74ebab12-2d0f-4d24-8804-b9708486f37f", "4395 Courtesy Patrol")</f>
        <v>4395 Courtesy Patrol</v>
      </c>
      <c r="F169" s="18"/>
      <c r="G169" s="18"/>
      <c r="H169" s="18"/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200</v>
      </c>
    </row>
    <row r="170" spans="1:22" x14ac:dyDescent="0.35">
      <c r="D170" s="15" t="s">
        <v>45</v>
      </c>
      <c r="E170" s="15"/>
      <c r="F170" s="15"/>
      <c r="G170" s="15"/>
      <c r="H170" s="15"/>
      <c r="I170" s="7">
        <v>4132.8500000000004</v>
      </c>
      <c r="J170" s="7">
        <v>3924.77</v>
      </c>
      <c r="K170" s="7">
        <v>439.76</v>
      </c>
      <c r="L170" s="7">
        <v>7574.92</v>
      </c>
      <c r="M170" s="7">
        <v>699.1</v>
      </c>
      <c r="N170" s="7">
        <v>3530.27</v>
      </c>
      <c r="O170" s="7">
        <v>2158.81</v>
      </c>
      <c r="P170" s="7">
        <v>3429.97</v>
      </c>
      <c r="Q170" s="7">
        <v>4816.5600000000004</v>
      </c>
      <c r="R170" s="7">
        <v>4169.33</v>
      </c>
      <c r="S170" s="7">
        <v>5446.49</v>
      </c>
      <c r="T170" s="7">
        <v>3601.15</v>
      </c>
      <c r="U170" s="7">
        <v>43923.98</v>
      </c>
      <c r="V170" s="9">
        <v>-10061.18</v>
      </c>
    </row>
    <row r="172" spans="1:22" x14ac:dyDescent="0.35">
      <c r="D172" s="16" t="str">
        <f>HYPERLINK("https://stellar.myresman.com/#/GLAccounts/Detail/1fb664d4-e3f3-4418-9724-4a0a07bdc764?sd=06%2F01%2F2019%2000%3A00%3A00&amp;ed=08%2F31%2F2019%2000%3A00%3A00&amp;ab=Accrual&amp;pogid=74ebab12-2d0f-4d24-8804-b9708486f37f", "4400 Repairs &amp; Maintenance Expense")</f>
        <v>4400 Repairs &amp; Maintenance Expense</v>
      </c>
      <c r="E172" s="16"/>
      <c r="F172" s="16"/>
      <c r="G172" s="16"/>
      <c r="H172" s="16"/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423.46</v>
      </c>
      <c r="P172" s="2">
        <v>0</v>
      </c>
      <c r="Q172" s="2">
        <v>0</v>
      </c>
      <c r="R172" s="2">
        <v>0</v>
      </c>
      <c r="S172" s="2">
        <v>0</v>
      </c>
      <c r="T172" s="2">
        <v>119.66</v>
      </c>
      <c r="U172" s="2">
        <v>543.12</v>
      </c>
      <c r="V172" s="8">
        <v>-543.12</v>
      </c>
    </row>
    <row r="173" spans="1:22" x14ac:dyDescent="0.35">
      <c r="E173" s="17" t="str">
        <f>HYPERLINK("https://stellar.myresman.com/#/GLAccounts/Detail/8b2b9fb9-658b-4286-bb61-9020ddc7c9a3?sd=06%2F01%2F2019%2000%3A00%3A00&amp;ed=08%2F31%2F2019%2000%3A00%3A00&amp;ab=Accrual&amp;pogid=74ebab12-2d0f-4d24-8804-b9708486f37f", "4429 Appliance Supplies")</f>
        <v>4429 Appliance Supplies</v>
      </c>
      <c r="F173" s="17"/>
      <c r="G173" s="17"/>
      <c r="H173" s="17"/>
      <c r="I173" s="2">
        <v>375.04</v>
      </c>
      <c r="J173" s="2">
        <v>364.16</v>
      </c>
      <c r="K173" s="2">
        <v>69.599999999999994</v>
      </c>
      <c r="L173" s="2">
        <v>38.44</v>
      </c>
      <c r="M173" s="2">
        <v>487.11</v>
      </c>
      <c r="N173" s="2">
        <v>420.14</v>
      </c>
      <c r="O173" s="2">
        <v>476.42</v>
      </c>
      <c r="P173" s="2">
        <v>0</v>
      </c>
      <c r="Q173" s="2">
        <v>243.18</v>
      </c>
      <c r="R173" s="2">
        <v>955.45</v>
      </c>
      <c r="S173" s="2">
        <v>277.66000000000003</v>
      </c>
      <c r="T173" s="2">
        <v>693.05</v>
      </c>
      <c r="U173" s="2">
        <v>4400.25</v>
      </c>
      <c r="V173" s="2">
        <v>4339.75</v>
      </c>
    </row>
    <row r="174" spans="1:22" s="3" customFormat="1" x14ac:dyDescent="0.35">
      <c r="A174" s="4"/>
      <c r="B174" s="4"/>
      <c r="C174" s="4"/>
      <c r="D174" s="4"/>
      <c r="E174" s="18" t="str">
        <f>HYPERLINK("https://stellar.myresman.com/#/GLAccounts/Detail/0cd1df45-6e17-49b3-b514-a89b27aa57ce?sd=06%2F01%2F2019%2000%3A00%3A00&amp;ed=08%2F31%2F2019%2000%3A00%3A00&amp;ab=Accrual&amp;pogid=74ebab12-2d0f-4d24-8804-b9708486f37f", "4431 Carpet Repair/Cleaning")</f>
        <v>4431 Carpet Repair/Cleaning</v>
      </c>
      <c r="F174" s="18"/>
      <c r="G174" s="18"/>
      <c r="H174" s="18"/>
      <c r="I174" s="5">
        <v>0</v>
      </c>
      <c r="J174" s="5">
        <v>0</v>
      </c>
      <c r="K174" s="5">
        <v>0</v>
      </c>
      <c r="L174" s="5">
        <v>0</v>
      </c>
      <c r="M174" s="5">
        <v>-90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-90</v>
      </c>
      <c r="V174" s="5">
        <v>350</v>
      </c>
    </row>
    <row r="175" spans="1:22" x14ac:dyDescent="0.35">
      <c r="E175" s="17" t="str">
        <f>HYPERLINK("https://stellar.myresman.com/#/GLAccounts/Detail/14b63160-7354-40a5-9900-9630143bfd42?sd=06%2F01%2F2019%2000%3A00%3A00&amp;ed=08%2F31%2F2019%2000%3A00%3A00&amp;ab=Accrual&amp;pogid=74ebab12-2d0f-4d24-8804-b9708486f37f", "4433 Cleaning Supplies")</f>
        <v>4433 Cleaning Supplies</v>
      </c>
      <c r="F175" s="17"/>
      <c r="G175" s="17"/>
      <c r="H175" s="17"/>
      <c r="I175" s="2">
        <v>137.24</v>
      </c>
      <c r="J175" s="2">
        <v>0</v>
      </c>
      <c r="K175" s="2">
        <v>0</v>
      </c>
      <c r="L175" s="2">
        <v>64.03</v>
      </c>
      <c r="M175" s="2">
        <v>72.75</v>
      </c>
      <c r="N175" s="2">
        <v>30.4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48.64</v>
      </c>
      <c r="U175" s="2">
        <v>353.06</v>
      </c>
      <c r="V175" s="2">
        <v>596.94000000000005</v>
      </c>
    </row>
    <row r="176" spans="1:22" s="3" customFormat="1" x14ac:dyDescent="0.35">
      <c r="A176" s="4"/>
      <c r="B176" s="4"/>
      <c r="C176" s="4"/>
      <c r="D176" s="4"/>
      <c r="E176" s="18" t="str">
        <f>HYPERLINK("https://stellar.myresman.com/#/GLAccounts/Detail/efc207fb-c59d-4df3-bcb2-406d5f68f98c?sd=06%2F01%2F2019%2000%3A00%3A00&amp;ed=08%2F31%2F2019%2000%3A00%3A00&amp;ab=Accrual&amp;pogid=74ebab12-2d0f-4d24-8804-b9708486f37f", "4434 Cleaning Service")</f>
        <v>4434 Cleaning Service</v>
      </c>
      <c r="F176" s="18"/>
      <c r="G176" s="18"/>
      <c r="H176" s="18"/>
      <c r="I176" s="5">
        <v>475</v>
      </c>
      <c r="J176" s="5">
        <v>750</v>
      </c>
      <c r="K176" s="5">
        <v>-125</v>
      </c>
      <c r="L176" s="5">
        <v>1150</v>
      </c>
      <c r="M176" s="5">
        <v>225</v>
      </c>
      <c r="N176" s="5">
        <v>750</v>
      </c>
      <c r="O176" s="5">
        <v>375</v>
      </c>
      <c r="P176" s="5">
        <v>0</v>
      </c>
      <c r="Q176" s="5">
        <v>560</v>
      </c>
      <c r="R176" s="5">
        <v>786.55</v>
      </c>
      <c r="S176" s="5">
        <v>1300</v>
      </c>
      <c r="T176" s="5">
        <v>600</v>
      </c>
      <c r="U176" s="5">
        <v>6846.55</v>
      </c>
      <c r="V176" s="6">
        <v>-1096.55</v>
      </c>
    </row>
    <row r="177" spans="1:22" x14ac:dyDescent="0.35">
      <c r="E177" s="17" t="str">
        <f>HYPERLINK("https://stellar.myresman.com/#/GLAccounts/Detail/ba0b453d-f6cd-42bd-ab28-2c70bcc609cc?sd=06%2F01%2F2019%2000%3A00%3A00&amp;ed=08%2F31%2F2019%2000%3A00%3A00&amp;ab=Accrual&amp;pogid=74ebab12-2d0f-4d24-8804-b9708486f37f", "4436 Electrical Supplies")</f>
        <v>4436 Electrical Supplies</v>
      </c>
      <c r="F177" s="17"/>
      <c r="G177" s="17"/>
      <c r="H177" s="17"/>
      <c r="I177" s="2">
        <v>37.520000000000003</v>
      </c>
      <c r="J177" s="2">
        <v>9.41</v>
      </c>
      <c r="K177" s="2">
        <v>66.55</v>
      </c>
      <c r="L177" s="2">
        <v>459.26</v>
      </c>
      <c r="M177" s="2">
        <v>140.38999999999999</v>
      </c>
      <c r="N177" s="2">
        <v>849.59</v>
      </c>
      <c r="O177" s="2">
        <v>1016.49</v>
      </c>
      <c r="P177" s="2">
        <v>309.64999999999998</v>
      </c>
      <c r="Q177" s="2">
        <v>233.32</v>
      </c>
      <c r="R177" s="2">
        <v>422.97</v>
      </c>
      <c r="S177" s="2">
        <v>659.06</v>
      </c>
      <c r="T177" s="2">
        <v>1226.75</v>
      </c>
      <c r="U177" s="2">
        <v>5430.96</v>
      </c>
      <c r="V177" s="8">
        <v>-1995.96</v>
      </c>
    </row>
    <row r="178" spans="1:22" s="3" customFormat="1" x14ac:dyDescent="0.35">
      <c r="A178" s="4"/>
      <c r="B178" s="4"/>
      <c r="C178" s="4"/>
      <c r="D178" s="4"/>
      <c r="E178" s="18" t="str">
        <f>HYPERLINK("https://stellar.myresman.com/#/GLAccounts/Detail/979ec84b-5a0f-4e05-8a50-304516fac3ca?sd=06%2F01%2F2019%2000%3A00%3A00&amp;ed=08%2F31%2F2019%2000%3A00%3A00&amp;ab=Accrual&amp;pogid=74ebab12-2d0f-4d24-8804-b9708486f37f", "4437 Electrical Service")</f>
        <v>4437 Electrical Service</v>
      </c>
      <c r="F178" s="18"/>
      <c r="G178" s="18"/>
      <c r="H178" s="18"/>
      <c r="I178" s="5">
        <v>0</v>
      </c>
      <c r="J178" s="5">
        <v>0</v>
      </c>
      <c r="K178" s="5">
        <v>0</v>
      </c>
      <c r="L178" s="5">
        <v>1430</v>
      </c>
      <c r="M178" s="5">
        <v>0</v>
      </c>
      <c r="N178" s="5">
        <v>323.74</v>
      </c>
      <c r="O178" s="5">
        <v>0</v>
      </c>
      <c r="P178" s="5">
        <v>237.5</v>
      </c>
      <c r="Q178" s="5">
        <v>0</v>
      </c>
      <c r="R178" s="5">
        <v>0</v>
      </c>
      <c r="S178" s="5">
        <v>0</v>
      </c>
      <c r="T178" s="5">
        <v>0</v>
      </c>
      <c r="U178" s="5">
        <v>1991.24</v>
      </c>
      <c r="V178" s="6">
        <v>-151.24</v>
      </c>
    </row>
    <row r="179" spans="1:22" x14ac:dyDescent="0.35">
      <c r="E179" s="17" t="str">
        <f>HYPERLINK("https://stellar.myresman.com/#/GLAccounts/Detail/d4ee739a-d386-4705-80a9-8e125d5def6a?sd=06%2F01%2F2019%2000%3A00%3A00&amp;ed=08%2F31%2F2019%2000%3A00%3A00&amp;ab=Accrual&amp;pogid=74ebab12-2d0f-4d24-8804-b9708486f37f", "4438 Equipment Supplies")</f>
        <v>4438 Equipment Supplies</v>
      </c>
      <c r="F179" s="17"/>
      <c r="G179" s="17"/>
      <c r="H179" s="17"/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987.94</v>
      </c>
      <c r="O179" s="2">
        <v>0</v>
      </c>
      <c r="P179" s="2">
        <v>195.35</v>
      </c>
      <c r="Q179" s="2">
        <v>118.44</v>
      </c>
      <c r="R179" s="2">
        <v>332.68</v>
      </c>
      <c r="S179" s="2">
        <v>0</v>
      </c>
      <c r="T179" s="2">
        <v>0</v>
      </c>
      <c r="U179" s="2">
        <v>1634.41</v>
      </c>
      <c r="V179" s="8">
        <v>-1634.41</v>
      </c>
    </row>
    <row r="180" spans="1:22" s="3" customFormat="1" x14ac:dyDescent="0.35">
      <c r="A180" s="4"/>
      <c r="B180" s="4"/>
      <c r="C180" s="4"/>
      <c r="D180" s="4"/>
      <c r="E180" s="18" t="str">
        <f>HYPERLINK("https://stellar.myresman.com/#/GLAccounts/Detail/298d3dfd-745d-413c-be41-949f10d2319f?sd=06%2F01%2F2019%2000%3A00%3A00&amp;ed=08%2F31%2F2019%2000%3A00%3A00&amp;ab=Accrual&amp;pogid=74ebab12-2d0f-4d24-8804-b9708486f37f", "4441 Glass/Screen Service")</f>
        <v>4441 Glass/Screen Service</v>
      </c>
      <c r="F180" s="18"/>
      <c r="G180" s="18"/>
      <c r="H180" s="18"/>
      <c r="I180" s="5">
        <v>0</v>
      </c>
      <c r="J180" s="5">
        <v>502.86</v>
      </c>
      <c r="K180" s="5">
        <v>1263.8900000000001</v>
      </c>
      <c r="L180" s="5">
        <v>540.37</v>
      </c>
      <c r="M180" s="5">
        <v>0</v>
      </c>
      <c r="N180" s="5">
        <v>0</v>
      </c>
      <c r="O180" s="5">
        <v>0</v>
      </c>
      <c r="P180" s="5">
        <v>0</v>
      </c>
      <c r="Q180" s="5">
        <v>839.57</v>
      </c>
      <c r="R180" s="5">
        <v>214.8</v>
      </c>
      <c r="S180" s="5">
        <v>544.08000000000004</v>
      </c>
      <c r="T180" s="5">
        <v>0</v>
      </c>
      <c r="U180" s="5">
        <v>3905.57</v>
      </c>
      <c r="V180" s="5">
        <v>2994.43</v>
      </c>
    </row>
    <row r="181" spans="1:22" x14ac:dyDescent="0.35">
      <c r="E181" s="17" t="str">
        <f>HYPERLINK("https://stellar.myresman.com/#/GLAccounts/Detail/10158bdc-bb1b-4f9b-8572-dd6028c3d56e?sd=06%2F01%2F2019%2000%3A00%3A00&amp;ed=08%2F31%2F2019%2000%3A00%3A00&amp;ab=Accrual&amp;pogid=74ebab12-2d0f-4d24-8804-b9708486f37f", "4442 Hardware Supplies")</f>
        <v>4442 Hardware Supplies</v>
      </c>
      <c r="F181" s="17"/>
      <c r="G181" s="17"/>
      <c r="H181" s="17"/>
      <c r="I181" s="2">
        <v>401.3</v>
      </c>
      <c r="J181" s="2">
        <v>127.04</v>
      </c>
      <c r="K181" s="2">
        <v>67.400000000000006</v>
      </c>
      <c r="L181" s="2">
        <v>773.9</v>
      </c>
      <c r="M181" s="2">
        <v>994.88</v>
      </c>
      <c r="N181" s="2">
        <v>4383.5</v>
      </c>
      <c r="O181" s="2">
        <v>3468.48</v>
      </c>
      <c r="P181" s="2">
        <v>625.70000000000005</v>
      </c>
      <c r="Q181" s="2">
        <v>1606.69</v>
      </c>
      <c r="R181" s="2">
        <v>1449.49</v>
      </c>
      <c r="S181" s="2">
        <v>1511.54</v>
      </c>
      <c r="T181" s="2">
        <v>1591.36</v>
      </c>
      <c r="U181" s="2">
        <v>17001.28</v>
      </c>
      <c r="V181" s="8">
        <v>-11561.28</v>
      </c>
    </row>
    <row r="182" spans="1:22" s="3" customFormat="1" x14ac:dyDescent="0.35">
      <c r="A182" s="4"/>
      <c r="B182" s="4"/>
      <c r="C182" s="4"/>
      <c r="D182" s="4"/>
      <c r="E182" s="18" t="str">
        <f>HYPERLINK("https://stellar.myresman.com/#/GLAccounts/Detail/aded9c9e-40dd-48de-bc32-52317e558c9d?sd=06%2F01%2F2019%2000%3A00%3A00&amp;ed=08%2F31%2F2019%2000%3A00%3A00&amp;ab=Accrual&amp;pogid=74ebab12-2d0f-4d24-8804-b9708486f37f", "4444 HVAC Supplies")</f>
        <v>4444 HVAC Supplies</v>
      </c>
      <c r="F182" s="18"/>
      <c r="G182" s="18"/>
      <c r="H182" s="18"/>
      <c r="I182" s="5">
        <v>132.56</v>
      </c>
      <c r="J182" s="5">
        <v>35.6</v>
      </c>
      <c r="K182" s="5">
        <v>0</v>
      </c>
      <c r="L182" s="5">
        <v>0</v>
      </c>
      <c r="M182" s="5">
        <v>149.78</v>
      </c>
      <c r="N182" s="5">
        <v>2368.44</v>
      </c>
      <c r="O182" s="5">
        <v>667.85</v>
      </c>
      <c r="P182" s="5">
        <v>0</v>
      </c>
      <c r="Q182" s="5">
        <v>22.36</v>
      </c>
      <c r="R182" s="5">
        <v>328.35</v>
      </c>
      <c r="S182" s="5">
        <v>731.75</v>
      </c>
      <c r="T182" s="5">
        <v>90.07</v>
      </c>
      <c r="U182" s="5">
        <v>4526.76</v>
      </c>
      <c r="V182" s="6">
        <v>-1826.76</v>
      </c>
    </row>
    <row r="183" spans="1:22" x14ac:dyDescent="0.35">
      <c r="E183" s="17" t="str">
        <f>HYPERLINK("https://stellar.myresman.com/#/GLAccounts/Detail/8ac7011c-3029-4735-b2ad-1bfa01271995?sd=06%2F01%2F2019%2000%3A00%3A00&amp;ed=08%2F31%2F2019%2000%3A00%3A00&amp;ab=Accrual&amp;pogid=74ebab12-2d0f-4d24-8804-b9708486f37f", "4445 HVAC Service")</f>
        <v>4445 HVAC Service</v>
      </c>
      <c r="F183" s="17"/>
      <c r="G183" s="17"/>
      <c r="H183" s="17"/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800</v>
      </c>
    </row>
    <row r="184" spans="1:22" s="3" customFormat="1" x14ac:dyDescent="0.35">
      <c r="A184" s="4"/>
      <c r="B184" s="4"/>
      <c r="C184" s="4"/>
      <c r="D184" s="4"/>
      <c r="E184" s="18" t="str">
        <f>HYPERLINK("https://stellar.myresman.com/#/GLAccounts/Detail/a3f342f5-f8fd-4756-b3ad-39ac9a5fdfa8?sd=06%2F01%2F2019%2000%3A00%3A00&amp;ed=08%2F31%2F2019%2000%3A00%3A00&amp;ab=Accrual&amp;pogid=74ebab12-2d0f-4d24-8804-b9708486f37f", "4446 Key and Lock Supplies")</f>
        <v>4446 Key and Lock Supplies</v>
      </c>
      <c r="F184" s="18"/>
      <c r="G184" s="18"/>
      <c r="H184" s="18"/>
      <c r="I184" s="5">
        <v>137.62</v>
      </c>
      <c r="J184" s="5">
        <v>108.25</v>
      </c>
      <c r="K184" s="5">
        <v>0</v>
      </c>
      <c r="L184" s="5">
        <v>144.49</v>
      </c>
      <c r="M184" s="5">
        <v>353.01</v>
      </c>
      <c r="N184" s="5">
        <v>0</v>
      </c>
      <c r="O184" s="5">
        <v>0</v>
      </c>
      <c r="P184" s="5">
        <v>0</v>
      </c>
      <c r="Q184" s="5">
        <v>7.04</v>
      </c>
      <c r="R184" s="5">
        <v>619.47</v>
      </c>
      <c r="S184" s="5">
        <v>0</v>
      </c>
      <c r="T184" s="5">
        <v>64.83</v>
      </c>
      <c r="U184" s="5">
        <v>1434.71</v>
      </c>
      <c r="V184" s="5">
        <v>1390.29</v>
      </c>
    </row>
    <row r="185" spans="1:22" x14ac:dyDescent="0.35">
      <c r="E185" s="17" t="str">
        <f>HYPERLINK("https://stellar.myresman.com/#/GLAccounts/Detail/3940ce6d-49c6-408f-812c-6adf71f6de53?sd=06%2F01%2F2019%2000%3A00%3A00&amp;ed=08%2F31%2F2019%2000%3A00%3A00&amp;ab=Accrual&amp;pogid=74ebab12-2d0f-4d24-8804-b9708486f37f", "4448 Paint Supplies")</f>
        <v>4448 Paint Supplies</v>
      </c>
      <c r="F185" s="17"/>
      <c r="G185" s="17"/>
      <c r="H185" s="17"/>
      <c r="I185" s="2">
        <v>0</v>
      </c>
      <c r="J185" s="2">
        <v>115.96</v>
      </c>
      <c r="K185" s="2">
        <v>0</v>
      </c>
      <c r="L185" s="2">
        <v>38.200000000000003</v>
      </c>
      <c r="M185" s="2">
        <v>0</v>
      </c>
      <c r="N185" s="2">
        <v>93.34</v>
      </c>
      <c r="O185" s="2">
        <v>18.64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266.14</v>
      </c>
      <c r="V185" s="2">
        <v>2433.86</v>
      </c>
    </row>
    <row r="186" spans="1:22" s="3" customFormat="1" x14ac:dyDescent="0.35">
      <c r="A186" s="4"/>
      <c r="B186" s="4"/>
      <c r="C186" s="4"/>
      <c r="D186" s="4"/>
      <c r="E186" s="18" t="str">
        <f>HYPERLINK("https://stellar.myresman.com/#/GLAccounts/Detail/3f4605cf-c43d-4e12-a34d-bcaa520fca09?sd=06%2F01%2F2019%2000%3A00%3A00&amp;ed=08%2F31%2F2019%2000%3A00%3A00&amp;ab=Accrual&amp;pogid=74ebab12-2d0f-4d24-8804-b9708486f37f", "4450 Parking Lot/Carport Supply")</f>
        <v>4450 Parking Lot/Carport Supply</v>
      </c>
      <c r="F186" s="18"/>
      <c r="G186" s="18"/>
      <c r="H186" s="18"/>
      <c r="I186" s="5">
        <v>0</v>
      </c>
      <c r="J186" s="5">
        <v>0</v>
      </c>
      <c r="K186" s="5">
        <v>0</v>
      </c>
      <c r="L186" s="5">
        <v>0</v>
      </c>
      <c r="M186" s="5">
        <v>1797.48</v>
      </c>
      <c r="N186" s="5">
        <v>0</v>
      </c>
      <c r="O186" s="5">
        <v>402.04</v>
      </c>
      <c r="P186" s="5">
        <v>717.7</v>
      </c>
      <c r="Q186" s="5">
        <v>228</v>
      </c>
      <c r="R186" s="5">
        <v>727.23</v>
      </c>
      <c r="S186" s="5">
        <v>622.99</v>
      </c>
      <c r="T186" s="5">
        <v>0</v>
      </c>
      <c r="U186" s="5">
        <v>4495.4399999999996</v>
      </c>
      <c r="V186" s="6">
        <v>-3995.44</v>
      </c>
    </row>
    <row r="187" spans="1:22" x14ac:dyDescent="0.35">
      <c r="E187" s="17" t="str">
        <f>HYPERLINK("https://stellar.myresman.com/#/GLAccounts/Detail/1743848d-2830-41b0-bc3f-fffada65fcc0?sd=06%2F01%2F2019%2000%3A00%3A00&amp;ed=08%2F31%2F2019%2000%3A00%3A00&amp;ab=Accrual&amp;pogid=74ebab12-2d0f-4d24-8804-b9708486f37f", "4454 Plumbing Supplies")</f>
        <v>4454 Plumbing Supplies</v>
      </c>
      <c r="F187" s="17"/>
      <c r="G187" s="17"/>
      <c r="H187" s="17"/>
      <c r="I187" s="2">
        <v>654.75</v>
      </c>
      <c r="J187" s="2">
        <v>783.49</v>
      </c>
      <c r="K187" s="2">
        <v>59.36</v>
      </c>
      <c r="L187" s="2">
        <v>320.57</v>
      </c>
      <c r="M187" s="2">
        <v>1201.6300000000001</v>
      </c>
      <c r="N187" s="2">
        <v>1880.66</v>
      </c>
      <c r="O187" s="2">
        <v>1910.9</v>
      </c>
      <c r="P187" s="2">
        <v>602.32000000000005</v>
      </c>
      <c r="Q187" s="2">
        <v>1526.37</v>
      </c>
      <c r="R187" s="2">
        <v>2901.03</v>
      </c>
      <c r="S187" s="2">
        <v>756.58</v>
      </c>
      <c r="T187" s="2">
        <v>1712.72</v>
      </c>
      <c r="U187" s="2">
        <v>14310.38</v>
      </c>
      <c r="V187" s="8">
        <v>-8410.3799999999992</v>
      </c>
    </row>
    <row r="188" spans="1:22" s="3" customFormat="1" x14ac:dyDescent="0.35">
      <c r="A188" s="4"/>
      <c r="B188" s="4"/>
      <c r="C188" s="4"/>
      <c r="D188" s="4"/>
      <c r="E188" s="18" t="str">
        <f>HYPERLINK("https://stellar.myresman.com/#/GLAccounts/Detail/3194673b-52a1-4eb2-a44f-69fff61e5eef?sd=06%2F01%2F2019%2000%3A00%3A00&amp;ed=08%2F31%2F2019%2000%3A00%3A00&amp;ab=Accrual&amp;pogid=74ebab12-2d0f-4d24-8804-b9708486f37f", "4455 Plumbing Service")</f>
        <v>4455 Plumbing Service</v>
      </c>
      <c r="F188" s="18"/>
      <c r="G188" s="18"/>
      <c r="H188" s="18"/>
      <c r="I188" s="5">
        <v>1577</v>
      </c>
      <c r="J188" s="5">
        <v>0</v>
      </c>
      <c r="K188" s="5">
        <v>880</v>
      </c>
      <c r="L188" s="5">
        <v>967</v>
      </c>
      <c r="M188" s="5">
        <v>0</v>
      </c>
      <c r="N188" s="5">
        <v>1717.04</v>
      </c>
      <c r="O188" s="5">
        <v>2334.33</v>
      </c>
      <c r="P188" s="5">
        <v>0</v>
      </c>
      <c r="Q188" s="5">
        <v>0</v>
      </c>
      <c r="R188" s="5">
        <v>3825.34</v>
      </c>
      <c r="S188" s="5">
        <v>708.62</v>
      </c>
      <c r="T188" s="5">
        <v>4964.18</v>
      </c>
      <c r="U188" s="5">
        <v>16973.509999999998</v>
      </c>
      <c r="V188" s="6">
        <v>-8923.51</v>
      </c>
    </row>
    <row r="189" spans="1:22" x14ac:dyDescent="0.35">
      <c r="E189" s="17" t="str">
        <f>HYPERLINK("https://stellar.myresman.com/#/GLAccounts/Detail/b62c4a87-908d-4984-a35e-d94a5c1b2e1f?sd=06%2F01%2F2019%2000%3A00%3A00&amp;ed=08%2F31%2F2019%2000%3A00%3A00&amp;ab=Accrual&amp;pogid=74ebab12-2d0f-4d24-8804-b9708486f37f", "4456 Recreational Supplies")</f>
        <v>4456 Recreational Supplies</v>
      </c>
      <c r="F189" s="17"/>
      <c r="G189" s="17"/>
      <c r="H189" s="17"/>
      <c r="I189" s="2">
        <v>0</v>
      </c>
      <c r="J189" s="2">
        <v>0</v>
      </c>
      <c r="K189" s="2">
        <v>0</v>
      </c>
      <c r="L189" s="2">
        <v>0</v>
      </c>
      <c r="M189" s="2">
        <v>2192.31</v>
      </c>
      <c r="N189" s="2">
        <v>-841.1</v>
      </c>
      <c r="O189" s="2">
        <v>279.27999999999997</v>
      </c>
      <c r="P189" s="2">
        <v>0</v>
      </c>
      <c r="Q189" s="2">
        <v>398.81</v>
      </c>
      <c r="R189" s="2">
        <v>418.31</v>
      </c>
      <c r="S189" s="2">
        <v>0</v>
      </c>
      <c r="T189" s="2">
        <v>0</v>
      </c>
      <c r="U189" s="2">
        <v>2447.61</v>
      </c>
      <c r="V189" s="8">
        <v>-2072.61</v>
      </c>
    </row>
    <row r="190" spans="1:22" s="3" customFormat="1" x14ac:dyDescent="0.35">
      <c r="A190" s="4"/>
      <c r="B190" s="4"/>
      <c r="C190" s="4"/>
      <c r="D190" s="4"/>
      <c r="E190" s="18" t="str">
        <f>HYPERLINK("https://stellar.myresman.com/#/GLAccounts/Detail/cf973de4-f161-43e1-b4bd-6359df8055b4?sd=06%2F01%2F2019%2000%3A00%3A00&amp;ed=08%2F31%2F2019%2000%3A00%3A00&amp;ab=Accrual&amp;pogid=74ebab12-2d0f-4d24-8804-b9708486f37f", "4472 Pool Supplies")</f>
        <v>4472 Pool Supplies</v>
      </c>
      <c r="F190" s="18"/>
      <c r="G190" s="18"/>
      <c r="H190" s="18"/>
      <c r="I190" s="5">
        <v>83.07</v>
      </c>
      <c r="J190" s="5">
        <v>0</v>
      </c>
      <c r="K190" s="5">
        <v>279.81</v>
      </c>
      <c r="L190" s="5">
        <v>321.24</v>
      </c>
      <c r="M190" s="5">
        <v>344.59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280.19</v>
      </c>
      <c r="T190" s="5">
        <v>440.71</v>
      </c>
      <c r="U190" s="5">
        <v>1749.61</v>
      </c>
      <c r="V190" s="5">
        <v>1450.39</v>
      </c>
    </row>
    <row r="191" spans="1:22" x14ac:dyDescent="0.35">
      <c r="E191" s="17" t="str">
        <f>HYPERLINK("https://stellar.myresman.com/#/GLAccounts/Detail/1769f71a-0a57-4e24-b2ab-aa1742c7e1f6?sd=06%2F01%2F2019%2000%3A00%3A00&amp;ed=08%2F31%2F2019%2000%3A00%3A00&amp;ab=Accrual&amp;pogid=74ebab12-2d0f-4d24-8804-b9708486f37f", "4476 Pool Furn/Fixt/Equipment")</f>
        <v>4476 Pool Furn/Fixt/Equipment</v>
      </c>
      <c r="F191" s="17"/>
      <c r="G191" s="17"/>
      <c r="H191" s="17"/>
      <c r="I191" s="2">
        <v>199.4</v>
      </c>
      <c r="J191" s="2">
        <v>387.08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586.48</v>
      </c>
      <c r="V191" s="2">
        <v>48.52</v>
      </c>
    </row>
    <row r="192" spans="1:22" x14ac:dyDescent="0.35">
      <c r="D192" s="15" t="s">
        <v>46</v>
      </c>
      <c r="E192" s="15"/>
      <c r="F192" s="15"/>
      <c r="G192" s="15"/>
      <c r="H192" s="15"/>
      <c r="I192" s="7">
        <v>4210.5</v>
      </c>
      <c r="J192" s="7">
        <v>3183.85</v>
      </c>
      <c r="K192" s="7">
        <v>2561.61</v>
      </c>
      <c r="L192" s="7">
        <v>6247.5</v>
      </c>
      <c r="M192" s="7">
        <v>7868.93</v>
      </c>
      <c r="N192" s="7">
        <v>12963.69</v>
      </c>
      <c r="O192" s="7">
        <v>11372.89</v>
      </c>
      <c r="P192" s="7">
        <v>2688.22</v>
      </c>
      <c r="Q192" s="7">
        <v>5783.78</v>
      </c>
      <c r="R192" s="7">
        <v>12981.67</v>
      </c>
      <c r="S192" s="7">
        <v>7392.47</v>
      </c>
      <c r="T192" s="7">
        <v>11551.97</v>
      </c>
      <c r="U192" s="7">
        <v>88807.08</v>
      </c>
      <c r="V192" s="9">
        <v>-27807.08</v>
      </c>
    </row>
    <row r="194" spans="1:22" x14ac:dyDescent="0.35">
      <c r="D194" s="15" t="s">
        <v>47</v>
      </c>
      <c r="E194" s="15"/>
      <c r="F194" s="15"/>
      <c r="G194" s="15"/>
      <c r="H194" s="15"/>
    </row>
    <row r="195" spans="1:22" s="3" customFormat="1" x14ac:dyDescent="0.35">
      <c r="A195" s="4"/>
      <c r="B195" s="4"/>
      <c r="C195" s="4"/>
      <c r="D195" s="4"/>
      <c r="E195" s="18" t="str">
        <f>HYPERLINK("https://stellar.myresman.com/#/GLAccounts/Detail/21ac3610-2a63-4439-a300-6d3a6a264ba0?sd=06%2F01%2F2019%2000%3A00%3A00&amp;ed=08%2F31%2F2019%2000%3A00%3A00&amp;ab=Accrual&amp;pogid=74ebab12-2d0f-4d24-8804-b9708486f37f", "4702 T/O Cleaning Supplies")</f>
        <v>4702 T/O Cleaning Supplies</v>
      </c>
      <c r="F195" s="18"/>
      <c r="G195" s="18"/>
      <c r="H195" s="18"/>
      <c r="I195" s="5">
        <v>0</v>
      </c>
      <c r="J195" s="5">
        <v>0</v>
      </c>
      <c r="K195" s="5">
        <v>0</v>
      </c>
      <c r="L195" s="5">
        <v>0</v>
      </c>
      <c r="M195" s="5">
        <v>252.49</v>
      </c>
      <c r="N195" s="5">
        <v>342.34</v>
      </c>
      <c r="O195" s="5">
        <v>793.89</v>
      </c>
      <c r="P195" s="5">
        <v>171.09</v>
      </c>
      <c r="Q195" s="5">
        <v>259.04000000000002</v>
      </c>
      <c r="R195" s="5">
        <v>1179.21</v>
      </c>
      <c r="S195" s="5">
        <v>202.62</v>
      </c>
      <c r="T195" s="5">
        <v>740.9</v>
      </c>
      <c r="U195" s="5">
        <v>3941.58</v>
      </c>
      <c r="V195" s="6">
        <v>-3566.58</v>
      </c>
    </row>
    <row r="196" spans="1:22" x14ac:dyDescent="0.35">
      <c r="E196" s="17" t="str">
        <f>HYPERLINK("https://stellar.myresman.com/#/GLAccounts/Detail/e82dc4a1-eeb4-4c7a-9c87-7a1b359fa7fc?sd=06%2F01%2F2019%2000%3A00%3A00&amp;ed=08%2F31%2F2019%2000%3A00%3A00&amp;ab=Accrual&amp;pogid=74ebab12-2d0f-4d24-8804-b9708486f37f", "4703 T/O Contract Cleaning")</f>
        <v>4703 T/O Contract Cleaning</v>
      </c>
      <c r="F196" s="17"/>
      <c r="G196" s="17"/>
      <c r="H196" s="17"/>
      <c r="I196" s="2">
        <v>645</v>
      </c>
      <c r="J196" s="2">
        <v>1335</v>
      </c>
      <c r="K196" s="2">
        <v>80</v>
      </c>
      <c r="L196" s="2">
        <v>865</v>
      </c>
      <c r="M196" s="2">
        <v>0</v>
      </c>
      <c r="N196" s="2">
        <v>3160</v>
      </c>
      <c r="O196" s="2">
        <v>2070</v>
      </c>
      <c r="P196" s="2">
        <v>450</v>
      </c>
      <c r="Q196" s="2">
        <v>1595</v>
      </c>
      <c r="R196" s="2">
        <v>2045</v>
      </c>
      <c r="S196" s="2">
        <v>0</v>
      </c>
      <c r="T196" s="2">
        <v>0</v>
      </c>
      <c r="U196" s="2">
        <v>12245</v>
      </c>
      <c r="V196" s="2">
        <v>1602.5</v>
      </c>
    </row>
    <row r="197" spans="1:22" s="3" customFormat="1" x14ac:dyDescent="0.35">
      <c r="A197" s="4"/>
      <c r="B197" s="4"/>
      <c r="C197" s="4"/>
      <c r="D197" s="4"/>
      <c r="E197" s="18" t="str">
        <f>HYPERLINK("https://stellar.myresman.com/#/GLAccounts/Detail/daf0ca85-44b7-4e20-96c4-030a71585c31?sd=06%2F01%2F2019%2000%3A00%3A00&amp;ed=08%2F31%2F2019%2000%3A00%3A00&amp;ab=Accrual&amp;pogid=74ebab12-2d0f-4d24-8804-b9708486f37f", "4704 T/O Paint Supplies")</f>
        <v>4704 T/O Paint Supplies</v>
      </c>
      <c r="F197" s="18"/>
      <c r="G197" s="18"/>
      <c r="H197" s="18"/>
      <c r="I197" s="5">
        <v>0</v>
      </c>
      <c r="J197" s="5">
        <v>0</v>
      </c>
      <c r="K197" s="5">
        <v>0</v>
      </c>
      <c r="L197" s="5">
        <v>0</v>
      </c>
      <c r="M197" s="5">
        <v>626.92999999999995</v>
      </c>
      <c r="N197" s="5">
        <v>3358.36</v>
      </c>
      <c r="O197" s="5">
        <v>1602.66</v>
      </c>
      <c r="P197" s="5">
        <v>1070.18</v>
      </c>
      <c r="Q197" s="5">
        <v>1535.97</v>
      </c>
      <c r="R197" s="5">
        <v>2164.6</v>
      </c>
      <c r="S197" s="5">
        <v>1347.99</v>
      </c>
      <c r="T197" s="5">
        <v>2361.0500000000002</v>
      </c>
      <c r="U197" s="5">
        <v>14067.74</v>
      </c>
      <c r="V197" s="6">
        <v>-12442.74</v>
      </c>
    </row>
    <row r="198" spans="1:22" x14ac:dyDescent="0.35">
      <c r="E198" s="17" t="str">
        <f>HYPERLINK("https://stellar.myresman.com/#/GLAccounts/Detail/2d007664-a526-49ed-ba31-ad47e3f4d62f?sd=06%2F01%2F2019%2000%3A00%3A00&amp;ed=08%2F31%2F2019%2000%3A00%3A00&amp;ab=Accrual&amp;pogid=74ebab12-2d0f-4d24-8804-b9708486f37f", "4705 T/O Contract Painting")</f>
        <v>4705 T/O Contract Painting</v>
      </c>
      <c r="F198" s="17"/>
      <c r="G198" s="17"/>
      <c r="H198" s="17"/>
      <c r="I198" s="2">
        <v>3937.6</v>
      </c>
      <c r="J198" s="2">
        <v>3540.11</v>
      </c>
      <c r="K198" s="2">
        <v>952.69</v>
      </c>
      <c r="L198" s="2">
        <v>1450</v>
      </c>
      <c r="M198" s="2">
        <v>3115</v>
      </c>
      <c r="N198" s="2">
        <v>5360</v>
      </c>
      <c r="O198" s="2">
        <v>2695</v>
      </c>
      <c r="P198" s="2">
        <v>5075</v>
      </c>
      <c r="Q198" s="2">
        <v>1340</v>
      </c>
      <c r="R198" s="2">
        <v>2510</v>
      </c>
      <c r="S198" s="2">
        <v>585</v>
      </c>
      <c r="T198" s="2">
        <v>2350</v>
      </c>
      <c r="U198" s="2">
        <v>32910.400000000001</v>
      </c>
      <c r="V198" s="2">
        <v>5540.3</v>
      </c>
    </row>
    <row r="199" spans="1:22" s="3" customFormat="1" x14ac:dyDescent="0.35">
      <c r="A199" s="4"/>
      <c r="B199" s="4"/>
      <c r="C199" s="4"/>
      <c r="D199" s="4"/>
      <c r="E199" s="18" t="str">
        <f>HYPERLINK("https://stellar.myresman.com/#/GLAccounts/Detail/76d2b65b-d5ea-4dd0-9572-6fc7c6a0f638?sd=06%2F01%2F2019%2000%3A00%3A00&amp;ed=08%2F31%2F2019%2000%3A00%3A00&amp;ab=Accrual&amp;pogid=74ebab12-2d0f-4d24-8804-b9708486f37f", "4707 T/O Carpet Cleaning/Repair")</f>
        <v>4707 T/O Carpet Cleaning/Repair</v>
      </c>
      <c r="F199" s="18"/>
      <c r="G199" s="18"/>
      <c r="H199" s="18"/>
      <c r="I199" s="5">
        <v>780</v>
      </c>
      <c r="J199" s="5">
        <v>20</v>
      </c>
      <c r="K199" s="5">
        <v>135</v>
      </c>
      <c r="L199" s="5">
        <v>278.8</v>
      </c>
      <c r="M199" s="5">
        <v>50</v>
      </c>
      <c r="N199" s="5">
        <v>1004</v>
      </c>
      <c r="O199" s="5">
        <v>470</v>
      </c>
      <c r="P199" s="5">
        <v>150</v>
      </c>
      <c r="Q199" s="5">
        <v>0</v>
      </c>
      <c r="R199" s="5">
        <v>1058</v>
      </c>
      <c r="S199" s="5">
        <v>220</v>
      </c>
      <c r="T199" s="5">
        <v>0</v>
      </c>
      <c r="U199" s="5">
        <v>4165.8</v>
      </c>
      <c r="V199" s="6">
        <v>-1532.8</v>
      </c>
    </row>
    <row r="200" spans="1:22" x14ac:dyDescent="0.35">
      <c r="E200" s="17" t="str">
        <f>HYPERLINK("https://stellar.myresman.com/#/GLAccounts/Detail/073bbe08-d8fa-41fd-b18a-b39ee3d1c1d8?sd=06%2F01%2F2019%2000%3A00%3A00&amp;ed=08%2F31%2F2019%2000%3A00%3A00&amp;ab=Accrual&amp;pogid=74ebab12-2d0f-4d24-8804-b9708486f37f", "4709 T/O Vinyl Replacement")</f>
        <v>4709 T/O Vinyl Replacement</v>
      </c>
      <c r="F200" s="17"/>
      <c r="G200" s="17"/>
      <c r="H200" s="17"/>
      <c r="I200" s="2">
        <v>125</v>
      </c>
      <c r="J200" s="2">
        <v>502.56</v>
      </c>
      <c r="K200" s="2">
        <v>137.04</v>
      </c>
      <c r="L200" s="2">
        <v>200</v>
      </c>
      <c r="M200" s="2">
        <v>0</v>
      </c>
      <c r="N200" s="2">
        <v>312.04000000000002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1276.6400000000001</v>
      </c>
      <c r="V200" s="2">
        <v>10934.36</v>
      </c>
    </row>
    <row r="201" spans="1:22" s="3" customFormat="1" x14ac:dyDescent="0.35">
      <c r="A201" s="4"/>
      <c r="B201" s="4"/>
      <c r="C201" s="4"/>
      <c r="D201" s="4"/>
      <c r="E201" s="18" t="str">
        <f>HYPERLINK("https://stellar.myresman.com/#/GLAccounts/Detail/c0bf9f78-b950-4288-83ef-8f020ef4137f?sd=06%2F01%2F2019%2000%3A00%3A00&amp;ed=08%2F31%2F2019%2000%3A00%3A00&amp;ab=Accrual&amp;pogid=74ebab12-2d0f-4d24-8804-b9708486f37f", "4710 T/O Resurfacing")</f>
        <v>4710 T/O Resurfacing</v>
      </c>
      <c r="F201" s="18"/>
      <c r="G201" s="18"/>
      <c r="H201" s="18"/>
      <c r="I201" s="5">
        <v>1064</v>
      </c>
      <c r="J201" s="5">
        <v>2564</v>
      </c>
      <c r="K201" s="5">
        <v>1345.5</v>
      </c>
      <c r="L201" s="5">
        <v>982</v>
      </c>
      <c r="M201" s="5">
        <v>3219</v>
      </c>
      <c r="N201" s="5">
        <v>990</v>
      </c>
      <c r="O201" s="5">
        <v>2828.5</v>
      </c>
      <c r="P201" s="5">
        <v>2370</v>
      </c>
      <c r="Q201" s="5">
        <v>3245</v>
      </c>
      <c r="R201" s="5">
        <v>1850</v>
      </c>
      <c r="S201" s="5">
        <v>660</v>
      </c>
      <c r="T201" s="5">
        <v>2525</v>
      </c>
      <c r="U201" s="5">
        <v>23643</v>
      </c>
      <c r="V201" s="6">
        <v>-11643</v>
      </c>
    </row>
    <row r="202" spans="1:22" x14ac:dyDescent="0.35">
      <c r="E202" s="17" t="str">
        <f>HYPERLINK("https://stellar.myresman.com/#/GLAccounts/Detail/f185fec8-119d-46d8-9af5-5aa7e18bf852?sd=06%2F01%2F2019%2000%3A00%3A00&amp;ed=08%2F31%2F2019%2000%3A00%3A00&amp;ab=Accrual&amp;pogid=74ebab12-2d0f-4d24-8804-b9708486f37f", "4714 T/O Window Supply")</f>
        <v>4714 T/O Window Supply</v>
      </c>
      <c r="F202" s="17"/>
      <c r="G202" s="17"/>
      <c r="H202" s="17"/>
      <c r="I202" s="2">
        <v>0</v>
      </c>
      <c r="J202" s="2">
        <v>0</v>
      </c>
      <c r="K202" s="2">
        <v>0</v>
      </c>
      <c r="L202" s="2">
        <v>0</v>
      </c>
      <c r="M202" s="2">
        <v>57.34</v>
      </c>
      <c r="N202" s="2">
        <v>311.86</v>
      </c>
      <c r="O202" s="2">
        <v>88.49</v>
      </c>
      <c r="P202" s="2">
        <v>0</v>
      </c>
      <c r="Q202" s="2">
        <v>464.78</v>
      </c>
      <c r="R202" s="2">
        <v>0</v>
      </c>
      <c r="S202" s="2">
        <v>0</v>
      </c>
      <c r="T202" s="2">
        <v>121</v>
      </c>
      <c r="U202" s="2">
        <v>1043.47</v>
      </c>
      <c r="V202" s="8">
        <v>-518.47</v>
      </c>
    </row>
    <row r="203" spans="1:22" x14ac:dyDescent="0.35">
      <c r="D203" s="15" t="s">
        <v>48</v>
      </c>
      <c r="E203" s="15"/>
      <c r="F203" s="15"/>
      <c r="G203" s="15"/>
      <c r="H203" s="15"/>
      <c r="I203" s="7">
        <v>6551.6</v>
      </c>
      <c r="J203" s="7">
        <v>7961.67</v>
      </c>
      <c r="K203" s="7">
        <v>2650.23</v>
      </c>
      <c r="L203" s="7">
        <v>3775.8</v>
      </c>
      <c r="M203" s="7">
        <v>7320.76</v>
      </c>
      <c r="N203" s="7">
        <v>14838.6</v>
      </c>
      <c r="O203" s="7">
        <v>10548.54</v>
      </c>
      <c r="P203" s="7">
        <v>9286.27</v>
      </c>
      <c r="Q203" s="7">
        <v>8439.7900000000009</v>
      </c>
      <c r="R203" s="7">
        <v>10806.81</v>
      </c>
      <c r="S203" s="7">
        <v>3015.61</v>
      </c>
      <c r="T203" s="7">
        <v>8097.95</v>
      </c>
      <c r="U203" s="7">
        <v>93293.63</v>
      </c>
      <c r="V203" s="9">
        <v>-11626.43</v>
      </c>
    </row>
    <row r="205" spans="1:22" x14ac:dyDescent="0.35">
      <c r="D205" s="16" t="str">
        <f>HYPERLINK("https://stellar.myresman.com/#/GLAccounts/Detail/49c03a9b-c3e4-44b7-a864-fe4a165d6627?sd=06%2F01%2F2019%2000%3A00%3A00&amp;ed=08%2F31%2F2019%2000%3A00%3A00&amp;ab=Accrual&amp;pogid=74ebab12-2d0f-4d24-8804-b9708486f37f", "4800 Utility Expense")</f>
        <v>4800 Utility Expense</v>
      </c>
      <c r="E205" s="16"/>
      <c r="F205" s="16"/>
      <c r="G205" s="16"/>
      <c r="H205" s="16"/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88.31</v>
      </c>
      <c r="O205" s="2">
        <v>0</v>
      </c>
      <c r="P205" s="2">
        <v>15</v>
      </c>
      <c r="Q205" s="2">
        <v>0</v>
      </c>
      <c r="R205" s="2">
        <v>0</v>
      </c>
      <c r="S205" s="2">
        <v>0</v>
      </c>
      <c r="T205" s="2">
        <v>0</v>
      </c>
      <c r="U205" s="2">
        <v>103.31</v>
      </c>
      <c r="V205" s="8">
        <v>-103.31</v>
      </c>
    </row>
    <row r="206" spans="1:22" s="3" customFormat="1" x14ac:dyDescent="0.35">
      <c r="A206" s="4"/>
      <c r="B206" s="4"/>
      <c r="C206" s="4"/>
      <c r="D206" s="4"/>
      <c r="E206" s="18" t="str">
        <f>HYPERLINK("https://stellar.myresman.com/#/GLAccounts/Detail/989bc755-d11b-408f-afe8-ab43136c7254?sd=06%2F01%2F2019%2000%3A00%3A00&amp;ed=08%2F31%2F2019%2000%3A00%3A00&amp;ab=Accrual&amp;pogid=74ebab12-2d0f-4d24-8804-b9708486f37f", "4802 Common Area Electric")</f>
        <v>4802 Common Area Electric</v>
      </c>
      <c r="F206" s="18"/>
      <c r="G206" s="18"/>
      <c r="H206" s="18"/>
      <c r="I206" s="5">
        <v>1433.38</v>
      </c>
      <c r="J206" s="5">
        <v>2017.15</v>
      </c>
      <c r="K206" s="5">
        <v>155.34</v>
      </c>
      <c r="L206" s="5">
        <v>2009.13</v>
      </c>
      <c r="M206" s="5">
        <v>0</v>
      </c>
      <c r="N206" s="5">
        <v>1246.77</v>
      </c>
      <c r="O206" s="5">
        <v>2386.4</v>
      </c>
      <c r="P206" s="5">
        <v>1329.59</v>
      </c>
      <c r="Q206" s="5">
        <v>1200</v>
      </c>
      <c r="R206" s="5">
        <v>269.14</v>
      </c>
      <c r="S206" s="5">
        <v>1182.1099999999999</v>
      </c>
      <c r="T206" s="5">
        <v>1659.87</v>
      </c>
      <c r="U206" s="5">
        <v>14888.88</v>
      </c>
      <c r="V206" s="5">
        <v>3402.77</v>
      </c>
    </row>
    <row r="207" spans="1:22" x14ac:dyDescent="0.35">
      <c r="E207" s="17" t="str">
        <f>HYPERLINK("https://stellar.myresman.com/#/GLAccounts/Detail/1cd2a24b-74c1-4b0d-8212-bbd97fe1ea66?sd=06%2F01%2F2019%2000%3A00%3A00&amp;ed=08%2F31%2F2019%2000%3A00%3A00&amp;ab=Accrual&amp;pogid=74ebab12-2d0f-4d24-8804-b9708486f37f", "4806 Office Electric")</f>
        <v>4806 Office Electric</v>
      </c>
      <c r="F207" s="17"/>
      <c r="G207" s="17"/>
      <c r="H207" s="17"/>
      <c r="I207" s="2">
        <v>0</v>
      </c>
      <c r="J207" s="2">
        <v>0</v>
      </c>
      <c r="K207" s="2">
        <v>0</v>
      </c>
      <c r="L207" s="2">
        <v>0</v>
      </c>
      <c r="M207" s="2">
        <v>1408.15</v>
      </c>
      <c r="N207" s="2">
        <v>137.54</v>
      </c>
      <c r="O207" s="2">
        <v>185.76</v>
      </c>
      <c r="P207" s="2">
        <v>0</v>
      </c>
      <c r="Q207" s="2">
        <v>60.59</v>
      </c>
      <c r="R207" s="2">
        <v>117.72</v>
      </c>
      <c r="S207" s="2">
        <v>60.66</v>
      </c>
      <c r="T207" s="2">
        <v>0</v>
      </c>
      <c r="U207" s="2">
        <v>1970.42</v>
      </c>
      <c r="V207" s="8">
        <v>-1270.42</v>
      </c>
    </row>
    <row r="208" spans="1:22" s="3" customFormat="1" x14ac:dyDescent="0.35">
      <c r="A208" s="4"/>
      <c r="B208" s="4"/>
      <c r="C208" s="4"/>
      <c r="D208" s="4"/>
      <c r="E208" s="18" t="str">
        <f>HYPERLINK("https://stellar.myresman.com/#/GLAccounts/Detail/81e5f1fd-9341-4595-a4aa-5d2631b360da?sd=06%2F01%2F2019%2000%3A00%3A00&amp;ed=08%2F31%2F2019%2000%3A00%3A00&amp;ab=Accrual&amp;pogid=74ebab12-2d0f-4d24-8804-b9708486f37f", "4808 Turnover Electric")</f>
        <v>4808 Turnover Electric</v>
      </c>
      <c r="F208" s="18"/>
      <c r="G208" s="18"/>
      <c r="H208" s="18"/>
      <c r="I208" s="5">
        <v>452.83</v>
      </c>
      <c r="J208" s="5">
        <v>776.24</v>
      </c>
      <c r="K208" s="5">
        <v>254.11</v>
      </c>
      <c r="L208" s="5">
        <v>1784.57</v>
      </c>
      <c r="M208" s="5">
        <v>0</v>
      </c>
      <c r="N208" s="5">
        <v>2422.31</v>
      </c>
      <c r="O208" s="5">
        <v>1436.85</v>
      </c>
      <c r="P208" s="5">
        <v>292.48</v>
      </c>
      <c r="Q208" s="5">
        <v>479.41</v>
      </c>
      <c r="R208" s="5">
        <v>600.71</v>
      </c>
      <c r="S208" s="5">
        <v>695.73</v>
      </c>
      <c r="T208" s="5">
        <v>11.46</v>
      </c>
      <c r="U208" s="5">
        <v>9206.7000000000007</v>
      </c>
      <c r="V208" s="6">
        <v>-331.2</v>
      </c>
    </row>
    <row r="209" spans="1:22" x14ac:dyDescent="0.35">
      <c r="E209" s="17" t="str">
        <f>HYPERLINK("https://stellar.myresman.com/#/GLAccounts/Detail/c73c6600-6940-4081-b48d-1c172d00c5ab?sd=06%2F01%2F2019%2000%3A00%3A00&amp;ed=08%2F31%2F2019%2000%3A00%3A00&amp;ab=Accrual&amp;pogid=74ebab12-2d0f-4d24-8804-b9708486f37f", "4812 Common Area Water")</f>
        <v>4812 Common Area Water</v>
      </c>
      <c r="F209" s="17"/>
      <c r="G209" s="17"/>
      <c r="H209" s="17"/>
      <c r="I209" s="2">
        <v>4528</v>
      </c>
      <c r="J209" s="2">
        <v>1469.65</v>
      </c>
      <c r="K209" s="2">
        <v>1331.5</v>
      </c>
      <c r="L209" s="2">
        <v>7067.33</v>
      </c>
      <c r="M209" s="2">
        <v>3567.49</v>
      </c>
      <c r="N209" s="2">
        <v>3000</v>
      </c>
      <c r="O209" s="2">
        <v>-3035.08</v>
      </c>
      <c r="P209" s="2">
        <v>2610.86</v>
      </c>
      <c r="Q209" s="2">
        <v>3555.06</v>
      </c>
      <c r="R209" s="2">
        <v>0</v>
      </c>
      <c r="S209" s="2">
        <v>3536.09</v>
      </c>
      <c r="T209" s="2">
        <v>4249.57</v>
      </c>
      <c r="U209" s="2">
        <v>31880.47</v>
      </c>
      <c r="V209" s="2">
        <v>7844.53</v>
      </c>
    </row>
    <row r="210" spans="1:22" s="3" customFormat="1" x14ac:dyDescent="0.35">
      <c r="A210" s="4"/>
      <c r="B210" s="4"/>
      <c r="C210" s="4"/>
      <c r="D210" s="4"/>
      <c r="E210" s="18" t="str">
        <f>HYPERLINK("https://stellar.myresman.com/#/GLAccounts/Detail/358c70d3-32d0-43cb-a0c0-21efa03922f4?sd=06%2F01%2F2019%2000%3A00%3A00&amp;ed=08%2F31%2F2019%2000%3A00%3A00&amp;ab=Accrual&amp;pogid=74ebab12-2d0f-4d24-8804-b9708486f37f", "4820 Sewer")</f>
        <v>4820 Sewer</v>
      </c>
      <c r="F210" s="18"/>
      <c r="G210" s="18"/>
      <c r="H210" s="18"/>
      <c r="I210" s="5">
        <v>1635.3</v>
      </c>
      <c r="J210" s="5">
        <v>1960.97</v>
      </c>
      <c r="K210" s="5">
        <v>140.08000000000001</v>
      </c>
      <c r="L210" s="5">
        <v>3469.02</v>
      </c>
      <c r="M210" s="5">
        <v>2014.02</v>
      </c>
      <c r="N210" s="5">
        <v>1600</v>
      </c>
      <c r="O210" s="5">
        <v>-1662.88</v>
      </c>
      <c r="P210" s="5">
        <v>1832.68</v>
      </c>
      <c r="Q210" s="5">
        <v>2118.14</v>
      </c>
      <c r="R210" s="5">
        <v>0</v>
      </c>
      <c r="S210" s="5">
        <v>2135.69</v>
      </c>
      <c r="T210" s="5">
        <v>2084.9899999999998</v>
      </c>
      <c r="U210" s="5">
        <v>17328.009999999998</v>
      </c>
      <c r="V210" s="5">
        <v>8430.34</v>
      </c>
    </row>
    <row r="211" spans="1:22" x14ac:dyDescent="0.35">
      <c r="E211" s="17" t="str">
        <f>HYPERLINK("https://stellar.myresman.com/#/GLAccounts/Detail/a306a1c3-2032-4bca-920a-d528e40a4b6d?sd=06%2F01%2F2019%2000%3A00%3A00&amp;ed=08%2F31%2F2019%2000%3A00%3A00&amp;ab=Accrual&amp;pogid=74ebab12-2d0f-4d24-8804-b9708486f37f", "4821 Sewer Reimbursement")</f>
        <v>4821 Sewer Reimbursement</v>
      </c>
      <c r="F211" s="17"/>
      <c r="G211" s="17"/>
      <c r="H211" s="17"/>
      <c r="I211" s="2">
        <v>0</v>
      </c>
      <c r="J211" s="2">
        <v>0</v>
      </c>
      <c r="K211" s="2">
        <v>0</v>
      </c>
      <c r="L211" s="2">
        <v>0</v>
      </c>
      <c r="M211" s="2">
        <v>6.39</v>
      </c>
      <c r="N211" s="2">
        <v>-6.39</v>
      </c>
      <c r="O211" s="2">
        <v>0</v>
      </c>
      <c r="P211" s="2">
        <v>0</v>
      </c>
      <c r="Q211" s="2">
        <v>18</v>
      </c>
      <c r="R211" s="2">
        <v>0</v>
      </c>
      <c r="S211" s="2">
        <v>-18</v>
      </c>
      <c r="T211" s="2">
        <v>0</v>
      </c>
      <c r="U211" s="2">
        <v>0</v>
      </c>
      <c r="V211" s="2">
        <v>0</v>
      </c>
    </row>
    <row r="212" spans="1:22" s="3" customFormat="1" x14ac:dyDescent="0.35">
      <c r="A212" s="4"/>
      <c r="B212" s="4"/>
      <c r="C212" s="4"/>
      <c r="D212" s="4"/>
      <c r="E212" s="18" t="str">
        <f>HYPERLINK("https://stellar.myresman.com/#/GLAccounts/Detail/7bd3bfa6-24a4-47df-bb25-13c67758da80?sd=06%2F01%2F2019%2000%3A00%3A00&amp;ed=08%2F31%2F2019%2000%3A00%3A00&amp;ab=Accrual&amp;pogid=74ebab12-2d0f-4d24-8804-b9708486f37f", "4842 Common Area Gas")</f>
        <v>4842 Common Area Gas</v>
      </c>
      <c r="F212" s="18"/>
      <c r="G212" s="18"/>
      <c r="H212" s="18"/>
      <c r="I212" s="5">
        <v>1503.01</v>
      </c>
      <c r="J212" s="5">
        <v>1257.18</v>
      </c>
      <c r="K212" s="5">
        <v>0</v>
      </c>
      <c r="L212" s="5">
        <v>3622.1</v>
      </c>
      <c r="M212" s="5">
        <v>2368.87</v>
      </c>
      <c r="N212" s="5">
        <v>574.48</v>
      </c>
      <c r="O212" s="5">
        <v>2503.27</v>
      </c>
      <c r="P212" s="5">
        <v>1900</v>
      </c>
      <c r="Q212" s="5">
        <v>1688.04</v>
      </c>
      <c r="R212" s="5">
        <v>5322.14</v>
      </c>
      <c r="S212" s="5">
        <v>2005.95</v>
      </c>
      <c r="T212" s="5">
        <v>1084.71</v>
      </c>
      <c r="U212" s="5">
        <v>23829.75</v>
      </c>
      <c r="V212" s="6">
        <v>-2425.75</v>
      </c>
    </row>
    <row r="213" spans="1:22" x14ac:dyDescent="0.35">
      <c r="E213" s="17" t="str">
        <f>HYPERLINK("https://stellar.myresman.com/#/GLAccounts/Detail/79c8202c-4430-44ac-b3d6-b5bf89d21f00?sd=06%2F01%2F2019%2000%3A00%3A00&amp;ed=08%2F31%2F2019%2000%3A00%3A00&amp;ab=Accrual&amp;pogid=74ebab12-2d0f-4d24-8804-b9708486f37f", "4845 Gas Reimbursement")</f>
        <v>4845 Gas Reimbursement</v>
      </c>
      <c r="F213" s="17"/>
      <c r="G213" s="17"/>
      <c r="H213" s="17"/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8438.6299999999992</v>
      </c>
    </row>
    <row r="214" spans="1:22" s="3" customFormat="1" x14ac:dyDescent="0.35">
      <c r="A214" s="4"/>
      <c r="B214" s="4"/>
      <c r="C214" s="4"/>
      <c r="D214" s="4"/>
      <c r="E214" s="18" t="str">
        <f>HYPERLINK("https://stellar.myresman.com/#/GLAccounts/Detail/793f6af2-336f-4f08-9d58-ee7d322e2138?sd=06%2F01%2F2019%2000%3A00%3A00&amp;ed=08%2F31%2F2019%2000%3A00%3A00&amp;ab=Accrual&amp;pogid=74ebab12-2d0f-4d24-8804-b9708486f37f", "4852 Cable TV")</f>
        <v>4852 Cable TV</v>
      </c>
      <c r="F214" s="18"/>
      <c r="G214" s="18"/>
      <c r="H214" s="18"/>
      <c r="I214" s="5">
        <v>0</v>
      </c>
      <c r="J214" s="5">
        <v>0</v>
      </c>
      <c r="K214" s="5">
        <v>0</v>
      </c>
      <c r="L214" s="5">
        <v>0</v>
      </c>
      <c r="M214" s="5">
        <v>383.55</v>
      </c>
      <c r="N214" s="5">
        <v>179.8</v>
      </c>
      <c r="O214" s="5">
        <v>505.01</v>
      </c>
      <c r="P214" s="5">
        <v>325.87</v>
      </c>
      <c r="Q214" s="5">
        <v>0</v>
      </c>
      <c r="R214" s="5">
        <v>445.54</v>
      </c>
      <c r="S214" s="5">
        <v>172.63</v>
      </c>
      <c r="T214" s="5">
        <v>0</v>
      </c>
      <c r="U214" s="5">
        <v>2012.4</v>
      </c>
      <c r="V214" s="6">
        <v>-1117.4000000000001</v>
      </c>
    </row>
    <row r="215" spans="1:22" x14ac:dyDescent="0.35">
      <c r="E215" s="17" t="str">
        <f>HYPERLINK("https://stellar.myresman.com/#/GLAccounts/Detail/9e7e9fcb-dcc2-4cf5-9d56-03713ece7ecd?sd=06%2F01%2F2019%2000%3A00%3A00&amp;ed=08%2F31%2F2019%2000%3A00%3A00&amp;ab=Accrual&amp;pogid=74ebab12-2d0f-4d24-8804-b9708486f37f", "4853 Waste Removal")</f>
        <v>4853 Waste Removal</v>
      </c>
      <c r="F215" s="17"/>
      <c r="G215" s="17"/>
      <c r="H215" s="17"/>
      <c r="I215" s="2">
        <v>1338.84</v>
      </c>
      <c r="J215" s="2">
        <v>1338.84</v>
      </c>
      <c r="K215" s="2">
        <v>1338.84</v>
      </c>
      <c r="L215" s="2">
        <v>1764.84</v>
      </c>
      <c r="M215" s="2">
        <v>2112.85</v>
      </c>
      <c r="N215" s="2">
        <v>4669.83</v>
      </c>
      <c r="O215" s="2">
        <v>-3339.86</v>
      </c>
      <c r="P215" s="2">
        <v>1335.99</v>
      </c>
      <c r="Q215" s="2">
        <v>2703.8</v>
      </c>
      <c r="R215" s="2">
        <v>33.4</v>
      </c>
      <c r="S215" s="2">
        <v>1422.39</v>
      </c>
      <c r="T215" s="2">
        <v>1335.99</v>
      </c>
      <c r="U215" s="2">
        <v>16055.75</v>
      </c>
      <c r="V215" s="2">
        <v>1894.25</v>
      </c>
    </row>
    <row r="216" spans="1:22" s="3" customFormat="1" x14ac:dyDescent="0.35">
      <c r="A216" s="4"/>
      <c r="B216" s="4"/>
      <c r="C216" s="4"/>
      <c r="D216" s="4"/>
      <c r="E216" s="18" t="str">
        <f>HYPERLINK("https://stellar.myresman.com/#/GLAccounts/Detail/cb29cc2b-4c12-499b-9898-d0d47e3c7d8c?sd=06%2F01%2F2019%2000%3A00%3A00&amp;ed=08%2F31%2F2019%2000%3A00%3A00&amp;ab=Accrual&amp;pogid=74ebab12-2d0f-4d24-8804-b9708486f37f", "4854 Water Reimbursement")</f>
        <v>4854 Water Reimbursement</v>
      </c>
      <c r="F216" s="18"/>
      <c r="G216" s="18"/>
      <c r="H216" s="18"/>
      <c r="I216" s="5">
        <v>0</v>
      </c>
      <c r="J216" s="5">
        <v>0</v>
      </c>
      <c r="K216" s="5">
        <v>0</v>
      </c>
      <c r="L216" s="5">
        <v>0</v>
      </c>
      <c r="M216" s="5">
        <v>9.58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9.58</v>
      </c>
      <c r="V216" s="6">
        <v>-9.58</v>
      </c>
    </row>
    <row r="217" spans="1:22" x14ac:dyDescent="0.35">
      <c r="E217" s="17" t="str">
        <f>HYPERLINK("https://stellar.myresman.com/#/GLAccounts/Detail/11a0aaaa-b15c-47e7-a12e-ad2f899a880a?sd=06%2F01%2F2019%2000%3A00%3A00&amp;ed=08%2F31%2F2019%2000%3A00%3A00&amp;ab=Accrual&amp;pogid=74ebab12-2d0f-4d24-8804-b9708486f37f", "4855 Waste Removal Reimbursement")</f>
        <v>4855 Waste Removal Reimbursement</v>
      </c>
      <c r="F217" s="17"/>
      <c r="G217" s="17"/>
      <c r="H217" s="17"/>
      <c r="I217" s="2">
        <v>0</v>
      </c>
      <c r="J217" s="2">
        <v>0</v>
      </c>
      <c r="K217" s="2">
        <v>0</v>
      </c>
      <c r="L217" s="2">
        <v>0</v>
      </c>
      <c r="M217" s="2">
        <v>1.77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1.77</v>
      </c>
      <c r="V217" s="8">
        <v>-1.77</v>
      </c>
    </row>
    <row r="218" spans="1:22" s="3" customFormat="1" x14ac:dyDescent="0.35">
      <c r="A218" s="4"/>
      <c r="B218" s="4"/>
      <c r="C218" s="4"/>
      <c r="D218" s="4"/>
      <c r="E218" s="18" t="str">
        <f>HYPERLINK("https://stellar.myresman.com/#/GLAccounts/Detail/0831458f-809c-4cea-adc0-0db31593cfad?sd=06%2F01%2F2019%2000%3A00%3A00&amp;ed=08%2F31%2F2019%2000%3A00%3A00&amp;ab=Accrual&amp;pogid=74ebab12-2d0f-4d24-8804-b9708486f37f", "4856 Electric Service Fee")</f>
        <v>4856 Electric Service Fee</v>
      </c>
      <c r="F218" s="18"/>
      <c r="G218" s="18"/>
      <c r="H218" s="18"/>
      <c r="I218" s="5">
        <v>200</v>
      </c>
      <c r="J218" s="5">
        <v>200</v>
      </c>
      <c r="K218" s="5">
        <v>0</v>
      </c>
      <c r="L218" s="5">
        <v>625.5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1025.5</v>
      </c>
      <c r="V218" s="6">
        <v>-150.5</v>
      </c>
    </row>
    <row r="219" spans="1:22" x14ac:dyDescent="0.35">
      <c r="D219" s="15" t="s">
        <v>49</v>
      </c>
      <c r="E219" s="15"/>
      <c r="F219" s="15"/>
      <c r="G219" s="15"/>
      <c r="H219" s="15"/>
      <c r="I219" s="7">
        <v>11091.36</v>
      </c>
      <c r="J219" s="7">
        <v>9020.0300000000007</v>
      </c>
      <c r="K219" s="7">
        <v>3219.87</v>
      </c>
      <c r="L219" s="7">
        <v>20342.490000000002</v>
      </c>
      <c r="M219" s="7">
        <v>11872.67</v>
      </c>
      <c r="N219" s="7">
        <v>13912.65</v>
      </c>
      <c r="O219" s="7">
        <v>-1020.53</v>
      </c>
      <c r="P219" s="7">
        <v>9642.4699999999993</v>
      </c>
      <c r="Q219" s="7">
        <v>11823.04</v>
      </c>
      <c r="R219" s="7">
        <v>6788.65</v>
      </c>
      <c r="S219" s="7">
        <v>11193.25</v>
      </c>
      <c r="T219" s="7">
        <v>10426.59</v>
      </c>
      <c r="U219" s="7">
        <v>118312.54</v>
      </c>
      <c r="V219" s="7">
        <v>24600.59</v>
      </c>
    </row>
    <row r="221" spans="1:22" x14ac:dyDescent="0.35">
      <c r="D221" s="15" t="s">
        <v>50</v>
      </c>
      <c r="E221" s="15"/>
      <c r="F221" s="15"/>
      <c r="G221" s="15"/>
      <c r="H221" s="15"/>
    </row>
    <row r="222" spans="1:22" x14ac:dyDescent="0.35">
      <c r="E222" s="17" t="str">
        <f>HYPERLINK("https://stellar.myresman.com/#/GLAccounts/Detail/874d809f-902b-4741-9e9b-0517002d2e34?sd=06%2F01%2F2019%2000%3A00%3A00&amp;ed=08%2F31%2F2019%2000%3A00%3A00&amp;ab=Accrual&amp;pogid=74ebab12-2d0f-4d24-8804-b9708486f37f", "5002 Real Property Taxes")</f>
        <v>5002 Real Property Taxes</v>
      </c>
      <c r="F222" s="17"/>
      <c r="G222" s="17"/>
      <c r="H222" s="17"/>
      <c r="I222" s="2">
        <v>4770.41</v>
      </c>
      <c r="J222" s="2">
        <v>4770.41</v>
      </c>
      <c r="K222" s="2">
        <v>0</v>
      </c>
      <c r="L222" s="2">
        <v>9540.82</v>
      </c>
      <c r="M222" s="2">
        <v>4770.41</v>
      </c>
      <c r="N222" s="2">
        <v>4770.41</v>
      </c>
      <c r="O222" s="2">
        <v>4770.41</v>
      </c>
      <c r="P222" s="2">
        <v>4770.41</v>
      </c>
      <c r="Q222" s="2">
        <v>4770.41</v>
      </c>
      <c r="R222" s="2">
        <v>4770.41</v>
      </c>
      <c r="S222" s="2">
        <v>4770.41</v>
      </c>
      <c r="T222" s="2">
        <v>4770.41</v>
      </c>
      <c r="U222" s="2">
        <v>57244.92</v>
      </c>
      <c r="V222" s="2">
        <v>858.43</v>
      </c>
    </row>
    <row r="223" spans="1:22" s="3" customFormat="1" x14ac:dyDescent="0.35">
      <c r="A223" s="4"/>
      <c r="B223" s="4"/>
      <c r="C223" s="4"/>
      <c r="D223" s="4"/>
      <c r="E223" s="18" t="str">
        <f>HYPERLINK("https://stellar.myresman.com/#/GLAccounts/Detail/66068a5e-0772-49d8-9c36-a760a3555ffa?sd=06%2F01%2F2019%2000%3A00%3A00&amp;ed=08%2F31%2F2019%2000%3A00%3A00&amp;ab=Accrual&amp;pogid=74ebab12-2d0f-4d24-8804-b9708486f37f", "5006 Property and Casualty Insurance")</f>
        <v>5006 Property and Casualty Insurance</v>
      </c>
      <c r="F223" s="18"/>
      <c r="G223" s="18"/>
      <c r="H223" s="18"/>
      <c r="I223" s="5">
        <v>1823.58</v>
      </c>
      <c r="J223" s="5">
        <v>1865.93</v>
      </c>
      <c r="K223" s="5">
        <v>0</v>
      </c>
      <c r="L223" s="5">
        <v>3731.86</v>
      </c>
      <c r="M223" s="5">
        <v>1865.93</v>
      </c>
      <c r="N223" s="5">
        <v>1865.93</v>
      </c>
      <c r="O223" s="5">
        <v>1865.93</v>
      </c>
      <c r="P223" s="5">
        <v>1865.93</v>
      </c>
      <c r="Q223" s="5">
        <v>1865.93</v>
      </c>
      <c r="R223" s="5">
        <v>1865.93</v>
      </c>
      <c r="S223" s="5">
        <v>1865.93</v>
      </c>
      <c r="T223" s="5">
        <v>1865.93</v>
      </c>
      <c r="U223" s="5">
        <v>22348.81</v>
      </c>
      <c r="V223" s="5">
        <v>36.04</v>
      </c>
    </row>
    <row r="224" spans="1:22" x14ac:dyDescent="0.35">
      <c r="D224" s="15" t="s">
        <v>51</v>
      </c>
      <c r="E224" s="15"/>
      <c r="F224" s="15"/>
      <c r="G224" s="15"/>
      <c r="H224" s="15"/>
      <c r="I224" s="7">
        <v>6593.99</v>
      </c>
      <c r="J224" s="7">
        <v>6636.34</v>
      </c>
      <c r="K224" s="7">
        <v>0</v>
      </c>
      <c r="L224" s="7">
        <v>13272.68</v>
      </c>
      <c r="M224" s="7">
        <v>6636.34</v>
      </c>
      <c r="N224" s="7">
        <v>6636.34</v>
      </c>
      <c r="O224" s="7">
        <v>6636.34</v>
      </c>
      <c r="P224" s="7">
        <v>6636.34</v>
      </c>
      <c r="Q224" s="7">
        <v>6636.34</v>
      </c>
      <c r="R224" s="7">
        <v>6636.34</v>
      </c>
      <c r="S224" s="7">
        <v>6636.34</v>
      </c>
      <c r="T224" s="7">
        <v>6636.34</v>
      </c>
      <c r="U224" s="7">
        <v>79593.73</v>
      </c>
      <c r="V224" s="7">
        <v>894.47</v>
      </c>
    </row>
    <row r="226" spans="1:22" x14ac:dyDescent="0.35">
      <c r="C226" s="15" t="s">
        <v>52</v>
      </c>
      <c r="D226" s="15"/>
      <c r="E226" s="15"/>
      <c r="F226" s="15"/>
      <c r="G226" s="15"/>
      <c r="H226" s="15"/>
      <c r="I226" s="7">
        <v>67271.259999999995</v>
      </c>
      <c r="J226" s="7">
        <v>65269.07</v>
      </c>
      <c r="K226" s="7">
        <v>38427.760000000002</v>
      </c>
      <c r="L226" s="7">
        <v>92178.2</v>
      </c>
      <c r="M226" s="7">
        <v>58520.28</v>
      </c>
      <c r="N226" s="7">
        <v>96077.93</v>
      </c>
      <c r="O226" s="7">
        <v>69434.53</v>
      </c>
      <c r="P226" s="7">
        <v>64020.18</v>
      </c>
      <c r="Q226" s="7">
        <v>72288.479999999996</v>
      </c>
      <c r="R226" s="7">
        <v>82151.03</v>
      </c>
      <c r="S226" s="7">
        <v>74359.55</v>
      </c>
      <c r="T226" s="7">
        <v>75842.28</v>
      </c>
      <c r="U226" s="7">
        <v>855840.55</v>
      </c>
      <c r="V226" s="9">
        <v>-42141.48</v>
      </c>
    </row>
    <row r="228" spans="1:22" x14ac:dyDescent="0.35">
      <c r="B228" s="15" t="s">
        <v>53</v>
      </c>
      <c r="C228" s="15"/>
      <c r="D228" s="15"/>
      <c r="E228" s="15"/>
      <c r="F228" s="15"/>
      <c r="G228" s="15"/>
      <c r="H228" s="15"/>
      <c r="I228" s="7">
        <v>110686.79</v>
      </c>
      <c r="J228" s="7">
        <v>108386.34</v>
      </c>
      <c r="K228" s="7">
        <v>126620.13</v>
      </c>
      <c r="L228" s="7">
        <v>83523.69</v>
      </c>
      <c r="M228" s="7">
        <v>108789.19</v>
      </c>
      <c r="N228" s="7">
        <v>70841.53</v>
      </c>
      <c r="O228" s="7">
        <v>97018.44</v>
      </c>
      <c r="P228" s="7">
        <v>124415.14</v>
      </c>
      <c r="Q228" s="7">
        <v>91013.3</v>
      </c>
      <c r="R228" s="7">
        <v>102817.35</v>
      </c>
      <c r="S228" s="7">
        <v>115057.76</v>
      </c>
      <c r="T228" s="7">
        <v>106249.02</v>
      </c>
      <c r="U228" s="7">
        <v>1245418.68</v>
      </c>
      <c r="V228" s="9">
        <v>-53802.89</v>
      </c>
    </row>
    <row r="230" spans="1:22" x14ac:dyDescent="0.35">
      <c r="C230" s="15" t="s">
        <v>54</v>
      </c>
      <c r="D230" s="15"/>
      <c r="E230" s="15"/>
      <c r="F230" s="15"/>
      <c r="G230" s="15"/>
      <c r="H230" s="15"/>
    </row>
    <row r="231" spans="1:22" x14ac:dyDescent="0.35">
      <c r="D231" s="17" t="str">
        <f>HYPERLINK("https://stellar.myresman.com/#/GLAccounts/Detail/041f3b65-5a60-42a6-8e78-01aefa1550c8?sd=06%2F01%2F2019%2000%3A00%3A00&amp;ed=08%2F31%2F2019%2000%3A00%3A00&amp;ab=Accrual&amp;pogid=74ebab12-2d0f-4d24-8804-b9708486f37f", "8800 Insurance Proceeds")</f>
        <v>8800 Insurance Proceeds</v>
      </c>
      <c r="E231" s="17"/>
      <c r="F231" s="17"/>
      <c r="G231" s="17"/>
      <c r="H231" s="17"/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35585.69</v>
      </c>
      <c r="O231" s="2">
        <v>0</v>
      </c>
      <c r="P231" s="2">
        <v>0</v>
      </c>
      <c r="Q231" s="2">
        <v>34724.65</v>
      </c>
      <c r="R231" s="2">
        <v>0</v>
      </c>
      <c r="S231" s="2">
        <v>0</v>
      </c>
      <c r="T231" s="2">
        <v>0</v>
      </c>
      <c r="U231" s="2">
        <v>70310.34</v>
      </c>
      <c r="V231" s="2">
        <v>70310.34</v>
      </c>
    </row>
    <row r="232" spans="1:22" x14ac:dyDescent="0.35">
      <c r="C232" s="15" t="s">
        <v>55</v>
      </c>
      <c r="D232" s="15"/>
      <c r="E232" s="15"/>
      <c r="F232" s="15"/>
      <c r="G232" s="15"/>
      <c r="H232" s="15"/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35585.69</v>
      </c>
      <c r="O232" s="7">
        <v>0</v>
      </c>
      <c r="P232" s="7">
        <v>0</v>
      </c>
      <c r="Q232" s="7">
        <v>34724.65</v>
      </c>
      <c r="R232" s="7">
        <v>0</v>
      </c>
      <c r="S232" s="7">
        <v>0</v>
      </c>
      <c r="T232" s="7">
        <v>0</v>
      </c>
      <c r="U232" s="7">
        <v>70310.34</v>
      </c>
      <c r="V232" s="7">
        <v>70310.34</v>
      </c>
    </row>
    <row r="234" spans="1:22" x14ac:dyDescent="0.35">
      <c r="C234" s="15" t="s">
        <v>56</v>
      </c>
      <c r="D234" s="15"/>
      <c r="E234" s="15"/>
      <c r="F234" s="15"/>
      <c r="G234" s="15"/>
      <c r="H234" s="15"/>
    </row>
    <row r="235" spans="1:22" x14ac:dyDescent="0.35">
      <c r="D235" s="15" t="s">
        <v>57</v>
      </c>
      <c r="E235" s="15"/>
      <c r="F235" s="15"/>
      <c r="G235" s="15"/>
      <c r="H235" s="15"/>
    </row>
    <row r="236" spans="1:22" s="3" customFormat="1" x14ac:dyDescent="0.35">
      <c r="A236" s="4"/>
      <c r="B236" s="4"/>
      <c r="C236" s="4"/>
      <c r="D236" s="4"/>
      <c r="E236" s="18" t="str">
        <f>HYPERLINK("https://stellar.myresman.com/#/GLAccounts/Detail/6ee84375-3467-4662-8522-38ff7d0d27c6?sd=06%2F01%2F2019%2000%3A00%3A00&amp;ed=08%2F31%2F2019%2000%3A00%3A00&amp;ab=Accrual&amp;pogid=74ebab12-2d0f-4d24-8804-b9708486f37f", "7400 Interest Expense")</f>
        <v>7400 Interest Expense</v>
      </c>
      <c r="F236" s="18"/>
      <c r="G236" s="18"/>
      <c r="H236" s="18"/>
      <c r="I236" s="5">
        <v>0</v>
      </c>
      <c r="J236" s="5">
        <v>0</v>
      </c>
      <c r="K236" s="5">
        <v>0</v>
      </c>
      <c r="L236" s="5">
        <v>0</v>
      </c>
      <c r="M236" s="5">
        <v>47839.3</v>
      </c>
      <c r="N236" s="5">
        <v>47771.65</v>
      </c>
      <c r="O236" s="5">
        <v>47705.3</v>
      </c>
      <c r="P236" s="5">
        <v>47703.55</v>
      </c>
      <c r="Q236" s="5">
        <v>47498.14</v>
      </c>
      <c r="R236" s="5">
        <v>47497.64</v>
      </c>
      <c r="S236" s="5">
        <v>47428.46</v>
      </c>
      <c r="T236" s="5">
        <v>47359</v>
      </c>
      <c r="U236" s="5">
        <v>380803.04</v>
      </c>
      <c r="V236" s="6">
        <v>-139983.04000000001</v>
      </c>
    </row>
    <row r="237" spans="1:22" x14ac:dyDescent="0.35">
      <c r="E237" s="17" t="str">
        <f>HYPERLINK("https://stellar.myresman.com/#/GLAccounts/Detail/ff69b4ae-20a7-4d89-b7cd-55c9d9986efa?sd=06%2F01%2F2019%2000%3A00%3A00&amp;ed=08%2F31%2F2019%2000%3A00%3A00&amp;ab=Accrual&amp;pogid=74ebab12-2d0f-4d24-8804-b9708486f37f", "7405 Interest 2nd")</f>
        <v>7405 Interest 2nd</v>
      </c>
      <c r="F237" s="17"/>
      <c r="G237" s="17"/>
      <c r="H237" s="17"/>
      <c r="I237" s="2">
        <v>48476.639999999999</v>
      </c>
      <c r="J237" s="2">
        <v>48164.66</v>
      </c>
      <c r="K237" s="2">
        <v>0</v>
      </c>
      <c r="L237" s="2">
        <v>95329.19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191970.49</v>
      </c>
      <c r="V237" s="2">
        <v>144601.51</v>
      </c>
    </row>
    <row r="238" spans="1:22" x14ac:dyDescent="0.35">
      <c r="D238" s="15" t="s">
        <v>58</v>
      </c>
      <c r="E238" s="15"/>
      <c r="F238" s="15"/>
      <c r="G238" s="15"/>
      <c r="H238" s="15"/>
      <c r="I238" s="7">
        <v>48476.639999999999</v>
      </c>
      <c r="J238" s="7">
        <v>48164.66</v>
      </c>
      <c r="K238" s="7">
        <v>0</v>
      </c>
      <c r="L238" s="7">
        <v>95329.19</v>
      </c>
      <c r="M238" s="7">
        <v>47839.3</v>
      </c>
      <c r="N238" s="7">
        <v>47771.65</v>
      </c>
      <c r="O238" s="7">
        <v>47705.3</v>
      </c>
      <c r="P238" s="7">
        <v>47703.55</v>
      </c>
      <c r="Q238" s="7">
        <v>47498.14</v>
      </c>
      <c r="R238" s="7">
        <v>47497.64</v>
      </c>
      <c r="S238" s="7">
        <v>47428.46</v>
      </c>
      <c r="T238" s="7">
        <v>47359</v>
      </c>
      <c r="U238" s="7">
        <v>572773.53</v>
      </c>
      <c r="V238" s="7">
        <v>4618.47</v>
      </c>
    </row>
    <row r="240" spans="1:22" x14ac:dyDescent="0.35">
      <c r="D240" s="15" t="s">
        <v>59</v>
      </c>
      <c r="E240" s="15"/>
      <c r="F240" s="15"/>
      <c r="G240" s="15"/>
      <c r="H240" s="15"/>
    </row>
    <row r="241" spans="1:22" s="3" customFormat="1" x14ac:dyDescent="0.35">
      <c r="A241" s="4"/>
      <c r="B241" s="4"/>
      <c r="C241" s="4"/>
      <c r="D241" s="4"/>
      <c r="E241" s="18" t="str">
        <f>HYPERLINK("https://stellar.myresman.com/#/GLAccounts/Detail/a41fd2e7-02ab-47ac-a8e4-7557ed6d2629?sd=06%2F01%2F2019%2000%3A00%3A00&amp;ed=08%2F31%2F2019%2000%3A00%3A00&amp;ab=Accrual&amp;pogid=74ebab12-2d0f-4d24-8804-b9708486f37f", "7503 Appliances")</f>
        <v>7503 Appliances</v>
      </c>
      <c r="F241" s="18"/>
      <c r="G241" s="18"/>
      <c r="H241" s="18"/>
      <c r="I241" s="5">
        <v>1707.06</v>
      </c>
      <c r="J241" s="5">
        <v>151.72999999999999</v>
      </c>
      <c r="K241" s="5">
        <v>0</v>
      </c>
      <c r="L241" s="5">
        <v>0</v>
      </c>
      <c r="M241" s="5">
        <v>0</v>
      </c>
      <c r="N241" s="5">
        <v>6217.4</v>
      </c>
      <c r="O241" s="5">
        <v>6360.86</v>
      </c>
      <c r="P241" s="5">
        <v>668.98</v>
      </c>
      <c r="Q241" s="5">
        <v>2718.25</v>
      </c>
      <c r="R241" s="5">
        <v>1766.86</v>
      </c>
      <c r="S241" s="5">
        <v>4639.3900000000003</v>
      </c>
      <c r="T241" s="5">
        <v>5854.64</v>
      </c>
      <c r="U241" s="5">
        <v>30085.17</v>
      </c>
      <c r="V241" s="6">
        <v>-25085.17</v>
      </c>
    </row>
    <row r="242" spans="1:22" x14ac:dyDescent="0.35">
      <c r="E242" s="17" t="str">
        <f>HYPERLINK("https://stellar.myresman.com/#/GLAccounts/Detail/096419f6-bd0b-4175-ae26-a059e891cbd6?sd=06%2F01%2F2019%2000%3A00%3A00&amp;ed=08%2F31%2F2019%2000%3A00%3A00&amp;ab=Accrual&amp;pogid=74ebab12-2d0f-4d24-8804-b9708486f37f", "7504 Asphalt Parking / Paving Major")</f>
        <v>7504 Asphalt Parking / Paving Major</v>
      </c>
      <c r="F242" s="17"/>
      <c r="G242" s="17"/>
      <c r="H242" s="17"/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250</v>
      </c>
    </row>
    <row r="243" spans="1:22" s="3" customFormat="1" x14ac:dyDescent="0.35">
      <c r="A243" s="4"/>
      <c r="B243" s="4"/>
      <c r="C243" s="4"/>
      <c r="D243" s="4"/>
      <c r="E243" s="18" t="str">
        <f>HYPERLINK("https://stellar.myresman.com/#/GLAccounts/Detail/2957f02a-65fb-4163-999a-c193caaf6502?sd=06%2F01%2F2019%2000%3A00%3A00&amp;ed=08%2F31%2F2019%2000%3A00%3A00&amp;ab=Accrual&amp;pogid=74ebab12-2d0f-4d24-8804-b9708486f37f", "7506 Blinds")</f>
        <v>7506 Blinds</v>
      </c>
      <c r="F243" s="18"/>
      <c r="G243" s="18"/>
      <c r="H243" s="18"/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398.35</v>
      </c>
      <c r="O243" s="5">
        <v>0</v>
      </c>
      <c r="P243" s="5">
        <v>125.7</v>
      </c>
      <c r="Q243" s="5">
        <v>0</v>
      </c>
      <c r="R243" s="5">
        <v>0</v>
      </c>
      <c r="S243" s="5">
        <v>0</v>
      </c>
      <c r="T243" s="5">
        <v>0</v>
      </c>
      <c r="U243" s="5">
        <v>524.04999999999995</v>
      </c>
      <c r="V243" s="5">
        <v>975.95</v>
      </c>
    </row>
    <row r="244" spans="1:22" x14ac:dyDescent="0.35">
      <c r="E244" s="17" t="str">
        <f>HYPERLINK("https://stellar.myresman.com/#/GLAccounts/Detail/2e09b9c3-ec23-4656-9e42-13be143bf92f?sd=06%2F01%2F2019%2000%3A00%3A00&amp;ed=08%2F31%2F2019%2000%3A00%3A00&amp;ab=Accrual&amp;pogid=74ebab12-2d0f-4d24-8804-b9708486f37f", "7508 Building Improvements - Interior")</f>
        <v>7508 Building Improvements - Interior</v>
      </c>
      <c r="F244" s="17"/>
      <c r="G244" s="17"/>
      <c r="H244" s="17"/>
      <c r="I244" s="2">
        <v>0</v>
      </c>
      <c r="J244" s="2">
        <v>0</v>
      </c>
      <c r="K244" s="2">
        <v>0</v>
      </c>
      <c r="L244" s="2">
        <v>0</v>
      </c>
      <c r="M244" s="2">
        <v>2125</v>
      </c>
      <c r="N244" s="2">
        <v>1410</v>
      </c>
      <c r="O244" s="2">
        <v>2160</v>
      </c>
      <c r="P244" s="2">
        <v>5210</v>
      </c>
      <c r="Q244" s="2">
        <v>0</v>
      </c>
      <c r="R244" s="2">
        <v>0</v>
      </c>
      <c r="S244" s="2">
        <v>0</v>
      </c>
      <c r="T244" s="2">
        <v>2980</v>
      </c>
      <c r="U244" s="2">
        <v>13885</v>
      </c>
      <c r="V244" s="8">
        <v>-13885</v>
      </c>
    </row>
    <row r="245" spans="1:22" s="3" customFormat="1" x14ac:dyDescent="0.35">
      <c r="A245" s="4"/>
      <c r="B245" s="4"/>
      <c r="C245" s="4"/>
      <c r="D245" s="4"/>
      <c r="E245" s="18" t="str">
        <f>HYPERLINK("https://stellar.myresman.com/#/GLAccounts/Detail/f5521180-d101-429f-b97d-0d341f0787b1?sd=06%2F01%2F2019%2000%3A00%3A00&amp;ed=08%2F31%2F2019%2000%3A00%3A00&amp;ab=Accrual&amp;pogid=74ebab12-2d0f-4d24-8804-b9708486f37f", "7509 Building Improvements - Exterior")</f>
        <v>7509 Building Improvements - Exterior</v>
      </c>
      <c r="F245" s="18"/>
      <c r="G245" s="18"/>
      <c r="H245" s="18"/>
      <c r="I245" s="5">
        <v>0</v>
      </c>
      <c r="J245" s="5">
        <v>0</v>
      </c>
      <c r="K245" s="5">
        <v>0</v>
      </c>
      <c r="L245" s="5">
        <v>0</v>
      </c>
      <c r="M245" s="5">
        <v>650</v>
      </c>
      <c r="N245" s="5">
        <v>1100</v>
      </c>
      <c r="O245" s="5">
        <v>530</v>
      </c>
      <c r="P245" s="5">
        <v>13510</v>
      </c>
      <c r="Q245" s="5">
        <v>0</v>
      </c>
      <c r="R245" s="5">
        <v>825</v>
      </c>
      <c r="S245" s="5">
        <v>2400</v>
      </c>
      <c r="T245" s="5">
        <v>600</v>
      </c>
      <c r="U245" s="5">
        <v>19615</v>
      </c>
      <c r="V245" s="6">
        <v>-19365</v>
      </c>
    </row>
    <row r="246" spans="1:22" x14ac:dyDescent="0.35">
      <c r="E246" s="17" t="str">
        <f>HYPERLINK("https://stellar.myresman.com/#/GLAccounts/Detail/7ba37f13-5db8-4807-a3f1-36f9c6bf87d6?sd=06%2F01%2F2019%2000%3A00%3A00&amp;ed=08%2F31%2F2019%2000%3A00%3A00&amp;ab=Accrual&amp;pogid=74ebab12-2d0f-4d24-8804-b9708486f37f", "7510 Cabinets &amp; Countertop Replacement")</f>
        <v>7510 Cabinets &amp; Countertop Replacement</v>
      </c>
      <c r="F246" s="17"/>
      <c r="G246" s="17"/>
      <c r="H246" s="17"/>
      <c r="I246" s="2">
        <v>665</v>
      </c>
      <c r="J246" s="2">
        <v>0</v>
      </c>
      <c r="K246" s="2">
        <v>225</v>
      </c>
      <c r="L246" s="2">
        <v>0</v>
      </c>
      <c r="M246" s="2">
        <v>1900</v>
      </c>
      <c r="N246" s="2">
        <v>0</v>
      </c>
      <c r="O246" s="2">
        <v>760</v>
      </c>
      <c r="P246" s="2">
        <v>0</v>
      </c>
      <c r="Q246" s="2">
        <v>0</v>
      </c>
      <c r="R246" s="2">
        <v>760</v>
      </c>
      <c r="S246" s="2">
        <v>0</v>
      </c>
      <c r="T246" s="2">
        <v>0</v>
      </c>
      <c r="U246" s="2">
        <v>4310</v>
      </c>
      <c r="V246" s="8">
        <v>-1810</v>
      </c>
    </row>
    <row r="247" spans="1:22" s="3" customFormat="1" x14ac:dyDescent="0.35">
      <c r="A247" s="4"/>
      <c r="B247" s="4"/>
      <c r="C247" s="4"/>
      <c r="D247" s="4"/>
      <c r="E247" s="18" t="str">
        <f>HYPERLINK("https://stellar.myresman.com/#/GLAccounts/Detail/8f0c25bd-1c40-42e0-a01a-2e880fff0add?sd=06%2F01%2F2019%2000%3A00%3A00&amp;ed=08%2F31%2F2019%2000%3A00%3A00&amp;ab=Accrual&amp;pogid=74ebab12-2d0f-4d24-8804-b9708486f37f", "7514 Computer Repair/Replace")</f>
        <v>7514 Computer Repair/Replace</v>
      </c>
      <c r="F247" s="18"/>
      <c r="G247" s="18"/>
      <c r="H247" s="18"/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349.6</v>
      </c>
      <c r="P247" s="5">
        <v>0</v>
      </c>
      <c r="Q247" s="5">
        <v>0</v>
      </c>
      <c r="R247" s="5">
        <v>0</v>
      </c>
      <c r="S247" s="5">
        <v>2132.5</v>
      </c>
      <c r="T247" s="5">
        <v>315</v>
      </c>
      <c r="U247" s="5">
        <v>2797.1</v>
      </c>
      <c r="V247" s="6">
        <v>-2797.1</v>
      </c>
    </row>
    <row r="248" spans="1:22" x14ac:dyDescent="0.35">
      <c r="E248" s="17" t="str">
        <f>HYPERLINK("https://stellar.myresman.com/#/GLAccounts/Detail/a7092dd3-6720-40dc-b625-4baa39e9898d?sd=06%2F01%2F2019%2000%3A00%3A00&amp;ed=08%2F31%2F2019%2000%3A00%3A00&amp;ab=Accrual&amp;pogid=74ebab12-2d0f-4d24-8804-b9708486f37f", "7518 Dishwashers")</f>
        <v>7518 Dishwashers</v>
      </c>
      <c r="F248" s="17"/>
      <c r="G248" s="17"/>
      <c r="H248" s="17"/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627.70000000000005</v>
      </c>
      <c r="Q248" s="2">
        <v>0</v>
      </c>
      <c r="R248" s="2">
        <v>330.14</v>
      </c>
      <c r="S248" s="2">
        <v>0</v>
      </c>
      <c r="T248" s="2">
        <v>0</v>
      </c>
      <c r="U248" s="2">
        <v>957.84</v>
      </c>
      <c r="V248" s="8">
        <v>-957.84</v>
      </c>
    </row>
    <row r="249" spans="1:22" s="3" customFormat="1" x14ac:dyDescent="0.35">
      <c r="A249" s="4"/>
      <c r="B249" s="4"/>
      <c r="C249" s="4"/>
      <c r="D249" s="4"/>
      <c r="E249" s="18" t="str">
        <f>HYPERLINK("https://stellar.myresman.com/#/GLAccounts/Detail/b10f5470-2996-4c3e-aa02-f0b28b0bbfff?sd=06%2F01%2F2019%2000%3A00%3A00&amp;ed=08%2F31%2F2019%2000%3A00%3A00&amp;ab=Accrual&amp;pogid=74ebab12-2d0f-4d24-8804-b9708486f37f", "7520 Door Replacements")</f>
        <v>7520 Door Replacements</v>
      </c>
      <c r="F249" s="18"/>
      <c r="G249" s="18"/>
      <c r="H249" s="18"/>
      <c r="I249" s="5">
        <v>1405.31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1405.31</v>
      </c>
      <c r="V249" s="5">
        <v>1594.69</v>
      </c>
    </row>
    <row r="250" spans="1:22" x14ac:dyDescent="0.35">
      <c r="E250" s="17" t="str">
        <f>HYPERLINK("https://stellar.myresman.com/#/GLAccounts/Detail/b26d9430-b8d9-44df-9dcb-1c40db36fb2f?sd=06%2F01%2F2019%2000%3A00%3A00&amp;ed=08%2F31%2F2019%2000%3A00%3A00&amp;ab=Accrual&amp;pogid=74ebab12-2d0f-4d24-8804-b9708486f37f", "7522 Electrical Fixtures")</f>
        <v>7522 Electrical Fixtures</v>
      </c>
      <c r="F250" s="17"/>
      <c r="G250" s="17"/>
      <c r="H250" s="17"/>
      <c r="I250" s="2">
        <v>0</v>
      </c>
      <c r="J250" s="2">
        <v>0</v>
      </c>
      <c r="K250" s="2">
        <v>0</v>
      </c>
      <c r="L250" s="2">
        <v>0</v>
      </c>
      <c r="M250" s="2">
        <v>696.11</v>
      </c>
      <c r="N250" s="2">
        <v>1807.05</v>
      </c>
      <c r="O250" s="2">
        <v>0</v>
      </c>
      <c r="P250" s="2">
        <v>786.97</v>
      </c>
      <c r="Q250" s="2">
        <v>434.36</v>
      </c>
      <c r="R250" s="2">
        <v>1153.6099999999999</v>
      </c>
      <c r="S250" s="2">
        <v>133.85</v>
      </c>
      <c r="T250" s="2">
        <v>734.13</v>
      </c>
      <c r="U250" s="2">
        <v>5746.08</v>
      </c>
      <c r="V250" s="8">
        <v>-4746.08</v>
      </c>
    </row>
    <row r="251" spans="1:22" s="3" customFormat="1" x14ac:dyDescent="0.35">
      <c r="A251" s="4"/>
      <c r="B251" s="4"/>
      <c r="C251" s="4"/>
      <c r="D251" s="4"/>
      <c r="E251" s="18" t="str">
        <f>HYPERLINK("https://stellar.myresman.com/#/GLAccounts/Detail/5bfbb8d3-0cfe-4f2b-b9bf-d5fecf98b309?sd=06%2F01%2F2019%2000%3A00%3A00&amp;ed=08%2F31%2F2019%2000%3A00%3A00&amp;ab=Accrual&amp;pogid=74ebab12-2d0f-4d24-8804-b9708486f37f", "7526 Exercise Equipment Repair/Replace")</f>
        <v>7526 Exercise Equipment Repair/Replace</v>
      </c>
      <c r="F251" s="18"/>
      <c r="G251" s="18"/>
      <c r="H251" s="18"/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137.46</v>
      </c>
      <c r="S251" s="5">
        <v>115</v>
      </c>
      <c r="T251" s="5">
        <v>0</v>
      </c>
      <c r="U251" s="5">
        <v>252.46</v>
      </c>
      <c r="V251" s="6">
        <v>-252.46</v>
      </c>
    </row>
    <row r="252" spans="1:22" x14ac:dyDescent="0.35">
      <c r="E252" s="17" t="str">
        <f>HYPERLINK("https://stellar.myresman.com/#/GLAccounts/Detail/3650fd67-6ebe-4751-8d92-b44fee429478?sd=06%2F01%2F2019%2000%3A00%3A00&amp;ed=08%2F31%2F2019%2000%3A00%3A00&amp;ab=Accrual&amp;pogid=74ebab12-2d0f-4d24-8804-b9708486f37f", "7528 Exterior Repairs - Major")</f>
        <v>7528 Exterior Repairs - Major</v>
      </c>
      <c r="F252" s="17"/>
      <c r="G252" s="17"/>
      <c r="H252" s="17"/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850</v>
      </c>
      <c r="S252" s="2">
        <v>0</v>
      </c>
      <c r="T252" s="2">
        <v>0</v>
      </c>
      <c r="U252" s="2">
        <v>850</v>
      </c>
      <c r="V252" s="8">
        <v>-850</v>
      </c>
    </row>
    <row r="253" spans="1:22" s="3" customFormat="1" x14ac:dyDescent="0.35">
      <c r="A253" s="4"/>
      <c r="B253" s="4"/>
      <c r="C253" s="4"/>
      <c r="D253" s="4"/>
      <c r="E253" s="18" t="str">
        <f>HYPERLINK("https://stellar.myresman.com/#/GLAccounts/Detail/d149c3c5-3f53-4718-8a2c-1c9a8b97fe0c?sd=06%2F01%2F2019%2000%3A00%3A00&amp;ed=08%2F31%2F2019%2000%3A00%3A00&amp;ab=Accrual&amp;pogid=74ebab12-2d0f-4d24-8804-b9708486f37f", "7534 Floor Covering - Carpet")</f>
        <v>7534 Floor Covering - Carpet</v>
      </c>
      <c r="F253" s="18"/>
      <c r="G253" s="18"/>
      <c r="H253" s="18"/>
      <c r="I253" s="5">
        <v>0</v>
      </c>
      <c r="J253" s="5">
        <v>515.89</v>
      </c>
      <c r="K253" s="5">
        <v>177.99</v>
      </c>
      <c r="L253" s="5">
        <v>156.4</v>
      </c>
      <c r="M253" s="5">
        <v>0</v>
      </c>
      <c r="N253" s="5">
        <v>0</v>
      </c>
      <c r="O253" s="5">
        <v>0</v>
      </c>
      <c r="P253" s="5">
        <v>0</v>
      </c>
      <c r="Q253" s="5">
        <v>80</v>
      </c>
      <c r="R253" s="5">
        <v>1065.21</v>
      </c>
      <c r="S253" s="5">
        <v>0</v>
      </c>
      <c r="T253" s="5">
        <v>0</v>
      </c>
      <c r="U253" s="5">
        <v>1995.49</v>
      </c>
      <c r="V253" s="5">
        <v>879.51</v>
      </c>
    </row>
    <row r="254" spans="1:22" x14ac:dyDescent="0.35">
      <c r="E254" s="17" t="str">
        <f>HYPERLINK("https://stellar.myresman.com/#/GLAccounts/Detail/4f0a1dfc-264b-4324-b01f-f04a79e44449?sd=06%2F01%2F2019%2000%3A00%3A00&amp;ed=08%2F31%2F2019%2000%3A00%3A00&amp;ab=Accrual&amp;pogid=74ebab12-2d0f-4d24-8804-b9708486f37f", "7536 Floor Covering - Vinyl/Tile/Wood")</f>
        <v>7536 Floor Covering - Vinyl/Tile/Wood</v>
      </c>
      <c r="F254" s="17"/>
      <c r="G254" s="17"/>
      <c r="H254" s="17"/>
      <c r="I254" s="2">
        <v>2251.0700000000002</v>
      </c>
      <c r="J254" s="2">
        <v>2727.78</v>
      </c>
      <c r="K254" s="2">
        <v>3868.22</v>
      </c>
      <c r="L254" s="2">
        <v>0</v>
      </c>
      <c r="M254" s="2">
        <v>-156.4</v>
      </c>
      <c r="N254" s="2">
        <v>8533.33</v>
      </c>
      <c r="O254" s="2">
        <v>4541.1000000000004</v>
      </c>
      <c r="P254" s="2">
        <v>2515.9699999999998</v>
      </c>
      <c r="Q254" s="2">
        <v>4389.6099999999997</v>
      </c>
      <c r="R254" s="2">
        <v>3752.93</v>
      </c>
      <c r="S254" s="2">
        <v>5131.68</v>
      </c>
      <c r="T254" s="2">
        <v>5649.95</v>
      </c>
      <c r="U254" s="2">
        <v>43205.24</v>
      </c>
      <c r="V254" s="8">
        <v>-23205.24</v>
      </c>
    </row>
    <row r="255" spans="1:22" s="3" customFormat="1" x14ac:dyDescent="0.35">
      <c r="A255" s="4"/>
      <c r="B255" s="4"/>
      <c r="C255" s="4"/>
      <c r="D255" s="4"/>
      <c r="E255" s="18" t="str">
        <f>HYPERLINK("https://stellar.myresman.com/#/GLAccounts/Detail/d6fcecda-0126-49b5-9cc3-fa175c8ec2cf?sd=06%2F01%2F2019%2000%3A00%3A00&amp;ed=08%2F31%2F2019%2000%3A00%3A00&amp;ab=Accrual&amp;pogid=74ebab12-2d0f-4d24-8804-b9708486f37f", "7538 Furniture")</f>
        <v>7538 Furniture</v>
      </c>
      <c r="F255" s="18"/>
      <c r="G255" s="18"/>
      <c r="H255" s="18"/>
      <c r="I255" s="5">
        <v>0</v>
      </c>
      <c r="J255" s="5">
        <v>0</v>
      </c>
      <c r="K255" s="5">
        <v>263.41000000000003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5">
        <v>263.41000000000003</v>
      </c>
      <c r="V255" s="5">
        <v>736.59</v>
      </c>
    </row>
    <row r="256" spans="1:22" x14ac:dyDescent="0.35">
      <c r="E256" s="17" t="str">
        <f>HYPERLINK("https://stellar.myresman.com/#/GLAccounts/Detail/04ba9488-ed78-448f-8fc4-c9ff1eb1c28a?sd=06%2F01%2F2019%2000%3A00%3A00&amp;ed=08%2F31%2F2019%2000%3A00%3A00&amp;ab=Accrual&amp;pogid=74ebab12-2d0f-4d24-8804-b9708486f37f", "7542 Garbage Disposals")</f>
        <v>7542 Garbage Disposals</v>
      </c>
      <c r="F256" s="17"/>
      <c r="G256" s="17"/>
      <c r="H256" s="17"/>
      <c r="I256" s="2">
        <v>-2.67</v>
      </c>
      <c r="J256" s="2">
        <v>65.69</v>
      </c>
      <c r="K256" s="2">
        <v>0</v>
      </c>
      <c r="L256" s="2">
        <v>72.59</v>
      </c>
      <c r="M256" s="2">
        <v>0</v>
      </c>
      <c r="N256" s="2">
        <v>377.88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513.49</v>
      </c>
      <c r="V256" s="8">
        <v>-13.49</v>
      </c>
    </row>
    <row r="257" spans="1:22" s="3" customFormat="1" x14ac:dyDescent="0.35">
      <c r="A257" s="4"/>
      <c r="B257" s="4"/>
      <c r="C257" s="4"/>
      <c r="D257" s="4"/>
      <c r="E257" s="18" t="str">
        <f>HYPERLINK("https://stellar.myresman.com/#/GLAccounts/Detail/e2c5e3f9-ab5e-404f-b196-8460fd105690?sd=06%2F01%2F2019%2000%3A00%3A00&amp;ed=08%2F31%2F2019%2000%3A00%3A00&amp;ab=Accrual&amp;pogid=74ebab12-2d0f-4d24-8804-b9708486f37f", "7544 HVAC Replacements")</f>
        <v>7544 HVAC Replacements</v>
      </c>
      <c r="F257" s="18"/>
      <c r="G257" s="18"/>
      <c r="H257" s="18"/>
      <c r="I257" s="5">
        <v>917.79</v>
      </c>
      <c r="J257" s="5">
        <v>3094.7</v>
      </c>
      <c r="K257" s="5">
        <v>1177.43</v>
      </c>
      <c r="L257" s="5">
        <v>2059.84</v>
      </c>
      <c r="M257" s="5">
        <v>0</v>
      </c>
      <c r="N257" s="5">
        <v>0</v>
      </c>
      <c r="O257" s="5">
        <v>0</v>
      </c>
      <c r="P257" s="5">
        <v>2747.38</v>
      </c>
      <c r="Q257" s="5">
        <v>0</v>
      </c>
      <c r="R257" s="5">
        <v>2731.53</v>
      </c>
      <c r="S257" s="5">
        <v>2524.9499999999998</v>
      </c>
      <c r="T257" s="5">
        <v>2484.2800000000002</v>
      </c>
      <c r="U257" s="5">
        <v>17737.900000000001</v>
      </c>
      <c r="V257" s="6">
        <v>-10237.9</v>
      </c>
    </row>
    <row r="258" spans="1:22" x14ac:dyDescent="0.35">
      <c r="E258" s="17" t="str">
        <f>HYPERLINK("https://stellar.myresman.com/#/GLAccounts/Detail/318ebf3f-f8f9-42b2-a713-bfd7eb68876d?sd=06%2F01%2F2019%2000%3A00%3A00&amp;ed=08%2F31%2F2019%2000%3A00%3A00&amp;ab=Accrual&amp;pogid=74ebab12-2d0f-4d24-8804-b9708486f37f", "7550 Landscape Improvements")</f>
        <v>7550 Landscape Improvements</v>
      </c>
      <c r="F258" s="17"/>
      <c r="G258" s="17"/>
      <c r="H258" s="17"/>
      <c r="I258" s="2">
        <v>0</v>
      </c>
      <c r="J258" s="2">
        <v>0</v>
      </c>
      <c r="K258" s="2">
        <v>5684.58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5684.58</v>
      </c>
      <c r="V258" s="8">
        <v>-3184.58</v>
      </c>
    </row>
    <row r="259" spans="1:22" s="3" customFormat="1" x14ac:dyDescent="0.35">
      <c r="A259" s="4"/>
      <c r="B259" s="4"/>
      <c r="C259" s="4"/>
      <c r="D259" s="4"/>
      <c r="E259" s="18" t="str">
        <f>HYPERLINK("https://stellar.myresman.com/#/GLAccounts/Detail/c304a249-679b-415d-b5c7-4a30499b2d2a?sd=06%2F01%2F2019%2000%3A00%3A00&amp;ed=08%2F31%2F2019%2000%3A00%3A00&amp;ab=Accrual&amp;pogid=74ebab12-2d0f-4d24-8804-b9708486f37f", "7556 Paint &amp; Sheetrock - Interior")</f>
        <v>7556 Paint &amp; Sheetrock - Interior</v>
      </c>
      <c r="F259" s="18"/>
      <c r="G259" s="18"/>
      <c r="H259" s="18"/>
      <c r="I259" s="5">
        <v>0</v>
      </c>
      <c r="J259" s="5">
        <v>0</v>
      </c>
      <c r="K259" s="5">
        <v>0</v>
      </c>
      <c r="L259" s="5">
        <v>0</v>
      </c>
      <c r="M259" s="5">
        <v>930</v>
      </c>
      <c r="N259" s="5">
        <v>515</v>
      </c>
      <c r="O259" s="5">
        <v>1455</v>
      </c>
      <c r="P259" s="5">
        <v>2340</v>
      </c>
      <c r="Q259" s="5">
        <v>700</v>
      </c>
      <c r="R259" s="5">
        <v>750</v>
      </c>
      <c r="S259" s="5">
        <v>545</v>
      </c>
      <c r="T259" s="5">
        <v>75</v>
      </c>
      <c r="U259" s="5">
        <v>7310</v>
      </c>
      <c r="V259" s="6">
        <v>-6560</v>
      </c>
    </row>
    <row r="260" spans="1:22" x14ac:dyDescent="0.35">
      <c r="E260" s="17" t="str">
        <f>HYPERLINK("https://stellar.myresman.com/#/GLAccounts/Detail/d87d5ec5-db0f-47d0-a633-277feee01f7d?sd=06%2F01%2F2019%2000%3A00%3A00&amp;ed=08%2F31%2F2019%2000%3A00%3A00&amp;ab=Accrual&amp;pogid=74ebab12-2d0f-4d24-8804-b9708486f37f", "7560 Plumbing Replacement/Repair")</f>
        <v>7560 Plumbing Replacement/Repair</v>
      </c>
      <c r="F260" s="17"/>
      <c r="G260" s="17"/>
      <c r="H260" s="17"/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11002.5</v>
      </c>
      <c r="R260" s="2">
        <v>5362.94</v>
      </c>
      <c r="S260" s="2">
        <v>6517.4</v>
      </c>
      <c r="T260" s="2">
        <v>0</v>
      </c>
      <c r="U260" s="2">
        <v>22882.84</v>
      </c>
      <c r="V260" s="8">
        <v>-22007.84</v>
      </c>
    </row>
    <row r="261" spans="1:22" s="3" customFormat="1" x14ac:dyDescent="0.35">
      <c r="A261" s="4"/>
      <c r="B261" s="4"/>
      <c r="C261" s="4"/>
      <c r="D261" s="4"/>
      <c r="E261" s="18" t="str">
        <f>HYPERLINK("https://stellar.myresman.com/#/GLAccounts/Detail/643f7226-a63f-447b-99e0-73f334d5d1e2?sd=06%2F01%2F2019%2000%3A00%3A00&amp;ed=08%2F31%2F2019%2000%3A00%3A00&amp;ab=Accrual&amp;pogid=74ebab12-2d0f-4d24-8804-b9708486f37f", "7562 Pool Repairs")</f>
        <v>7562 Pool Repairs</v>
      </c>
      <c r="F261" s="18"/>
      <c r="G261" s="18"/>
      <c r="H261" s="18"/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2640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2640</v>
      </c>
      <c r="V261" s="6">
        <v>-640</v>
      </c>
    </row>
    <row r="262" spans="1:22" x14ac:dyDescent="0.35">
      <c r="E262" s="17" t="str">
        <f>HYPERLINK("https://stellar.myresman.com/#/GLAccounts/Detail/cf14aaad-b3ab-42fa-bdee-fbf38578b9cb?sd=06%2F01%2F2019%2000%3A00%3A00&amp;ed=08%2F31%2F2019%2000%3A00%3A00&amp;ab=Accrual&amp;pogid=74ebab12-2d0f-4d24-8804-b9708486f37f", "7566 Roof Replacement")</f>
        <v>7566 Roof Replacement</v>
      </c>
      <c r="F262" s="17"/>
      <c r="G262" s="17"/>
      <c r="H262" s="17"/>
      <c r="I262" s="2">
        <v>33690</v>
      </c>
      <c r="J262" s="2">
        <v>1913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35603</v>
      </c>
      <c r="V262" s="8">
        <v>-25603</v>
      </c>
    </row>
    <row r="263" spans="1:22" s="3" customFormat="1" x14ac:dyDescent="0.35">
      <c r="A263" s="4"/>
      <c r="B263" s="4"/>
      <c r="C263" s="4"/>
      <c r="D263" s="4"/>
      <c r="E263" s="18" t="str">
        <f>HYPERLINK("https://stellar.myresman.com/#/GLAccounts/Detail/e6108f0e-4277-43dd-8231-44ebd49da299?sd=06%2F01%2F2019%2000%3A00%3A00&amp;ed=08%2F31%2F2019%2000%3A00%3A00&amp;ab=Accrual&amp;pogid=74ebab12-2d0f-4d24-8804-b9708486f37f", "7568 Signage")</f>
        <v>7568 Signage</v>
      </c>
      <c r="F263" s="18"/>
      <c r="G263" s="18"/>
      <c r="H263" s="18"/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774.93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774.93</v>
      </c>
      <c r="V263" s="6">
        <v>-774.93</v>
      </c>
    </row>
    <row r="264" spans="1:22" x14ac:dyDescent="0.35">
      <c r="E264" s="17" t="str">
        <f>HYPERLINK("https://stellar.myresman.com/#/GLAccounts/Detail/424576ee-f494-4076-91b6-0f5e7c2aacec?sd=06%2F01%2F2019%2000%3A00%3A00&amp;ed=08%2F31%2F2019%2000%3A00%3A00&amp;ab=Accrual&amp;pogid=74ebab12-2d0f-4d24-8804-b9708486f37f", "7574 Washer/Dryer")</f>
        <v>7574 Washer/Dryer</v>
      </c>
      <c r="F264" s="17"/>
      <c r="G264" s="17"/>
      <c r="H264" s="17"/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10219.129999999999</v>
      </c>
      <c r="P264" s="2">
        <v>0</v>
      </c>
      <c r="Q264" s="2">
        <v>5520.37</v>
      </c>
      <c r="R264" s="2">
        <v>0</v>
      </c>
      <c r="S264" s="2">
        <v>3214.87</v>
      </c>
      <c r="T264" s="2">
        <v>0</v>
      </c>
      <c r="U264" s="2">
        <v>18954.37</v>
      </c>
      <c r="V264" s="8">
        <v>-18954.37</v>
      </c>
    </row>
    <row r="265" spans="1:22" s="3" customFormat="1" x14ac:dyDescent="0.35">
      <c r="A265" s="4"/>
      <c r="B265" s="4"/>
      <c r="C265" s="4"/>
      <c r="D265" s="4"/>
      <c r="E265" s="18" t="str">
        <f>HYPERLINK("https://stellar.myresman.com/#/GLAccounts/Detail/8534764d-8c95-418d-a01a-6bdc5eb80038?sd=06%2F01%2F2019%2000%3A00%3A00&amp;ed=08%2F31%2F2019%2000%3A00%3A00&amp;ab=Accrual&amp;pogid=74ebab12-2d0f-4d24-8804-b9708486f37f", "7576 Water Heaters")</f>
        <v>7576 Water Heaters</v>
      </c>
      <c r="F265" s="18"/>
      <c r="G265" s="18"/>
      <c r="H265" s="18"/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10625</v>
      </c>
      <c r="R265" s="5">
        <v>12452.5</v>
      </c>
      <c r="S265" s="5">
        <v>0</v>
      </c>
      <c r="T265" s="5">
        <v>0</v>
      </c>
      <c r="U265" s="5">
        <v>23077.5</v>
      </c>
      <c r="V265" s="6">
        <v>-23077.5</v>
      </c>
    </row>
    <row r="266" spans="1:22" x14ac:dyDescent="0.35">
      <c r="E266" s="17" t="str">
        <f>HYPERLINK("https://stellar.myresman.com/#/GLAccounts/Detail/b3b0cf54-f3e2-49cf-bdbd-58c6d524d3c7?sd=06%2F01%2F2019%2000%3A00%3A00&amp;ed=08%2F31%2F2019%2000%3A00%3A00&amp;ab=Accrual&amp;pogid=74ebab12-2d0f-4d24-8804-b9708486f37f", "7578 Window &amp; Screen Replacement")</f>
        <v>7578 Window &amp; Screen Replacement</v>
      </c>
      <c r="F266" s="17"/>
      <c r="G266" s="17"/>
      <c r="H266" s="17"/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6035.09</v>
      </c>
      <c r="S266" s="2">
        <v>1070.5</v>
      </c>
      <c r="T266" s="2">
        <v>0</v>
      </c>
      <c r="U266" s="2">
        <v>7105.59</v>
      </c>
      <c r="V266" s="8">
        <v>-6355.59</v>
      </c>
    </row>
    <row r="267" spans="1:22" s="3" customFormat="1" x14ac:dyDescent="0.35">
      <c r="A267" s="4"/>
      <c r="B267" s="4"/>
      <c r="C267" s="4"/>
      <c r="D267" s="4"/>
      <c r="E267" s="18" t="str">
        <f>HYPERLINK("https://stellar.myresman.com/#/GLAccounts/Detail/537ebc38-bb0e-4563-86a9-39597599c1bf?sd=06%2F01%2F2019%2000%3A00%3A00&amp;ed=08%2F31%2F2019%2000%3A00%3A00&amp;ab=Accrual&amp;pogid=74ebab12-2d0f-4d24-8804-b9708486f37f", "7580 Other Exterior Replacement")</f>
        <v>7580 Other Exterior Replacement</v>
      </c>
      <c r="F267" s="18"/>
      <c r="G267" s="18"/>
      <c r="H267" s="18"/>
      <c r="I267" s="5">
        <v>1551.72</v>
      </c>
      <c r="J267" s="5">
        <v>0</v>
      </c>
      <c r="K267" s="5">
        <v>2125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9367.85</v>
      </c>
      <c r="U267" s="5">
        <v>13044.57</v>
      </c>
      <c r="V267" s="6">
        <v>-7044.57</v>
      </c>
    </row>
    <row r="268" spans="1:22" x14ac:dyDescent="0.35">
      <c r="E268" s="17" t="str">
        <f>HYPERLINK("https://stellar.myresman.com/#/GLAccounts/Detail/8570427d-6a5a-4c38-aadb-200062332604?sd=06%2F01%2F2019%2000%3A00%3A00&amp;ed=08%2F31%2F2019%2000%3A00%3A00&amp;ab=Accrual&amp;pogid=74ebab12-2d0f-4d24-8804-b9708486f37f", "7582 Other Interior Replacement")</f>
        <v>7582 Other Interior Replacement</v>
      </c>
      <c r="F268" s="17"/>
      <c r="G268" s="17"/>
      <c r="H268" s="17"/>
      <c r="I268" s="2">
        <v>0</v>
      </c>
      <c r="J268" s="2">
        <v>0</v>
      </c>
      <c r="K268" s="2">
        <v>125</v>
      </c>
      <c r="L268" s="2">
        <v>1589.96</v>
      </c>
      <c r="M268" s="2">
        <v>0</v>
      </c>
      <c r="N268" s="2">
        <v>39968.449999999997</v>
      </c>
      <c r="O268" s="2">
        <v>0</v>
      </c>
      <c r="P268" s="2">
        <v>0</v>
      </c>
      <c r="Q268" s="2">
        <v>800</v>
      </c>
      <c r="R268" s="2">
        <v>613.6</v>
      </c>
      <c r="S268" s="2">
        <v>1414.4</v>
      </c>
      <c r="T268" s="2">
        <v>1090</v>
      </c>
      <c r="U268" s="2">
        <v>45601.41</v>
      </c>
      <c r="V268" s="8">
        <v>-44601.41</v>
      </c>
    </row>
    <row r="269" spans="1:22" s="3" customFormat="1" x14ac:dyDescent="0.35">
      <c r="A269" s="4"/>
      <c r="B269" s="4"/>
      <c r="C269" s="4"/>
      <c r="D269" s="4"/>
      <c r="E269" s="18" t="str">
        <f>HYPERLINK("https://stellar.myresman.com/#/GLAccounts/Detail/7108600e-7ccc-4623-a6a7-c5f842fa12ba?sd=06%2F01%2F2019%2000%3A00%3A00&amp;ed=08%2F31%2F2019%2000%3A00%3A00&amp;ab=Accrual&amp;pogid=74ebab12-2d0f-4d24-8804-b9708486f37f", "7583 Marketing")</f>
        <v>7583 Marketing</v>
      </c>
      <c r="F269" s="18"/>
      <c r="G269" s="18"/>
      <c r="H269" s="18"/>
      <c r="I269" s="5">
        <v>149.41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U269" s="5">
        <v>149.41</v>
      </c>
      <c r="V269" s="6">
        <v>-149.41</v>
      </c>
    </row>
    <row r="270" spans="1:22" x14ac:dyDescent="0.35">
      <c r="D270" s="15" t="s">
        <v>60</v>
      </c>
      <c r="E270" s="15"/>
      <c r="F270" s="15"/>
      <c r="G270" s="15"/>
      <c r="H270" s="15"/>
      <c r="I270" s="7">
        <v>42334.69</v>
      </c>
      <c r="J270" s="7">
        <v>8468.7900000000009</v>
      </c>
      <c r="K270" s="7">
        <v>13646.63</v>
      </c>
      <c r="L270" s="7">
        <v>3878.79</v>
      </c>
      <c r="M270" s="7">
        <v>6144.71</v>
      </c>
      <c r="N270" s="7">
        <v>62967.46</v>
      </c>
      <c r="O270" s="7">
        <v>27150.62</v>
      </c>
      <c r="P270" s="7">
        <v>28532.7</v>
      </c>
      <c r="Q270" s="7">
        <v>36270.089999999997</v>
      </c>
      <c r="R270" s="7">
        <v>38586.870000000003</v>
      </c>
      <c r="S270" s="7">
        <v>29839.54</v>
      </c>
      <c r="T270" s="7">
        <v>29150.85</v>
      </c>
      <c r="U270" s="7">
        <v>326971.74</v>
      </c>
      <c r="V270" s="9">
        <v>-257721.74</v>
      </c>
    </row>
    <row r="272" spans="1:22" x14ac:dyDescent="0.35">
      <c r="D272" s="17" t="str">
        <f>HYPERLINK("https://stellar.myresman.com/#/GLAccounts/Detail/c2f956d3-a9f4-4c93-939d-e2c8bea3b328?sd=06%2F01%2F2019%2000%3A00%3A00&amp;ed=08%2F31%2F2019%2000%3A00%3A00&amp;ab=Accrual&amp;pogid=74ebab12-2d0f-4d24-8804-b9708486f37f", "8000 Renovation Expenditure")</f>
        <v>8000 Renovation Expenditure</v>
      </c>
      <c r="E272" s="17"/>
      <c r="F272" s="17"/>
      <c r="G272" s="17"/>
      <c r="H272" s="17"/>
      <c r="I272" s="2">
        <v>14248.17</v>
      </c>
      <c r="J272" s="2">
        <v>16827.22</v>
      </c>
      <c r="K272" s="2">
        <v>3328.37</v>
      </c>
      <c r="L272" s="2">
        <v>34534.32</v>
      </c>
      <c r="M272" s="2">
        <v>7599.54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76537.62</v>
      </c>
      <c r="V272" s="8">
        <v>-29037.62</v>
      </c>
    </row>
    <row r="273" spans="1:22" x14ac:dyDescent="0.35">
      <c r="C273" s="15" t="s">
        <v>61</v>
      </c>
      <c r="D273" s="15"/>
      <c r="E273" s="15"/>
      <c r="F273" s="15"/>
      <c r="G273" s="15"/>
      <c r="H273" s="15"/>
      <c r="I273" s="7">
        <v>105059.5</v>
      </c>
      <c r="J273" s="7">
        <v>73460.67</v>
      </c>
      <c r="K273" s="7">
        <v>16975</v>
      </c>
      <c r="L273" s="7">
        <v>133742.29999999999</v>
      </c>
      <c r="M273" s="7">
        <v>61583.55</v>
      </c>
      <c r="N273" s="7">
        <v>110739.11</v>
      </c>
      <c r="O273" s="7">
        <v>74855.92</v>
      </c>
      <c r="P273" s="7">
        <v>76236.25</v>
      </c>
      <c r="Q273" s="7">
        <v>83768.23</v>
      </c>
      <c r="R273" s="7">
        <v>86084.51</v>
      </c>
      <c r="S273" s="7">
        <v>77268</v>
      </c>
      <c r="T273" s="7">
        <v>76509.850000000006</v>
      </c>
      <c r="U273" s="7">
        <v>976282.89</v>
      </c>
      <c r="V273" s="9">
        <v>-282140.89</v>
      </c>
    </row>
    <row r="275" spans="1:22" x14ac:dyDescent="0.35">
      <c r="A275" s="15" t="s">
        <v>62</v>
      </c>
      <c r="B275" s="15"/>
      <c r="C275" s="15"/>
      <c r="D275" s="15"/>
      <c r="E275" s="15"/>
      <c r="F275" s="15"/>
      <c r="G275" s="15"/>
      <c r="H275" s="15"/>
      <c r="I275" s="7">
        <v>5627.29</v>
      </c>
      <c r="J275" s="7">
        <v>34925.67</v>
      </c>
      <c r="K275" s="7">
        <v>109645.13</v>
      </c>
      <c r="L275" s="7">
        <v>-50218.61</v>
      </c>
      <c r="M275" s="7">
        <v>47205.64</v>
      </c>
      <c r="N275" s="7">
        <v>-4311.8900000000003</v>
      </c>
      <c r="O275" s="7">
        <v>22162.52</v>
      </c>
      <c r="P275" s="7">
        <v>48178.89</v>
      </c>
      <c r="Q275" s="7">
        <v>41969.72</v>
      </c>
      <c r="R275" s="7">
        <v>16732.84</v>
      </c>
      <c r="S275" s="7">
        <v>37789.760000000002</v>
      </c>
      <c r="T275" s="7">
        <v>29739.17</v>
      </c>
      <c r="U275" s="7">
        <v>339446.13</v>
      </c>
      <c r="V275" s="9">
        <v>-265633.44</v>
      </c>
    </row>
    <row r="278" spans="1:22" ht="12.5" x14ac:dyDescent="0.35">
      <c r="A278" s="19" t="s">
        <v>63</v>
      </c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</row>
  </sheetData>
  <mergeCells count="246">
    <mergeCell ref="C273:H273"/>
    <mergeCell ref="A275:H275"/>
    <mergeCell ref="A278:V278"/>
    <mergeCell ref="E263:H263"/>
    <mergeCell ref="E264:H264"/>
    <mergeCell ref="E265:H265"/>
    <mergeCell ref="E266:H266"/>
    <mergeCell ref="E267:H267"/>
    <mergeCell ref="E268:H268"/>
    <mergeCell ref="E269:H269"/>
    <mergeCell ref="D270:H270"/>
    <mergeCell ref="D272:H272"/>
    <mergeCell ref="E254:H254"/>
    <mergeCell ref="E255:H255"/>
    <mergeCell ref="E256:H256"/>
    <mergeCell ref="E257:H257"/>
    <mergeCell ref="E258:H258"/>
    <mergeCell ref="E259:H259"/>
    <mergeCell ref="E260:H260"/>
    <mergeCell ref="E261:H261"/>
    <mergeCell ref="E262:H262"/>
    <mergeCell ref="E245:H245"/>
    <mergeCell ref="E246:H246"/>
    <mergeCell ref="E247:H247"/>
    <mergeCell ref="E248:H248"/>
    <mergeCell ref="E249:H249"/>
    <mergeCell ref="E250:H250"/>
    <mergeCell ref="E251:H251"/>
    <mergeCell ref="E252:H252"/>
    <mergeCell ref="E253:H253"/>
    <mergeCell ref="D235:H235"/>
    <mergeCell ref="E236:H236"/>
    <mergeCell ref="E237:H237"/>
    <mergeCell ref="D238:H238"/>
    <mergeCell ref="D240:H240"/>
    <mergeCell ref="E241:H241"/>
    <mergeCell ref="E242:H242"/>
    <mergeCell ref="E243:H243"/>
    <mergeCell ref="E244:H244"/>
    <mergeCell ref="E222:H222"/>
    <mergeCell ref="E223:H223"/>
    <mergeCell ref="D224:H224"/>
    <mergeCell ref="C226:H226"/>
    <mergeCell ref="B228:H228"/>
    <mergeCell ref="C230:H230"/>
    <mergeCell ref="D231:H231"/>
    <mergeCell ref="C232:H232"/>
    <mergeCell ref="C234:H234"/>
    <mergeCell ref="E212:H212"/>
    <mergeCell ref="E213:H213"/>
    <mergeCell ref="E214:H214"/>
    <mergeCell ref="E215:H215"/>
    <mergeCell ref="E216:H216"/>
    <mergeCell ref="E217:H217"/>
    <mergeCell ref="E218:H218"/>
    <mergeCell ref="D219:H219"/>
    <mergeCell ref="D221:H221"/>
    <mergeCell ref="E202:H202"/>
    <mergeCell ref="D203:H203"/>
    <mergeCell ref="D205:H205"/>
    <mergeCell ref="E206:H206"/>
    <mergeCell ref="E207:H207"/>
    <mergeCell ref="E208:H208"/>
    <mergeCell ref="E209:H209"/>
    <mergeCell ref="E210:H210"/>
    <mergeCell ref="E211:H211"/>
    <mergeCell ref="D192:H192"/>
    <mergeCell ref="D194:H194"/>
    <mergeCell ref="E195:H195"/>
    <mergeCell ref="E196:H196"/>
    <mergeCell ref="E197:H197"/>
    <mergeCell ref="E198:H198"/>
    <mergeCell ref="E199:H199"/>
    <mergeCell ref="E200:H200"/>
    <mergeCell ref="E201:H201"/>
    <mergeCell ref="E183:H183"/>
    <mergeCell ref="E184:H184"/>
    <mergeCell ref="E185:H185"/>
    <mergeCell ref="E186:H186"/>
    <mergeCell ref="E187:H187"/>
    <mergeCell ref="E188:H188"/>
    <mergeCell ref="E189:H189"/>
    <mergeCell ref="E190:H190"/>
    <mergeCell ref="E191:H191"/>
    <mergeCell ref="E174:H174"/>
    <mergeCell ref="E175:H175"/>
    <mergeCell ref="E176:H176"/>
    <mergeCell ref="E177:H177"/>
    <mergeCell ref="E178:H178"/>
    <mergeCell ref="E179:H179"/>
    <mergeCell ref="E180:H180"/>
    <mergeCell ref="E181:H181"/>
    <mergeCell ref="E182:H182"/>
    <mergeCell ref="E164:H164"/>
    <mergeCell ref="E165:H165"/>
    <mergeCell ref="E166:H166"/>
    <mergeCell ref="E167:H167"/>
    <mergeCell ref="E168:H168"/>
    <mergeCell ref="E169:H169"/>
    <mergeCell ref="D170:H170"/>
    <mergeCell ref="D172:H172"/>
    <mergeCell ref="E173:H173"/>
    <mergeCell ref="E154:H154"/>
    <mergeCell ref="E155:H155"/>
    <mergeCell ref="D156:H156"/>
    <mergeCell ref="D158:H158"/>
    <mergeCell ref="E159:H159"/>
    <mergeCell ref="E160:H160"/>
    <mergeCell ref="E161:H161"/>
    <mergeCell ref="E162:H162"/>
    <mergeCell ref="E163:H163"/>
    <mergeCell ref="E144:H144"/>
    <mergeCell ref="E145:H145"/>
    <mergeCell ref="F146:H146"/>
    <mergeCell ref="F147:H147"/>
    <mergeCell ref="E148:H148"/>
    <mergeCell ref="E150:H150"/>
    <mergeCell ref="E151:H151"/>
    <mergeCell ref="E152:H152"/>
    <mergeCell ref="E153:H153"/>
    <mergeCell ref="E133:H133"/>
    <mergeCell ref="D134:H134"/>
    <mergeCell ref="D136:H136"/>
    <mergeCell ref="E137:H137"/>
    <mergeCell ref="D138:H138"/>
    <mergeCell ref="D140:H140"/>
    <mergeCell ref="E141:H141"/>
    <mergeCell ref="E142:H142"/>
    <mergeCell ref="E143:H143"/>
    <mergeCell ref="E124:H124"/>
    <mergeCell ref="E125:H125"/>
    <mergeCell ref="E126:H126"/>
    <mergeCell ref="E127:H127"/>
    <mergeCell ref="E128:H128"/>
    <mergeCell ref="E129:H129"/>
    <mergeCell ref="E130:H130"/>
    <mergeCell ref="E131:H131"/>
    <mergeCell ref="E132:H132"/>
    <mergeCell ref="E115:H115"/>
    <mergeCell ref="E116:H116"/>
    <mergeCell ref="E117:H117"/>
    <mergeCell ref="E118:H118"/>
    <mergeCell ref="E119:H119"/>
    <mergeCell ref="E120:H120"/>
    <mergeCell ref="E121:H121"/>
    <mergeCell ref="E122:H122"/>
    <mergeCell ref="E123:H123"/>
    <mergeCell ref="E105:H105"/>
    <mergeCell ref="E106:H106"/>
    <mergeCell ref="E107:H107"/>
    <mergeCell ref="E108:H108"/>
    <mergeCell ref="E109:H109"/>
    <mergeCell ref="E110:H110"/>
    <mergeCell ref="E111:H111"/>
    <mergeCell ref="D112:H112"/>
    <mergeCell ref="D114:H114"/>
    <mergeCell ref="E94:H94"/>
    <mergeCell ref="E95:H95"/>
    <mergeCell ref="F96:H96"/>
    <mergeCell ref="F97:H97"/>
    <mergeCell ref="E98:H98"/>
    <mergeCell ref="D100:H100"/>
    <mergeCell ref="D102:H102"/>
    <mergeCell ref="E103:H103"/>
    <mergeCell ref="E104:H104"/>
    <mergeCell ref="E83:H83"/>
    <mergeCell ref="E84:H84"/>
    <mergeCell ref="F85:H85"/>
    <mergeCell ref="E86:H86"/>
    <mergeCell ref="E88:H88"/>
    <mergeCell ref="F89:H89"/>
    <mergeCell ref="E90:H90"/>
    <mergeCell ref="E92:H92"/>
    <mergeCell ref="E93:H93"/>
    <mergeCell ref="E72:H72"/>
    <mergeCell ref="F73:H73"/>
    <mergeCell ref="E74:H74"/>
    <mergeCell ref="E76:H76"/>
    <mergeCell ref="E77:H77"/>
    <mergeCell ref="E78:H78"/>
    <mergeCell ref="F79:H79"/>
    <mergeCell ref="E80:H80"/>
    <mergeCell ref="E82:H82"/>
    <mergeCell ref="E60:H60"/>
    <mergeCell ref="E61:H61"/>
    <mergeCell ref="E62:H62"/>
    <mergeCell ref="E63:H63"/>
    <mergeCell ref="D65:H65"/>
    <mergeCell ref="C67:H67"/>
    <mergeCell ref="C69:H69"/>
    <mergeCell ref="D70:H70"/>
    <mergeCell ref="E71:H71"/>
    <mergeCell ref="F50:H50"/>
    <mergeCell ref="F51:H51"/>
    <mergeCell ref="F52:H52"/>
    <mergeCell ref="F53:H53"/>
    <mergeCell ref="F54:H54"/>
    <mergeCell ref="E55:H55"/>
    <mergeCell ref="E57:H57"/>
    <mergeCell ref="E58:H58"/>
    <mergeCell ref="E59:H59"/>
    <mergeCell ref="E41:H41"/>
    <mergeCell ref="E42:H42"/>
    <mergeCell ref="E43:H43"/>
    <mergeCell ref="E44:H44"/>
    <mergeCell ref="E45:H45"/>
    <mergeCell ref="E46:H46"/>
    <mergeCell ref="E47:H47"/>
    <mergeCell ref="E48:H48"/>
    <mergeCell ref="F49:H49"/>
    <mergeCell ref="E32:H32"/>
    <mergeCell ref="E33:H33"/>
    <mergeCell ref="E34:H34"/>
    <mergeCell ref="E35:H35"/>
    <mergeCell ref="E36:H36"/>
    <mergeCell ref="E37:H37"/>
    <mergeCell ref="E38:H38"/>
    <mergeCell ref="E39:H39"/>
    <mergeCell ref="E40:H40"/>
    <mergeCell ref="F21:H21"/>
    <mergeCell ref="E22:H22"/>
    <mergeCell ref="D24:H24"/>
    <mergeCell ref="D26:H26"/>
    <mergeCell ref="E27:H27"/>
    <mergeCell ref="E28:H28"/>
    <mergeCell ref="E29:H29"/>
    <mergeCell ref="E30:H30"/>
    <mergeCell ref="E31:H31"/>
    <mergeCell ref="F11:H11"/>
    <mergeCell ref="F12:H12"/>
    <mergeCell ref="E13:H13"/>
    <mergeCell ref="E15:H15"/>
    <mergeCell ref="F16:H16"/>
    <mergeCell ref="F17:H17"/>
    <mergeCell ref="F18:H18"/>
    <mergeCell ref="F19:H19"/>
    <mergeCell ref="F20:H20"/>
    <mergeCell ref="A1:V1"/>
    <mergeCell ref="A2:V2"/>
    <mergeCell ref="A3:V3"/>
    <mergeCell ref="A4:V4"/>
    <mergeCell ref="A6:V6"/>
    <mergeCell ref="A7:H7"/>
    <mergeCell ref="C8:H8"/>
    <mergeCell ref="D9:H9"/>
    <mergeCell ref="E10:H10"/>
  </mergeCells>
  <pageMargins left="0.7" right="0.7" top="0.75" bottom="0.75" header="0.3" footer="0.3"/>
  <pageSetup paperSize="9" fitToWidth="0" fitToHeight="0"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3717D7821A043A392B172EFA3B6DF" ma:contentTypeVersion="12" ma:contentTypeDescription="Create a new document." ma:contentTypeScope="" ma:versionID="5732885289595e6560f5d04b37f75632">
  <xsd:schema xmlns:xsd="http://www.w3.org/2001/XMLSchema" xmlns:xs="http://www.w3.org/2001/XMLSchema" xmlns:p="http://schemas.microsoft.com/office/2006/metadata/properties" xmlns:ns2="25086f38-4d7f-485e-abd0-3231a1949af1" xmlns:ns3="50d909ce-c72d-4a31-988d-55dad3d83c38" targetNamespace="http://schemas.microsoft.com/office/2006/metadata/properties" ma:root="true" ma:fieldsID="fbb6e877f6a591c09c0e36ccb4974f2f" ns2:_="" ns3:_="">
    <xsd:import namespace="25086f38-4d7f-485e-abd0-3231a1949af1"/>
    <xsd:import namespace="50d909ce-c72d-4a31-988d-55dad3d83c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6f38-4d7f-485e-abd0-3231a1949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909ce-c72d-4a31-988d-55dad3d83c3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546270-DFB1-4A45-A4EA-21726DE5BB54}"/>
</file>

<file path=customXml/itemProps2.xml><?xml version="1.0" encoding="utf-8"?>
<ds:datastoreItem xmlns:ds="http://schemas.openxmlformats.org/officeDocument/2006/customXml" ds:itemID="{A7B5A904-DC6C-48EF-8C56-3B47A9FE3BA4}"/>
</file>

<file path=customXml/itemProps3.xml><?xml version="1.0" encoding="utf-8"?>
<ds:datastoreItem xmlns:ds="http://schemas.openxmlformats.org/officeDocument/2006/customXml" ds:itemID="{6BEBB137-1BD7-4D41-A26C-C6F3678B33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Accounting Tree Report</vt:lpstr>
      <vt:lpstr>'Accounting Tree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Hartman</dc:creator>
  <cp:lastModifiedBy>Ryan Hartman</cp:lastModifiedBy>
  <dcterms:created xsi:type="dcterms:W3CDTF">2020-06-05T17:46:39Z</dcterms:created>
  <dcterms:modified xsi:type="dcterms:W3CDTF">2020-06-05T17:47:54Z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0x010100D773717D7821A043A392B172EFA3B6DF</vt:lpwstr>
  </property>
</Properties>
</file>