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m-Multi Housing\Team-Smuckler\__Properties\_The Willow\2021 Listing\2021 Financials\"/>
    </mc:Choice>
  </mc:AlternateContent>
  <xr:revisionPtr revIDLastSave="0" documentId="8_{38E07065-DBBA-4C34-9A59-91E900D4C4BF}" xr6:coauthVersionLast="46" xr6:coauthVersionMax="46" xr10:uidLastSave="{00000000-0000-0000-0000-000000000000}"/>
  <bookViews>
    <workbookView xWindow="10905" yWindow="-16320" windowWidth="29040" windowHeight="15840" xr2:uid="{388FBFA9-DEC9-45ED-855F-CA42F1C68A49}"/>
  </bookViews>
  <sheets>
    <sheet name="T-12 Format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" l="1"/>
  <c r="P8" i="1"/>
  <c r="P9" i="1"/>
  <c r="P14" i="1"/>
  <c r="P15" i="1"/>
  <c r="P21" i="1"/>
  <c r="P22" i="1"/>
  <c r="P23" i="1"/>
  <c r="P25" i="1"/>
  <c r="P26" i="1"/>
  <c r="P28" i="1"/>
  <c r="H30" i="1"/>
  <c r="N27" i="1"/>
  <c r="M27" i="1"/>
  <c r="L27" i="1"/>
  <c r="J27" i="1"/>
  <c r="I27" i="1"/>
  <c r="F27" i="1"/>
  <c r="F30" i="1" s="1"/>
  <c r="E27" i="1"/>
  <c r="E30" i="1" s="1"/>
  <c r="D27" i="1"/>
  <c r="P27" i="1" s="1"/>
  <c r="D25" i="1"/>
  <c r="O24" i="1"/>
  <c r="N24" i="1"/>
  <c r="M24" i="1"/>
  <c r="L24" i="1"/>
  <c r="L30" i="1" s="1"/>
  <c r="K24" i="1"/>
  <c r="K30" i="1" s="1"/>
  <c r="J24" i="1"/>
  <c r="J30" i="1" s="1"/>
  <c r="I24" i="1"/>
  <c r="P24" i="1" s="1"/>
  <c r="H24" i="1"/>
  <c r="G24" i="1"/>
  <c r="G30" i="1" s="1"/>
  <c r="D24" i="1"/>
  <c r="I20" i="1"/>
  <c r="D20" i="1"/>
  <c r="P20" i="1" s="1"/>
  <c r="O16" i="1"/>
  <c r="N16" i="1"/>
  <c r="M16" i="1"/>
  <c r="L16" i="1"/>
  <c r="K16" i="1"/>
  <c r="J16" i="1"/>
  <c r="I16" i="1"/>
  <c r="H16" i="1"/>
  <c r="G16" i="1"/>
  <c r="F16" i="1"/>
  <c r="E16" i="1"/>
  <c r="D16" i="1"/>
  <c r="P16" i="1" s="1"/>
  <c r="N14" i="1"/>
  <c r="L11" i="1"/>
  <c r="L12" i="1" s="1"/>
  <c r="L17" i="1" s="1"/>
  <c r="K11" i="1"/>
  <c r="K12" i="1" s="1"/>
  <c r="K17" i="1" s="1"/>
  <c r="H11" i="1"/>
  <c r="H12" i="1" s="1"/>
  <c r="H17" i="1" s="1"/>
  <c r="H31" i="1" s="1"/>
  <c r="G11" i="1"/>
  <c r="G12" i="1" s="1"/>
  <c r="G17" i="1" s="1"/>
  <c r="G31" i="1" s="1"/>
  <c r="F11" i="1"/>
  <c r="F12" i="1" s="1"/>
  <c r="F17" i="1" s="1"/>
  <c r="F31" i="1" s="1"/>
  <c r="E11" i="1"/>
  <c r="E12" i="1" s="1"/>
  <c r="D11" i="1"/>
  <c r="D12" i="1" s="1"/>
  <c r="D17" i="1" s="1"/>
  <c r="O10" i="1"/>
  <c r="O11" i="1" s="1"/>
  <c r="N10" i="1"/>
  <c r="N11" i="1" s="1"/>
  <c r="M10" i="1"/>
  <c r="J10" i="1"/>
  <c r="J11" i="1" s="1"/>
  <c r="I10" i="1"/>
  <c r="I11" i="1" s="1"/>
  <c r="I12" i="1" s="1"/>
  <c r="I17" i="1" s="1"/>
  <c r="D30" i="1" l="1"/>
  <c r="P11" i="1"/>
  <c r="K31" i="1"/>
  <c r="I30" i="1"/>
  <c r="I31" i="1" s="1"/>
  <c r="P10" i="1"/>
  <c r="L31" i="1"/>
  <c r="D31" i="1"/>
  <c r="E17" i="1"/>
  <c r="E31" i="1" s="1"/>
  <c r="N12" i="1"/>
  <c r="O12" i="1"/>
  <c r="N30" i="1"/>
  <c r="J12" i="1"/>
  <c r="M30" i="1"/>
  <c r="M11" i="1"/>
  <c r="O30" i="1"/>
  <c r="P30" i="1" l="1"/>
  <c r="N17" i="1"/>
  <c r="O17" i="1"/>
  <c r="J17" i="1"/>
  <c r="M12" i="1"/>
  <c r="P12" i="1" s="1"/>
  <c r="P17" i="1" l="1"/>
  <c r="O31" i="1"/>
  <c r="J31" i="1"/>
  <c r="M17" i="1"/>
  <c r="N31" i="1"/>
  <c r="M31" i="1" l="1"/>
  <c r="P31" i="1" s="1"/>
</calcChain>
</file>

<file path=xl/sharedStrings.xml><?xml version="1.0" encoding="utf-8"?>
<sst xmlns="http://schemas.openxmlformats.org/spreadsheetml/2006/main" count="25" uniqueCount="25">
  <si>
    <t>Trailing 12 Months (Actual)</t>
  </si>
  <si>
    <t>INCOME</t>
  </si>
  <si>
    <t>GROSS POTENTIAL RENT</t>
  </si>
  <si>
    <t>Gain (Loss) to Lease</t>
  </si>
  <si>
    <t>Vacancy Loss</t>
  </si>
  <si>
    <t>Other Rent Loss</t>
  </si>
  <si>
    <t>Total Economic Losses</t>
  </si>
  <si>
    <t>NET RENTAL INCOME</t>
  </si>
  <si>
    <t>Utility Reimbursement</t>
  </si>
  <si>
    <t>Unit Upgrade &amp; W/D Premium</t>
  </si>
  <si>
    <t>Other Income</t>
  </si>
  <si>
    <t>EFFECTIVE GROSS INCOME</t>
  </si>
  <si>
    <t>EXPENSES</t>
  </si>
  <si>
    <t>Real Estate Taxes</t>
  </si>
  <si>
    <t>Insurance</t>
  </si>
  <si>
    <t>Utilities</t>
  </si>
  <si>
    <t>On-Site Payroll</t>
  </si>
  <si>
    <t>Repairs &amp; Maintenance</t>
  </si>
  <si>
    <t>Contract Services</t>
  </si>
  <si>
    <t>Marketing &amp; Promotion</t>
  </si>
  <si>
    <t>General &amp; Administrative</t>
  </si>
  <si>
    <t>Management Fee</t>
  </si>
  <si>
    <t>TOTAL EXPENSES</t>
  </si>
  <si>
    <t>NET OPERATING INCOME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</si>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</sst>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 Light"/>
      <family val="2"/>
      <scheme val="major"/>
    </font>
    <font>
      <sz val="10"/>
      <name val="Arial"/>
      <family val="2"/>
    </font>
    <font>
      <sz val="12"/>
      <color indexed="8"/>
      <name val="Calibri Light"/>
      <family val="2"/>
      <scheme val="major"/>
    </font>
    <font>
      <sz val="12"/>
      <color indexed="9"/>
      <name val="Calibri Light"/>
      <family val="2"/>
      <scheme val="maj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medium">
        <color indexed="64"/>
      </bottom>
      <diagonal/>
    </border>
    <border>
      <left style="thin">
        <color indexed="9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 applyAlignment="1">
      <alignment horizontal="left" vertical="top"/>
    </xf>
    <xf numFmtId="0" fontId="4" fillId="2" borderId="1" xfId="2" applyFont="1" applyFill="1" applyBorder="1" applyAlignment="1">
      <alignment horizontal="left" wrapText="1"/>
    </xf>
    <xf numFmtId="0" fontId="4" fillId="3" borderId="2" xfId="2" applyFont="1" applyFill="1" applyBorder="1" applyAlignment="1">
      <alignment horizontal="left" wrapText="1"/>
    </xf>
    <xf numFmtId="4" fontId="4" fillId="0" borderId="3" xfId="2" applyNumberFormat="1" applyFont="1" applyBorder="1" applyAlignment="1">
      <alignment horizontal="left" wrapText="1"/>
    </xf>
    <xf numFmtId="0" fontId="4" fillId="3" borderId="1" xfId="2" applyFont="1" applyFill="1" applyBorder="1" applyAlignment="1">
      <alignment horizontal="left" wrapText="1"/>
    </xf>
    <xf numFmtId="4" fontId="4" fillId="0" borderId="0" xfId="2" applyNumberFormat="1" applyFont="1" applyAlignment="1">
      <alignment horizontal="left" wrapText="1"/>
    </xf>
    <xf numFmtId="0" fontId="4" fillId="3" borderId="4" xfId="2" applyFont="1" applyFill="1" applyBorder="1" applyAlignment="1">
      <alignment horizontal="left" wrapText="1"/>
    </xf>
    <xf numFmtId="0" fontId="4" fillId="3" borderId="5" xfId="2" applyFont="1" applyFill="1" applyBorder="1" applyAlignment="1">
      <alignment horizontal="left" wrapText="1"/>
    </xf>
    <xf numFmtId="0" fontId="5" fillId="4" borderId="1" xfId="2" applyFont="1" applyFill="1" applyBorder="1" applyAlignment="1">
      <alignment horizontal="left" wrapText="1"/>
    </xf>
    <xf numFmtId="4" fontId="6" fillId="0" borderId="0" xfId="2" applyNumberFormat="1" applyFont="1" applyAlignment="1">
      <alignment horizontal="left" wrapText="1"/>
    </xf>
    <xf numFmtId="0" fontId="6" fillId="0" borderId="0" xfId="2" applyFont="1" applyAlignment="1">
      <alignment horizontal="right"/>
    </xf>
    <xf numFmtId="0" fontId="4" fillId="0" borderId="0" xfId="2" applyFont="1" applyAlignment="1">
      <alignment horizontal="left" wrapText="1"/>
    </xf>
    <xf numFmtId="4" fontId="2" fillId="0" borderId="0" xfId="1" applyNumberFormat="1" applyFont="1" applyAlignment="1">
      <alignment horizontal="left" vertical="top"/>
    </xf>
    <xf numFmtId="0" fontId="4" fillId="0" borderId="1" xfId="2" applyFont="1" applyBorder="1" applyAlignment="1">
      <alignment horizontal="left" wrapText="1"/>
    </xf>
    <xf numFmtId="4" fontId="2" fillId="0" borderId="3" xfId="1" applyNumberFormat="1" applyFont="1" applyBorder="1" applyAlignment="1">
      <alignment horizontal="left" vertical="top"/>
    </xf>
    <xf numFmtId="0" fontId="5" fillId="4" borderId="4" xfId="2" applyFont="1" applyFill="1" applyBorder="1" applyAlignment="1">
      <alignment horizontal="left" wrapText="1"/>
    </xf>
    <xf numFmtId="17" fontId="2" fillId="0" borderId="6" xfId="1" applyNumberFormat="1" applyFont="1" applyBorder="1" applyAlignment="1">
      <alignment horizontal="left" vertical="top"/>
    </xf>
    <xf numFmtId="17" fontId="2" fillId="0" borderId="3" xfId="1" applyNumberFormat="1" applyFont="1" applyBorder="1" applyAlignment="1">
      <alignment horizontal="left" vertical="top"/>
    </xf>
    <xf numFmtId="17" fontId="2" fillId="0" borderId="8" xfId="1" applyNumberFormat="1" applyFont="1" applyBorder="1" applyAlignment="1">
      <alignment horizontal="left" vertical="top"/>
    </xf>
    <xf numFmtId="4" fontId="4" fillId="0" borderId="8" xfId="2" applyNumberFormat="1" applyFont="1" applyBorder="1" applyAlignment="1">
      <alignment horizontal="left" wrapText="1"/>
    </xf>
    <xf numFmtId="4" fontId="4" fillId="0" borderId="7" xfId="2" applyNumberFormat="1" applyFont="1" applyBorder="1" applyAlignment="1">
      <alignment horizontal="left" wrapText="1"/>
    </xf>
    <xf numFmtId="4" fontId="6" fillId="0" borderId="7" xfId="2" applyNumberFormat="1" applyFont="1" applyBorder="1" applyAlignment="1">
      <alignment horizontal="left" wrapText="1"/>
    </xf>
    <xf numFmtId="0" fontId="2" fillId="0" borderId="7" xfId="1" applyFont="1" applyBorder="1" applyAlignment="1">
      <alignment horizontal="left" vertical="top"/>
    </xf>
    <xf numFmtId="4" fontId="2" fillId="0" borderId="7" xfId="1" applyNumberFormat="1" applyFont="1" applyBorder="1" applyAlignment="1">
      <alignment horizontal="left" vertical="top"/>
    </xf>
    <xf numFmtId="4" fontId="2" fillId="0" borderId="8" xfId="1" applyNumberFormat="1" applyFont="1" applyBorder="1" applyAlignment="1">
      <alignment horizontal="left" vertical="top"/>
    </xf>
  </cellXfs>
  <cellStyles count="4">
    <cellStyle name="Currency 4" xfId="3" xr:uid="{1372C998-EA1C-4F02-B7EB-5C672BA940CB}"/>
    <cellStyle name="Normal" xfId="0" builtinId="0"/>
    <cellStyle name="Normal 2 2" xfId="2" xr:uid="{7E281120-759F-4CD1-86E9-D933EDDCE13B}"/>
    <cellStyle name="Normal 4" xfId="1" xr:uid="{3D796C71-7302-45D2-BDBA-AE023E8F1D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CA6C-5BC6-46A8-8078-C23D89840622}">
  <dimension ref="C4:P31"/>
  <sheetViews>
    <sheetView tabSelected="1" topLeftCell="C1" workbookViewId="0">
      <selection activeCell="F39" sqref="F39"/>
    </sheetView>
  </sheetViews>
  <sheetFormatPr defaultColWidth="8.7265625" defaultRowHeight="13" x14ac:dyDescent="0.35"/>
  <cols>
    <col min="1" max="2" width="8.7265625" style="2"/>
    <col min="3" max="3" width="24" style="2" customWidth="1"/>
    <col min="4" max="7" width="10.7265625" style="2" bestFit="1" customWidth="1"/>
    <col min="8" max="8" width="11.1796875" style="2" customWidth="1"/>
    <col min="9" max="9" width="10.7265625" style="2" bestFit="1" customWidth="1"/>
    <col min="10" max="11" width="10.36328125" style="2" bestFit="1" customWidth="1"/>
    <col min="12" max="15" width="10.7265625" style="2" bestFit="1" customWidth="1"/>
    <col min="16" max="16" width="12.54296875" style="2" bestFit="1" customWidth="1"/>
    <col min="17" max="17" width="12.26953125" style="2" bestFit="1" customWidth="1"/>
    <col min="18" max="18" width="8.7265625" style="2"/>
    <col min="19" max="19" width="11.26953125" style="2" bestFit="1" customWidth="1"/>
    <col min="20" max="16384" width="8.7265625" style="2"/>
  </cols>
  <sheetData>
    <row r="4" spans="3:16" ht="15.5" x14ac:dyDescent="0.35">
      <c r="C4" s="1"/>
      <c r="D4" s="1"/>
      <c r="E4" s="1"/>
      <c r="F4" s="1"/>
      <c r="G4" s="1"/>
      <c r="H4" s="1" t="s">
        <v>0</v>
      </c>
      <c r="I4" s="1"/>
      <c r="J4" s="1"/>
      <c r="K4" s="1"/>
      <c r="L4" s="1"/>
      <c r="M4" s="1"/>
      <c r="N4" s="1"/>
      <c r="O4" s="1"/>
    </row>
    <row r="5" spans="3:16" ht="15.5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ht="15" customHeight="1" thickBot="1" x14ac:dyDescent="0.4">
      <c r="C6" s="3" t="s">
        <v>1</v>
      </c>
      <c r="D6" s="18">
        <v>44105</v>
      </c>
      <c r="E6" s="19">
        <v>44136</v>
      </c>
      <c r="F6" s="19">
        <v>44166</v>
      </c>
      <c r="G6" s="19">
        <v>44197</v>
      </c>
      <c r="H6" s="19">
        <v>44228</v>
      </c>
      <c r="I6" s="19">
        <v>44256</v>
      </c>
      <c r="J6" s="19">
        <v>44287</v>
      </c>
      <c r="K6" s="19">
        <v>44317</v>
      </c>
      <c r="L6" s="19">
        <v>44348</v>
      </c>
      <c r="M6" s="19">
        <v>44378</v>
      </c>
      <c r="N6" s="19">
        <v>44409</v>
      </c>
      <c r="O6" s="20">
        <v>44440</v>
      </c>
      <c r="P6" s="19" t="s">
        <v>24</v>
      </c>
    </row>
    <row r="7" spans="3:16" ht="15" customHeight="1" thickBot="1" x14ac:dyDescent="0.4">
      <c r="C7" s="4" t="s">
        <v>2</v>
      </c>
      <c r="D7" s="5">
        <v>110500</v>
      </c>
      <c r="E7" s="5">
        <v>110500</v>
      </c>
      <c r="F7" s="5">
        <v>110500</v>
      </c>
      <c r="G7" s="5">
        <v>110500</v>
      </c>
      <c r="H7" s="5">
        <v>103650</v>
      </c>
      <c r="I7" s="5">
        <v>103650</v>
      </c>
      <c r="J7" s="5">
        <v>96250</v>
      </c>
      <c r="K7" s="5">
        <v>96250</v>
      </c>
      <c r="L7" s="5">
        <v>103150</v>
      </c>
      <c r="M7" s="5">
        <v>103200</v>
      </c>
      <c r="N7" s="5">
        <v>103200</v>
      </c>
      <c r="O7" s="21">
        <v>100170</v>
      </c>
      <c r="P7" s="5">
        <f>SUM(D7:O7)</f>
        <v>1251520</v>
      </c>
    </row>
    <row r="8" spans="3:16" ht="15" customHeight="1" x14ac:dyDescent="0.35">
      <c r="C8" s="6" t="s">
        <v>3</v>
      </c>
      <c r="D8" s="7">
        <v>-14067.79</v>
      </c>
      <c r="E8" s="7">
        <v>-12267.57</v>
      </c>
      <c r="F8" s="7">
        <v>-10401.75</v>
      </c>
      <c r="G8" s="7">
        <v>-11454.31</v>
      </c>
      <c r="H8" s="7">
        <v>-5963.44</v>
      </c>
      <c r="I8" s="7">
        <v>-5515.4</v>
      </c>
      <c r="J8" s="7">
        <v>-6356.75</v>
      </c>
      <c r="K8" s="7">
        <v>-3205.75</v>
      </c>
      <c r="L8" s="7">
        <v>-4528</v>
      </c>
      <c r="M8" s="7">
        <v>-4123</v>
      </c>
      <c r="N8" s="7">
        <v>-2946</v>
      </c>
      <c r="O8" s="22">
        <v>1399</v>
      </c>
      <c r="P8" s="7">
        <f t="shared" ref="P8:P31" si="0">SUM(D8:O8)</f>
        <v>-79430.760000000009</v>
      </c>
    </row>
    <row r="9" spans="3:16" ht="15" customHeight="1" x14ac:dyDescent="0.35">
      <c r="C9" s="8" t="s">
        <v>4</v>
      </c>
      <c r="D9" s="7">
        <v>-7137.09</v>
      </c>
      <c r="E9" s="7">
        <v>-11875</v>
      </c>
      <c r="F9" s="7">
        <v>-15653.24</v>
      </c>
      <c r="G9" s="7">
        <v>-15362.91</v>
      </c>
      <c r="H9" s="7">
        <v>-13641.09</v>
      </c>
      <c r="I9" s="7">
        <v>-11022.59</v>
      </c>
      <c r="J9" s="7">
        <v>-4370</v>
      </c>
      <c r="K9" s="7">
        <v>-6688.06</v>
      </c>
      <c r="L9" s="7">
        <v>-10530.09</v>
      </c>
      <c r="M9" s="7">
        <v>-7299.57</v>
      </c>
      <c r="N9" s="7">
        <v>-8001.03</v>
      </c>
      <c r="O9" s="22">
        <v>-5751.66</v>
      </c>
      <c r="P9" s="7">
        <f t="shared" si="0"/>
        <v>-117332.32999999999</v>
      </c>
    </row>
    <row r="10" spans="3:16" ht="15" customHeight="1" thickBot="1" x14ac:dyDescent="0.4">
      <c r="C10" s="4" t="s">
        <v>5</v>
      </c>
      <c r="D10" s="5">
        <v>-0.6</v>
      </c>
      <c r="E10" s="5">
        <v>0</v>
      </c>
      <c r="F10" s="5">
        <v>-45</v>
      </c>
      <c r="G10" s="5">
        <v>0</v>
      </c>
      <c r="H10" s="5">
        <v>-5383.76</v>
      </c>
      <c r="I10" s="5">
        <f>-4775</f>
        <v>-4775</v>
      </c>
      <c r="J10" s="5">
        <f>-5816.84-2740</f>
        <v>-8556.84</v>
      </c>
      <c r="K10" s="5">
        <v>-2172.6799999999998</v>
      </c>
      <c r="L10" s="5">
        <v>-3658.52</v>
      </c>
      <c r="M10" s="5">
        <f>-28.61-4674.95</f>
        <v>-4703.5599999999995</v>
      </c>
      <c r="N10" s="5">
        <f>-1610-4100</f>
        <v>-5710</v>
      </c>
      <c r="O10" s="21">
        <f>-210-2300</f>
        <v>-2510</v>
      </c>
      <c r="P10" s="5">
        <f t="shared" si="0"/>
        <v>-37515.96</v>
      </c>
    </row>
    <row r="11" spans="3:16" ht="15" customHeight="1" thickBot="1" x14ac:dyDescent="0.4">
      <c r="C11" s="9" t="s">
        <v>6</v>
      </c>
      <c r="D11" s="5">
        <f>SUM(D8:D10)</f>
        <v>-21205.48</v>
      </c>
      <c r="E11" s="5">
        <f t="shared" ref="E11:O11" si="1">SUM(E8:E10)</f>
        <v>-24142.57</v>
      </c>
      <c r="F11" s="5">
        <f t="shared" si="1"/>
        <v>-26099.989999999998</v>
      </c>
      <c r="G11" s="5">
        <f t="shared" si="1"/>
        <v>-26817.22</v>
      </c>
      <c r="H11" s="5">
        <f t="shared" si="1"/>
        <v>-24988.29</v>
      </c>
      <c r="I11" s="5">
        <f t="shared" si="1"/>
        <v>-21312.989999999998</v>
      </c>
      <c r="J11" s="5">
        <f t="shared" si="1"/>
        <v>-19283.59</v>
      </c>
      <c r="K11" s="5">
        <f t="shared" si="1"/>
        <v>-12066.490000000002</v>
      </c>
      <c r="L11" s="5">
        <f t="shared" si="1"/>
        <v>-18716.61</v>
      </c>
      <c r="M11" s="5">
        <f t="shared" si="1"/>
        <v>-16126.13</v>
      </c>
      <c r="N11" s="5">
        <f t="shared" si="1"/>
        <v>-16657.03</v>
      </c>
      <c r="O11" s="21">
        <f t="shared" si="1"/>
        <v>-6862.66</v>
      </c>
      <c r="P11" s="5">
        <f t="shared" si="0"/>
        <v>-234279.05</v>
      </c>
    </row>
    <row r="12" spans="3:16" ht="15" customHeight="1" x14ac:dyDescent="0.35">
      <c r="C12" s="10" t="s">
        <v>7</v>
      </c>
      <c r="D12" s="11">
        <f>D7+D11</f>
        <v>89294.52</v>
      </c>
      <c r="E12" s="11">
        <f t="shared" ref="E12:O12" si="2">E7+E11</f>
        <v>86357.43</v>
      </c>
      <c r="F12" s="11">
        <f t="shared" si="2"/>
        <v>84400.010000000009</v>
      </c>
      <c r="G12" s="11">
        <f t="shared" si="2"/>
        <v>83682.78</v>
      </c>
      <c r="H12" s="11">
        <f t="shared" si="2"/>
        <v>78661.709999999992</v>
      </c>
      <c r="I12" s="11">
        <f t="shared" si="2"/>
        <v>82337.010000000009</v>
      </c>
      <c r="J12" s="11">
        <f t="shared" si="2"/>
        <v>76966.41</v>
      </c>
      <c r="K12" s="11">
        <f t="shared" si="2"/>
        <v>84183.51</v>
      </c>
      <c r="L12" s="11">
        <f t="shared" si="2"/>
        <v>84433.39</v>
      </c>
      <c r="M12" s="11">
        <f t="shared" si="2"/>
        <v>87073.87</v>
      </c>
      <c r="N12" s="11">
        <f t="shared" si="2"/>
        <v>86542.97</v>
      </c>
      <c r="O12" s="23">
        <f t="shared" si="2"/>
        <v>93307.34</v>
      </c>
      <c r="P12" s="11">
        <f t="shared" si="0"/>
        <v>1017240.95</v>
      </c>
    </row>
    <row r="13" spans="3:16" ht="15" customHeight="1" x14ac:dyDescent="0.35">
      <c r="C13" s="12"/>
      <c r="D13" s="12"/>
      <c r="E13" s="12"/>
      <c r="F13" s="12"/>
      <c r="G13" s="12"/>
      <c r="H13" s="12"/>
      <c r="I13" s="1"/>
      <c r="J13" s="1"/>
      <c r="K13" s="1"/>
      <c r="L13" s="1"/>
      <c r="M13" s="1"/>
      <c r="N13" s="1"/>
      <c r="O13" s="24"/>
      <c r="P13" s="1"/>
    </row>
    <row r="14" spans="3:16" ht="15" customHeight="1" x14ac:dyDescent="0.35">
      <c r="C14" s="8" t="s">
        <v>8</v>
      </c>
      <c r="D14" s="7">
        <v>4724.55</v>
      </c>
      <c r="E14" s="7">
        <v>4559.8900000000003</v>
      </c>
      <c r="F14" s="7">
        <v>4451.59</v>
      </c>
      <c r="G14" s="7">
        <v>4378.9799999999996</v>
      </c>
      <c r="H14" s="7">
        <v>4396.04</v>
      </c>
      <c r="I14" s="7">
        <v>4603.9799999999996</v>
      </c>
      <c r="J14" s="7">
        <v>4458</v>
      </c>
      <c r="K14" s="7">
        <v>4414.38</v>
      </c>
      <c r="L14" s="7">
        <v>4278.2700000000004</v>
      </c>
      <c r="M14" s="7">
        <v>4676.87</v>
      </c>
      <c r="N14" s="7">
        <f>4690.31</f>
        <v>4690.3100000000004</v>
      </c>
      <c r="O14" s="22">
        <v>4834.51</v>
      </c>
      <c r="P14" s="7">
        <f t="shared" si="0"/>
        <v>54467.37000000001</v>
      </c>
    </row>
    <row r="15" spans="3:16" ht="15" hidden="1" customHeight="1" x14ac:dyDescent="0.35">
      <c r="C15" s="8" t="s">
        <v>9</v>
      </c>
      <c r="D15" s="13"/>
      <c r="E15" s="13"/>
      <c r="F15" s="13"/>
      <c r="G15" s="13"/>
      <c r="H15" s="13"/>
      <c r="I15" s="1"/>
      <c r="J15" s="1"/>
      <c r="K15" s="1"/>
      <c r="L15" s="1"/>
      <c r="M15" s="1"/>
      <c r="N15" s="1"/>
      <c r="O15" s="24"/>
      <c r="P15" s="1">
        <f t="shared" si="0"/>
        <v>0</v>
      </c>
    </row>
    <row r="16" spans="3:16" ht="15" customHeight="1" thickBot="1" x14ac:dyDescent="0.4">
      <c r="C16" s="4" t="s">
        <v>10</v>
      </c>
      <c r="D16" s="5">
        <f>16085.28-D14+1580+59.78</f>
        <v>13000.51</v>
      </c>
      <c r="E16" s="5">
        <f>7712.54-E14+69.78+700</f>
        <v>3922.43</v>
      </c>
      <c r="F16" s="5">
        <f>7444.92-F14+950+89.13</f>
        <v>4032.46</v>
      </c>
      <c r="G16" s="5">
        <f>7061.04-G14</f>
        <v>2682.0600000000004</v>
      </c>
      <c r="H16" s="5">
        <f>8273.5-H14</f>
        <v>3877.46</v>
      </c>
      <c r="I16" s="5">
        <f>7430.79-I14</f>
        <v>2826.8100000000004</v>
      </c>
      <c r="J16" s="5">
        <f>7180.5-J14</f>
        <v>2722.5</v>
      </c>
      <c r="K16" s="5">
        <f>7824.72-K14</f>
        <v>3410.34</v>
      </c>
      <c r="L16" s="5">
        <f>10087.81-L14</f>
        <v>5809.5399999999991</v>
      </c>
      <c r="M16" s="5">
        <f>10942.37-M14</f>
        <v>6265.5000000000009</v>
      </c>
      <c r="N16" s="5">
        <f>8022.2-N14</f>
        <v>3331.8899999999994</v>
      </c>
      <c r="O16" s="21">
        <f>10870.04-O14</f>
        <v>6035.5300000000007</v>
      </c>
      <c r="P16" s="5">
        <f t="shared" si="0"/>
        <v>57917.029999999992</v>
      </c>
    </row>
    <row r="17" spans="3:16" ht="15" customHeight="1" x14ac:dyDescent="0.35">
      <c r="C17" s="10" t="s">
        <v>11</v>
      </c>
      <c r="D17" s="14">
        <f t="shared" ref="D17:O17" si="3">SUM(D12:D16)</f>
        <v>107019.58</v>
      </c>
      <c r="E17" s="14">
        <f t="shared" si="3"/>
        <v>94839.749999999985</v>
      </c>
      <c r="F17" s="14">
        <f t="shared" si="3"/>
        <v>92884.060000000012</v>
      </c>
      <c r="G17" s="14">
        <f t="shared" si="3"/>
        <v>90743.819999999992</v>
      </c>
      <c r="H17" s="14">
        <f t="shared" si="3"/>
        <v>86935.209999999992</v>
      </c>
      <c r="I17" s="14">
        <f t="shared" si="3"/>
        <v>89767.8</v>
      </c>
      <c r="J17" s="14">
        <f t="shared" si="3"/>
        <v>84146.91</v>
      </c>
      <c r="K17" s="14">
        <f t="shared" si="3"/>
        <v>92008.23</v>
      </c>
      <c r="L17" s="14">
        <f t="shared" si="3"/>
        <v>94521.2</v>
      </c>
      <c r="M17" s="14">
        <f t="shared" si="3"/>
        <v>98016.239999999991</v>
      </c>
      <c r="N17" s="14">
        <f t="shared" si="3"/>
        <v>94565.17</v>
      </c>
      <c r="O17" s="25">
        <f t="shared" si="3"/>
        <v>104177.37999999999</v>
      </c>
      <c r="P17" s="14">
        <f t="shared" si="0"/>
        <v>1129625.3500000001</v>
      </c>
    </row>
    <row r="18" spans="3:16" ht="15" customHeight="1" x14ac:dyDescent="0.35">
      <c r="C18" s="12"/>
      <c r="D18" s="12"/>
      <c r="E18" s="12"/>
      <c r="F18" s="12"/>
      <c r="G18" s="12"/>
      <c r="H18" s="12"/>
      <c r="I18" s="1"/>
      <c r="J18" s="1"/>
      <c r="K18" s="1"/>
      <c r="L18" s="1"/>
      <c r="M18" s="1"/>
      <c r="N18" s="1"/>
      <c r="O18" s="24"/>
      <c r="P18" s="1"/>
    </row>
    <row r="19" spans="3:16" ht="15" customHeight="1" x14ac:dyDescent="0.35">
      <c r="C19" s="3" t="s">
        <v>12</v>
      </c>
      <c r="D19" s="13"/>
      <c r="E19" s="13"/>
      <c r="F19" s="13"/>
      <c r="G19" s="13"/>
      <c r="H19" s="13"/>
      <c r="I19" s="1"/>
      <c r="J19" s="1"/>
      <c r="K19" s="1"/>
      <c r="L19" s="1"/>
      <c r="M19" s="1"/>
      <c r="N19" s="1"/>
      <c r="O19" s="24"/>
      <c r="P19" s="1"/>
    </row>
    <row r="20" spans="3:16" ht="15" customHeight="1" x14ac:dyDescent="0.35">
      <c r="C20" s="8" t="s">
        <v>13</v>
      </c>
      <c r="D20" s="7">
        <f>34252.12/2</f>
        <v>17126.060000000001</v>
      </c>
      <c r="E20" s="7">
        <v>0</v>
      </c>
      <c r="F20" s="7">
        <v>0</v>
      </c>
      <c r="G20" s="7">
        <v>0</v>
      </c>
      <c r="H20" s="7">
        <v>0</v>
      </c>
      <c r="I20" s="7">
        <f>34252.12/2</f>
        <v>17126.060000000001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22">
        <v>0</v>
      </c>
      <c r="P20" s="7">
        <f t="shared" si="0"/>
        <v>34252.120000000003</v>
      </c>
    </row>
    <row r="21" spans="3:16" ht="15" customHeight="1" x14ac:dyDescent="0.35">
      <c r="C21" s="8" t="s">
        <v>14</v>
      </c>
      <c r="D21" s="7">
        <v>0</v>
      </c>
      <c r="E21" s="7">
        <v>3509.64</v>
      </c>
      <c r="F21" s="7">
        <v>0</v>
      </c>
      <c r="G21" s="7">
        <v>3509.64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22">
        <v>0</v>
      </c>
      <c r="P21" s="7">
        <f t="shared" si="0"/>
        <v>7019.28</v>
      </c>
    </row>
    <row r="22" spans="3:16" ht="15" customHeight="1" x14ac:dyDescent="0.35">
      <c r="C22" s="8" t="s">
        <v>15</v>
      </c>
      <c r="D22" s="7">
        <v>9473.9</v>
      </c>
      <c r="E22" s="7">
        <v>8590.14</v>
      </c>
      <c r="F22" s="7">
        <v>8054.9</v>
      </c>
      <c r="G22" s="7">
        <v>7159.16</v>
      </c>
      <c r="H22" s="7">
        <v>6958.89</v>
      </c>
      <c r="I22" s="7">
        <v>7026.99</v>
      </c>
      <c r="J22" s="7">
        <v>5919.81</v>
      </c>
      <c r="K22" s="7">
        <v>9425.0300000000007</v>
      </c>
      <c r="L22" s="7">
        <v>8744.94</v>
      </c>
      <c r="M22" s="7">
        <v>10518.79</v>
      </c>
      <c r="N22" s="7">
        <v>11308.6</v>
      </c>
      <c r="O22" s="22">
        <v>6125.1</v>
      </c>
      <c r="P22" s="7">
        <f t="shared" si="0"/>
        <v>99306.25</v>
      </c>
    </row>
    <row r="23" spans="3:16" ht="15" customHeight="1" x14ac:dyDescent="0.35">
      <c r="C23" s="8" t="s">
        <v>16</v>
      </c>
      <c r="D23" s="7">
        <v>2580</v>
      </c>
      <c r="E23" s="7">
        <v>2580</v>
      </c>
      <c r="F23" s="7">
        <v>2580</v>
      </c>
      <c r="G23" s="7">
        <v>2580</v>
      </c>
      <c r="H23" s="7">
        <v>3802.49</v>
      </c>
      <c r="I23" s="7">
        <v>2580</v>
      </c>
      <c r="J23" s="7">
        <v>2580</v>
      </c>
      <c r="K23" s="7">
        <v>2580</v>
      </c>
      <c r="L23" s="7">
        <v>2580</v>
      </c>
      <c r="M23" s="7">
        <v>2920.07</v>
      </c>
      <c r="N23" s="7">
        <v>2592</v>
      </c>
      <c r="O23" s="22">
        <v>2592</v>
      </c>
      <c r="P23" s="7">
        <f t="shared" si="0"/>
        <v>32546.559999999998</v>
      </c>
    </row>
    <row r="24" spans="3:16" ht="15" customHeight="1" x14ac:dyDescent="0.35">
      <c r="C24" s="8" t="s">
        <v>17</v>
      </c>
      <c r="D24" s="7">
        <f>2001.49+4949.59</f>
        <v>6951.08</v>
      </c>
      <c r="E24" s="7">
        <v>2083.69</v>
      </c>
      <c r="F24" s="7">
        <v>3244.74</v>
      </c>
      <c r="G24" s="7">
        <f>8993.9-G22+768.38</f>
        <v>2603.12</v>
      </c>
      <c r="H24" s="7">
        <f>10022.29-H22+1161.91</f>
        <v>4225.3100000000004</v>
      </c>
      <c r="I24" s="7">
        <f>10152.72-I22+1368.93</f>
        <v>4494.66</v>
      </c>
      <c r="J24" s="7">
        <f>10998.91-J22+2736.31</f>
        <v>7815.41</v>
      </c>
      <c r="K24" s="7">
        <f>14831.16-K22+253.61</f>
        <v>5659.7399999999989</v>
      </c>
      <c r="L24" s="7">
        <f>12961.9-L22+2116.46</f>
        <v>6333.4199999999992</v>
      </c>
      <c r="M24" s="7">
        <f>13176.59-M22+1380.37</f>
        <v>4038.1699999999992</v>
      </c>
      <c r="N24" s="7">
        <f>16694.69-N22</f>
        <v>5386.0899999999983</v>
      </c>
      <c r="O24" s="22">
        <f>9669.33-O22+922.81</f>
        <v>4467.0399999999991</v>
      </c>
      <c r="P24" s="7">
        <f t="shared" si="0"/>
        <v>57302.469999999994</v>
      </c>
    </row>
    <row r="25" spans="3:16" ht="15" customHeight="1" x14ac:dyDescent="0.35">
      <c r="C25" s="8" t="s">
        <v>18</v>
      </c>
      <c r="D25" s="7">
        <f>6356.22</f>
        <v>6356.22</v>
      </c>
      <c r="E25" s="7">
        <v>3845.56</v>
      </c>
      <c r="F25" s="7">
        <v>3226.75</v>
      </c>
      <c r="G25" s="7">
        <v>3084.97</v>
      </c>
      <c r="H25" s="7">
        <v>4017.88</v>
      </c>
      <c r="I25" s="7">
        <v>4077.2</v>
      </c>
      <c r="J25" s="7">
        <v>7534.75</v>
      </c>
      <c r="K25" s="7">
        <v>4801.8</v>
      </c>
      <c r="L25" s="7">
        <v>5680.6</v>
      </c>
      <c r="M25" s="7">
        <v>7058.13</v>
      </c>
      <c r="N25" s="7">
        <v>3847.8</v>
      </c>
      <c r="O25" s="22">
        <v>3393</v>
      </c>
      <c r="P25" s="7">
        <f t="shared" si="0"/>
        <v>56924.66</v>
      </c>
    </row>
    <row r="26" spans="3:16" ht="15" customHeight="1" x14ac:dyDescent="0.35">
      <c r="C26" s="8" t="s">
        <v>19</v>
      </c>
      <c r="D26" s="7">
        <v>297.10000000000002</v>
      </c>
      <c r="E26" s="7">
        <v>343.75</v>
      </c>
      <c r="F26" s="7">
        <v>683.95</v>
      </c>
      <c r="G26" s="7">
        <v>430.21</v>
      </c>
      <c r="H26" s="7">
        <v>155.43</v>
      </c>
      <c r="I26" s="7">
        <v>130.26</v>
      </c>
      <c r="J26" s="7">
        <v>110.28</v>
      </c>
      <c r="K26" s="7">
        <v>797.66</v>
      </c>
      <c r="L26" s="7">
        <v>130.26</v>
      </c>
      <c r="M26" s="7">
        <v>1255.27</v>
      </c>
      <c r="N26" s="7">
        <v>160.22999999999999</v>
      </c>
      <c r="O26" s="22">
        <v>711.27</v>
      </c>
      <c r="P26" s="7">
        <f t="shared" si="0"/>
        <v>5205.67</v>
      </c>
    </row>
    <row r="27" spans="3:16" ht="15" customHeight="1" x14ac:dyDescent="0.35">
      <c r="C27" s="8" t="s">
        <v>20</v>
      </c>
      <c r="D27" s="7">
        <f>915+451.05</f>
        <v>1366.05</v>
      </c>
      <c r="E27" s="7">
        <f>751+448.01</f>
        <v>1199.01</v>
      </c>
      <c r="F27" s="7">
        <f>43+1066.96</f>
        <v>1109.96</v>
      </c>
      <c r="G27" s="7">
        <v>1586.73</v>
      </c>
      <c r="H27" s="7">
        <v>715.93</v>
      </c>
      <c r="I27" s="7">
        <f>607.33+292</f>
        <v>899.33</v>
      </c>
      <c r="J27" s="7">
        <f>654.43+578</f>
        <v>1232.4299999999998</v>
      </c>
      <c r="K27" s="7">
        <v>2135.41</v>
      </c>
      <c r="L27" s="7">
        <f>756+291</f>
        <v>1047</v>
      </c>
      <c r="M27" s="7">
        <f>997.54+353</f>
        <v>1350.54</v>
      </c>
      <c r="N27" s="7">
        <f>750.79+412</f>
        <v>1162.79</v>
      </c>
      <c r="O27" s="22">
        <v>493.26</v>
      </c>
      <c r="P27" s="7">
        <f t="shared" si="0"/>
        <v>14298.44</v>
      </c>
    </row>
    <row r="28" spans="3:16" ht="15" customHeight="1" thickBot="1" x14ac:dyDescent="0.4">
      <c r="C28" s="4" t="s">
        <v>21</v>
      </c>
      <c r="D28" s="5">
        <v>5129.34</v>
      </c>
      <c r="E28" s="5">
        <v>6923.98</v>
      </c>
      <c r="F28" s="5">
        <v>5132.3500000000004</v>
      </c>
      <c r="G28" s="5">
        <v>4730</v>
      </c>
      <c r="H28" s="5">
        <v>4730</v>
      </c>
      <c r="I28" s="5">
        <v>2671.52</v>
      </c>
      <c r="J28" s="5">
        <v>4436.32</v>
      </c>
      <c r="K28" s="5">
        <v>4010.87</v>
      </c>
      <c r="L28" s="5">
        <v>4463.5600000000004</v>
      </c>
      <c r="M28" s="5">
        <v>5849.48</v>
      </c>
      <c r="N28" s="5">
        <v>5631.89</v>
      </c>
      <c r="O28" s="21">
        <v>4214.24</v>
      </c>
      <c r="P28" s="5">
        <f t="shared" si="0"/>
        <v>57923.549999999996</v>
      </c>
    </row>
    <row r="29" spans="3:16" ht="15" customHeight="1" x14ac:dyDescent="0.35">
      <c r="C29" s="15"/>
      <c r="D29" s="13"/>
      <c r="E29" s="13"/>
      <c r="F29" s="13"/>
      <c r="G29" s="13"/>
      <c r="H29" s="13"/>
      <c r="I29" s="1"/>
      <c r="J29" s="1"/>
      <c r="K29" s="1"/>
      <c r="L29" s="1"/>
      <c r="M29" s="1"/>
      <c r="N29" s="1"/>
      <c r="O29" s="24"/>
      <c r="P29" s="1"/>
    </row>
    <row r="30" spans="3:16" ht="15" customHeight="1" thickBot="1" x14ac:dyDescent="0.4">
      <c r="C30" s="4" t="s">
        <v>22</v>
      </c>
      <c r="D30" s="16">
        <f>SUM(D20:D28)</f>
        <v>49279.75</v>
      </c>
      <c r="E30" s="16">
        <f>SUM(E20:E28)</f>
        <v>29075.769999999997</v>
      </c>
      <c r="F30" s="16">
        <f>SUM(F20:F28)</f>
        <v>24032.65</v>
      </c>
      <c r="G30" s="16">
        <f>SUM(G20:G28)</f>
        <v>25683.829999999998</v>
      </c>
      <c r="H30" s="16">
        <f>SUM(H20:H28)</f>
        <v>24605.930000000004</v>
      </c>
      <c r="I30" s="16">
        <f>SUM(I20:I28)</f>
        <v>39006.020000000004</v>
      </c>
      <c r="J30" s="16">
        <f>SUM(J20:J28)</f>
        <v>29629</v>
      </c>
      <c r="K30" s="16">
        <f>SUM(K20:K28)</f>
        <v>29410.51</v>
      </c>
      <c r="L30" s="16">
        <f>SUM(L20:L28)</f>
        <v>28979.78</v>
      </c>
      <c r="M30" s="16">
        <f>SUM(M20:M28)</f>
        <v>32990.449999999997</v>
      </c>
      <c r="N30" s="16">
        <f>SUM(N20:N28)</f>
        <v>30089.399999999998</v>
      </c>
      <c r="O30" s="26">
        <f>SUM(O20:O28)</f>
        <v>21995.909999999996</v>
      </c>
      <c r="P30" s="16">
        <f t="shared" si="0"/>
        <v>364779</v>
      </c>
    </row>
    <row r="31" spans="3:16" ht="15" customHeight="1" x14ac:dyDescent="0.35">
      <c r="C31" s="17" t="s">
        <v>23</v>
      </c>
      <c r="D31" s="14">
        <f>D17-D30</f>
        <v>57739.83</v>
      </c>
      <c r="E31" s="14">
        <f>E17-E30</f>
        <v>65763.979999999981</v>
      </c>
      <c r="F31" s="14">
        <f>F17-F30</f>
        <v>68851.41</v>
      </c>
      <c r="G31" s="14">
        <f>G17-G30</f>
        <v>65059.989999999991</v>
      </c>
      <c r="H31" s="14">
        <f>H17-H30</f>
        <v>62329.279999999984</v>
      </c>
      <c r="I31" s="14">
        <f>I17-I30</f>
        <v>50761.78</v>
      </c>
      <c r="J31" s="14">
        <f>J17-J30</f>
        <v>54517.91</v>
      </c>
      <c r="K31" s="14">
        <f>K17-K30</f>
        <v>62597.72</v>
      </c>
      <c r="L31" s="14">
        <f>L17-L30</f>
        <v>65541.42</v>
      </c>
      <c r="M31" s="14">
        <f>M17-M30</f>
        <v>65025.789999999994</v>
      </c>
      <c r="N31" s="14">
        <f>N17-N30</f>
        <v>64475.770000000004</v>
      </c>
      <c r="O31" s="25">
        <f>O17-O30</f>
        <v>82181.47</v>
      </c>
      <c r="P31" s="14">
        <f t="shared" si="0"/>
        <v>764846.35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4E4675-9B35-4740-BFE3-7E84D1F58815}"/>
</file>

<file path=customXml/itemProps2.xml><?xml version="1.0" encoding="utf-8"?>
<ds:datastoreItem xmlns:ds="http://schemas.openxmlformats.org/officeDocument/2006/customXml" ds:itemID="{69D1C1F5-9465-4738-A990-DD38B6899B17}"/>
</file>

<file path=customXml/itemProps3.xml><?xml version="1.0" encoding="utf-8"?>
<ds:datastoreItem xmlns:ds="http://schemas.openxmlformats.org/officeDocument/2006/customXml" ds:itemID="{20220C0F-0E48-4D23-8626-18B83C463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T-12 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Mezger, Simon @ Phoenix</dc:creator>
  <cp:lastModifiedBy>Mezger, Simon @ Phoenix</cp:lastModifiedBy>
  <dcterms:created xsi:type="dcterms:W3CDTF">2021-10-27T15:19:31Z</dcterms:created>
  <dcterms:modified xsi:type="dcterms:W3CDTF">2021-10-27T15:21:23Z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