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terface" sheetId="1" r:id="rId3"/>
    <sheet state="visible" name="Cell Calculation" sheetId="2" r:id="rId4"/>
    <sheet state="visible" name="Graph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2">
      <text>
        <t xml:space="preserve">jorgeernesto.tovarra:
Its influence in the calculations is negligible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1">
      <text>
        <t xml:space="preserve">jorgeernesto.tovarra:
Its influence in the calculations is negligible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">
      <text>
        <t xml:space="preserve">jorgeernesto.tovarra:
Its influence in the calculations is negligible</t>
      </text>
    </comment>
    <comment authorId="0" ref="E11">
      <text>
        <t xml:space="preserve">jorgeernesto.tovarra:
Its influence in the calculations is negligible</t>
      </text>
    </comment>
  </commentList>
</comments>
</file>

<file path=xl/sharedStrings.xml><?xml version="1.0" encoding="utf-8"?>
<sst xmlns="http://schemas.openxmlformats.org/spreadsheetml/2006/main" count="511" uniqueCount="227">
  <si>
    <t>Step 1</t>
  </si>
  <si>
    <t>Corrections</t>
  </si>
  <si>
    <t>Electrolyser Main Characteristics</t>
  </si>
  <si>
    <t>Step 2</t>
  </si>
  <si>
    <t>i0-ac coefficient (T)</t>
  </si>
  <si>
    <t>Pressure</t>
  </si>
  <si>
    <t>bar</t>
  </si>
  <si>
    <t>Temperature</t>
  </si>
  <si>
    <t>ºC</t>
  </si>
  <si>
    <t>α coefficient</t>
  </si>
  <si>
    <t>K</t>
  </si>
  <si>
    <t>KOH Concentration</t>
  </si>
  <si>
    <t>%wt</t>
  </si>
  <si>
    <t>jlim (Current Density Limit)</t>
  </si>
  <si>
    <t>kA/m2</t>
  </si>
  <si>
    <t>n</t>
  </si>
  <si>
    <t>Number of electrons</t>
  </si>
  <si>
    <t>A</t>
  </si>
  <si>
    <t>m2</t>
  </si>
  <si>
    <t>Anode and Cathode Surface Area</t>
  </si>
  <si>
    <t>L</t>
  </si>
  <si>
    <t>m</t>
  </si>
  <si>
    <t>Thickness of electrode</t>
  </si>
  <si>
    <t>iav</t>
  </si>
  <si>
    <t>A/m2</t>
  </si>
  <si>
    <t>Average current density</t>
  </si>
  <si>
    <t>I</t>
  </si>
  <si>
    <t>Total current applied on the cell</t>
  </si>
  <si>
    <t>δ</t>
  </si>
  <si>
    <t>Thickness of the electrolyte</t>
  </si>
  <si>
    <t>i0-a</t>
  </si>
  <si>
    <t>θ coefficient</t>
  </si>
  <si>
    <t>Source Bhanu</t>
  </si>
  <si>
    <t>i0-c</t>
  </si>
  <si>
    <t>Main Thermodynamic Values</t>
  </si>
  <si>
    <t>R</t>
  </si>
  <si>
    <t>J/mol*K</t>
  </si>
  <si>
    <t>Universal gas constant</t>
  </si>
  <si>
    <t>F</t>
  </si>
  <si>
    <t>C/mol</t>
  </si>
  <si>
    <t>Faraday Constant</t>
  </si>
  <si>
    <t>MH2</t>
  </si>
  <si>
    <t>kg/mol</t>
  </si>
  <si>
    <t>Hydrogen Molecular Weight</t>
  </si>
  <si>
    <t>MO2</t>
  </si>
  <si>
    <t>Oxygen Molecular Weight</t>
  </si>
  <si>
    <t>ρH2</t>
  </si>
  <si>
    <t>kg/m3</t>
  </si>
  <si>
    <t>Density of Hydrogen</t>
  </si>
  <si>
    <t>ρO2</t>
  </si>
  <si>
    <t>Density of Oxygen</t>
  </si>
  <si>
    <t>LHV</t>
  </si>
  <si>
    <t>j/mol</t>
  </si>
  <si>
    <t>Lower Heating Value</t>
  </si>
  <si>
    <t>ΔHf(T)</t>
  </si>
  <si>
    <t>J/mol</t>
  </si>
  <si>
    <t>Enthalpy of formation of water</t>
  </si>
  <si>
    <t>Source Hammoudi</t>
  </si>
  <si>
    <t>Erev(P,T)</t>
  </si>
  <si>
    <t>V</t>
  </si>
  <si>
    <t>Reversible voltage</t>
  </si>
  <si>
    <t>Vtp(T)</t>
  </si>
  <si>
    <t>Enthalpic voltage (Enthalpy of formation of liquid water)</t>
  </si>
  <si>
    <t>fHHV(T,P)</t>
  </si>
  <si>
    <t>Pressure correction for non ideal gases</t>
  </si>
  <si>
    <t>VHHV(T,P)</t>
  </si>
  <si>
    <t>High Heating Value Voltage (Enthalpy of formation of liquid water + Enthalpy to heat the water from 25ºC to the electrolysys temperature)</t>
  </si>
  <si>
    <t>ΔHw(T)</t>
  </si>
  <si>
    <t>Variation of enthalpy of water from liquid phase at 25ºC and 1 atm to gaseous phase</t>
  </si>
  <si>
    <t>ϕ</t>
  </si>
  <si>
    <t>Water mole consumption ratio (conversion + evaporation per mole of hydrogen produced)</t>
  </si>
  <si>
    <t>Pw*(T)</t>
  </si>
  <si>
    <t>Vapour pressure of water</t>
  </si>
  <si>
    <t>mol/l</t>
  </si>
  <si>
    <t>KOH solution molality</t>
  </si>
  <si>
    <t>Pw(T,m)</t>
  </si>
  <si>
    <t>Vapour pressure of the KOH solution</t>
  </si>
  <si>
    <t>Vtn(T,P)</t>
  </si>
  <si>
    <t>Thermoneutral Voltage (Enthalpy of formation of liquid water + Enthalpy to heat the water from 25ºC to the electrolysys temperature + Enthalpy to vaporise the water carried out with the products H2 and O2)</t>
  </si>
  <si>
    <t>Electrochemical Data</t>
  </si>
  <si>
    <t>αc</t>
  </si>
  <si>
    <t>Transfert coefficient cathode</t>
  </si>
  <si>
    <t>αa</t>
  </si>
  <si>
    <t>Transfert coefficient anode</t>
  </si>
  <si>
    <t>θ (T,iav)</t>
  </si>
  <si>
    <t>Bubble coverage</t>
  </si>
  <si>
    <t>ηa</t>
  </si>
  <si>
    <t>Activation potential losses at anode side</t>
  </si>
  <si>
    <t>ηc</t>
  </si>
  <si>
    <t>Activation potential losses at cathode side</t>
  </si>
  <si>
    <t>M</t>
  </si>
  <si>
    <t>mol/L</t>
  </si>
  <si>
    <t>Concentration of the solution</t>
  </si>
  <si>
    <t>σ</t>
  </si>
  <si>
    <t>S/m</t>
  </si>
  <si>
    <t>Specific conductivity of KOH solution</t>
  </si>
  <si>
    <t>ρT</t>
  </si>
  <si>
    <t>KOH solution density</t>
  </si>
  <si>
    <t>fg</t>
  </si>
  <si>
    <t>Average void fraction</t>
  </si>
  <si>
    <t>σNi</t>
  </si>
  <si>
    <t>Electrical conductivity of Nickel</t>
  </si>
  <si>
    <t>Re</t>
  </si>
  <si>
    <t>1/S</t>
  </si>
  <si>
    <t>Resistance of electrode</t>
  </si>
  <si>
    <t>Vr</t>
  </si>
  <si>
    <t>Voltage loss due to electrode resistance</t>
  </si>
  <si>
    <t>Negligible, as stated by Bhanu</t>
  </si>
  <si>
    <t>Vohm</t>
  </si>
  <si>
    <t>Ohmic Voltage</t>
  </si>
  <si>
    <t>U</t>
  </si>
  <si>
    <t>Total Cell Voltage</t>
  </si>
  <si>
    <t>Density of the solution at T</t>
  </si>
  <si>
    <t>Source Gilliam (max difference with Bhanu 1.2%)</t>
  </si>
  <si>
    <t>Ke</t>
  </si>
  <si>
    <t>Effective Conductance</t>
  </si>
  <si>
    <t>Ke/K</t>
  </si>
  <si>
    <t>Aef</t>
  </si>
  <si>
    <t>Effective Surface Area of Electrode</t>
  </si>
  <si>
    <t>iaveff</t>
  </si>
  <si>
    <t>Corrected Current Density</t>
  </si>
  <si>
    <t>f1T</t>
  </si>
  <si>
    <t>Faradaic efficiency coefficient 1</t>
  </si>
  <si>
    <t>Source Alhassan et al (from the graph provided by C. Haegele)</t>
  </si>
  <si>
    <t>f2T</t>
  </si>
  <si>
    <t>Faradaic efficiency coefficient 2</t>
  </si>
  <si>
    <r>
      <t>η</t>
    </r>
    <r>
      <rPr>
        <rFont val="Calibri"/>
        <color rgb="FF000000"/>
        <sz val="11.0"/>
        <vertAlign val="subscript"/>
      </rPr>
      <t>F</t>
    </r>
  </si>
  <si>
    <t>Faradaic efficiency</t>
  </si>
  <si>
    <t>Production</t>
  </si>
  <si>
    <t>NH2out</t>
  </si>
  <si>
    <t>mol/s</t>
  </si>
  <si>
    <t>Molar Hydrogen Production</t>
  </si>
  <si>
    <t>NO2out</t>
  </si>
  <si>
    <t>Molar Oxygen Production</t>
  </si>
  <si>
    <t>VH2</t>
  </si>
  <si>
    <t>m3/h</t>
  </si>
  <si>
    <t>Hydrogen volume production</t>
  </si>
  <si>
    <t>VO2</t>
  </si>
  <si>
    <t>Oxygen volume production</t>
  </si>
  <si>
    <t>ProdH2</t>
  </si>
  <si>
    <t>kg/h</t>
  </si>
  <si>
    <t>Hydrogen mass production</t>
  </si>
  <si>
    <t>ProdO2</t>
  </si>
  <si>
    <t>Oxygen mass production</t>
  </si>
  <si>
    <t>Molar weight H2 in Nm3</t>
  </si>
  <si>
    <t>kg/Nm3</t>
  </si>
  <si>
    <t>Molar weight O2 in Nm3</t>
  </si>
  <si>
    <t>Nm3/h</t>
  </si>
  <si>
    <t>Energy consumption and Efficiency</t>
  </si>
  <si>
    <t>H2Ocons</t>
  </si>
  <si>
    <t>H2Oconverted</t>
  </si>
  <si>
    <t>H2Oevaporated with products</t>
  </si>
  <si>
    <t>H2O%converted</t>
  </si>
  <si>
    <t>H2O molar weight</t>
  </si>
  <si>
    <t>g/mol</t>
  </si>
  <si>
    <t>Qj</t>
  </si>
  <si>
    <t>W</t>
  </si>
  <si>
    <t>Energy Lost</t>
  </si>
  <si>
    <t>Duty produced</t>
  </si>
  <si>
    <t>Energy used in the production of Hydrogen</t>
  </si>
  <si>
    <t>Duty Total</t>
  </si>
  <si>
    <r>
      <t>η</t>
    </r>
    <r>
      <rPr>
        <rFont val="Calibri"/>
        <color rgb="FF000000"/>
        <sz val="11.0"/>
        <vertAlign val="subscript"/>
      </rPr>
      <t>HHV</t>
    </r>
  </si>
  <si>
    <r>
      <t>ε</t>
    </r>
    <r>
      <rPr>
        <rFont val="Calibri"/>
        <color rgb="FF000000"/>
        <sz val="11.0"/>
        <vertAlign val="subscript"/>
      </rPr>
      <t>cell,case1</t>
    </r>
  </si>
  <si>
    <r>
      <t>ε</t>
    </r>
    <r>
      <rPr>
        <rFont val="Calibri"/>
        <color rgb="FF000000"/>
        <sz val="11.0"/>
        <vertAlign val="subscript"/>
      </rPr>
      <t>cell,case2</t>
    </r>
  </si>
  <si>
    <r>
      <t>ε</t>
    </r>
    <r>
      <rPr>
        <rFont val="Calibri"/>
        <color rgb="FF000000"/>
        <sz val="11.0"/>
        <vertAlign val="subscript"/>
      </rPr>
      <t>cell,case3</t>
    </r>
  </si>
  <si>
    <t>INPUT DATA - Stack Level</t>
  </si>
  <si>
    <t>OUTPUT DATA - Stack level</t>
  </si>
  <si>
    <t>Operating parameters</t>
  </si>
  <si>
    <r>
      <t>P</t>
    </r>
    <r>
      <rPr>
        <rFont val="Calibri"/>
        <color rgb="FF000000"/>
        <sz val="11.0"/>
        <vertAlign val="subscript"/>
      </rPr>
      <t>op</t>
    </r>
    <r>
      <rPr>
        <rFont val="Calibri"/>
        <color rgb="FF000000"/>
        <sz val="11.0"/>
      </rPr>
      <t xml:space="preserve"> (min 1bar, max 200bar)</t>
    </r>
  </si>
  <si>
    <r>
      <t>T</t>
    </r>
    <r>
      <rPr>
        <rFont val="Calibri"/>
        <color rgb="FF000000"/>
        <sz val="11.0"/>
        <vertAlign val="subscript"/>
      </rPr>
      <t xml:space="preserve">op </t>
    </r>
    <r>
      <rPr>
        <rFont val="Calibri"/>
        <color rgb="FF000000"/>
        <sz val="11.0"/>
      </rPr>
      <t>(min 25ºC, max220ºC)</t>
    </r>
  </si>
  <si>
    <t>Main operating values</t>
  </si>
  <si>
    <t>KOH (min 0%, max 45%)</t>
  </si>
  <si>
    <t>P</t>
  </si>
  <si>
    <t>kW</t>
  </si>
  <si>
    <t>Power consumption</t>
  </si>
  <si>
    <t>Geometrical paremeters</t>
  </si>
  <si>
    <t>QH2</t>
  </si>
  <si>
    <t>Hydrogen produced</t>
  </si>
  <si>
    <t>Ncell</t>
  </si>
  <si>
    <t>-</t>
  </si>
  <si>
    <t>Nb of cells in stack</t>
  </si>
  <si>
    <t>Ec</t>
  </si>
  <si>
    <t>kWh/Nm3</t>
  </si>
  <si>
    <t>Cell Electric consumption</t>
  </si>
  <si>
    <t>m²</t>
  </si>
  <si>
    <t>Cell Surface Area</t>
  </si>
  <si>
    <r>
      <t>η</t>
    </r>
    <r>
      <rPr>
        <rFont val="Calibri"/>
        <color rgb="FF000000"/>
        <sz val="11.0"/>
        <vertAlign val="subscript"/>
      </rPr>
      <t>HHV</t>
    </r>
  </si>
  <si>
    <t>%</t>
  </si>
  <si>
    <t>Cell HHV efficiency</t>
  </si>
  <si>
    <t>QO2</t>
  </si>
  <si>
    <t>Oxygen produced</t>
  </si>
  <si>
    <t>QH2O</t>
  </si>
  <si>
    <t>Water consummed</t>
  </si>
  <si>
    <t>INPUT DATA - Cell Level</t>
  </si>
  <si>
    <t>Polarisation Curve</t>
  </si>
  <si>
    <t>Min iav</t>
  </si>
  <si>
    <t>Max iav</t>
  </si>
  <si>
    <r>
      <t>η</t>
    </r>
    <r>
      <rPr>
        <rFont val="Calibri"/>
        <color rgb="FF000000"/>
        <sz val="11.0"/>
        <vertAlign val="subscript"/>
      </rPr>
      <t>HHV</t>
    </r>
  </si>
  <si>
    <t>Ucell,model</t>
  </si>
  <si>
    <t>Ucell, real</t>
  </si>
  <si>
    <r>
      <t>η</t>
    </r>
    <r>
      <rPr>
        <rFont val="Calibri"/>
        <color rgb="FF000000"/>
        <sz val="11.0"/>
        <vertAlign val="subscript"/>
      </rPr>
      <t>F</t>
    </r>
  </si>
  <si>
    <t>UTHT</t>
  </si>
  <si>
    <t>Thermoneutral Voltage</t>
  </si>
  <si>
    <t>UrevT</t>
  </si>
  <si>
    <t>Reversible cell Voltage</t>
  </si>
  <si>
    <t>Energy Produced</t>
  </si>
  <si>
    <t>Main Electrochemical values</t>
  </si>
  <si>
    <t>jlim</t>
  </si>
  <si>
    <t>Current Density Limit</t>
  </si>
  <si>
    <t>Anode Exchange Current Density</t>
  </si>
  <si>
    <t>Cathode Exchange Current Density</t>
  </si>
  <si>
    <t>θ</t>
  </si>
  <si>
    <t>Bubble rate coverage</t>
  </si>
  <si>
    <t>Voltage loss due to bubble formation</t>
  </si>
  <si>
    <t>H2 production curve [kg/(h.cell)]</t>
  </si>
  <si>
    <t>H2O consumption</t>
  </si>
  <si>
    <t>Water consumption</t>
  </si>
  <si>
    <t>jav [A/m^2]</t>
  </si>
  <si>
    <t>iav [A]</t>
  </si>
  <si>
    <t>H2_mf [kg/h]</t>
  </si>
  <si>
    <t>H2O converted</t>
  </si>
  <si>
    <t>Percentage of water consumed used for electrolysys</t>
  </si>
  <si>
    <r>
      <t>η</t>
    </r>
    <r>
      <rPr>
        <rFont val="Calibri"/>
        <color rgb="FF000000"/>
        <sz val="11.0"/>
        <vertAlign val="subscript"/>
      </rPr>
      <t>F</t>
    </r>
  </si>
  <si>
    <r>
      <t>η</t>
    </r>
    <r>
      <rPr>
        <rFont val="Calibri"/>
        <color rgb="FF000000"/>
        <sz val="11.0"/>
        <vertAlign val="subscript"/>
      </rPr>
      <t>HHV</t>
    </r>
  </si>
  <si>
    <r>
      <t>ε</t>
    </r>
    <r>
      <rPr>
        <rFont val="Calibri"/>
        <color rgb="FF000000"/>
        <sz val="11.0"/>
        <vertAlign val="subscript"/>
      </rPr>
      <t>cell,case1</t>
    </r>
  </si>
  <si>
    <r>
      <t>ε</t>
    </r>
    <r>
      <rPr>
        <rFont val="Calibri"/>
        <color rgb="FF000000"/>
        <sz val="11.0"/>
        <vertAlign val="subscript"/>
      </rPr>
      <t>cell,case2</t>
    </r>
  </si>
  <si>
    <r>
      <t>ε</t>
    </r>
    <r>
      <rPr>
        <rFont val="Calibri"/>
        <color rgb="FF000000"/>
        <sz val="11.0"/>
        <vertAlign val="subscript"/>
      </rPr>
      <t>cell,case3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</si>
</sst>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0"/>
    <numFmt numFmtId="165" formatCode="0.000"/>
    <numFmt numFmtId="166" formatCode="0.000000000"/>
    <numFmt numFmtId="167" formatCode="0.0%"/>
    <numFmt numFmtId="168" formatCode="0.000E+00"/>
    <numFmt numFmtId="169" formatCode="0.0"/>
    <numFmt numFmtId="170" formatCode="0.00000"/>
    <numFmt numFmtId="171" formatCode="0.00000000"/>
  </numFmts>
  <fonts count="7">
    <font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11.0"/>
      <color rgb="FFFF0000"/>
      <name val="Calibri"/>
    </font>
    <font>
      <sz val="11.0"/>
      <color rgb="FF0000FF"/>
      <name val="Calibri"/>
    </font>
    <font>
      <sz val="11.0"/>
      <color rgb="FFF7981D"/>
      <name val="Inconsolata"/>
    </font>
    <font/>
  </fonts>
  <fills count="12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2" fillId="2" fontId="0" numFmtId="0" xfId="0" applyBorder="1" applyFill="1" applyFont="1"/>
    <xf borderId="0" fillId="0" fontId="0" numFmtId="0" xfId="0" applyAlignment="1" applyFont="1">
      <alignment horizontal="center"/>
    </xf>
    <xf borderId="3" fillId="0" fontId="0" numFmtId="0" xfId="0" applyBorder="1" applyFont="1"/>
    <xf borderId="0" fillId="0" fontId="1" numFmtId="0" xfId="0" applyFont="1"/>
    <xf borderId="4" fillId="0" fontId="1" numFmtId="0" xfId="0" applyBorder="1" applyFont="1"/>
    <xf borderId="5" fillId="0" fontId="0" numFmtId="0" xfId="0" applyBorder="1" applyFont="1"/>
    <xf borderId="6" fillId="0" fontId="1" numFmtId="0" xfId="0" applyBorder="1" applyFont="1"/>
    <xf borderId="0" fillId="0" fontId="2" numFmtId="1" xfId="0" applyAlignment="1" applyFont="1" applyNumberFormat="1">
      <alignment readingOrder="0"/>
    </xf>
    <xf borderId="0" fillId="0" fontId="2" numFmtId="1" xfId="0" applyFont="1" applyNumberFormat="1"/>
    <xf borderId="0" fillId="0" fontId="3" numFmtId="0" xfId="0" applyFont="1"/>
    <xf borderId="0" fillId="0" fontId="1" numFmtId="1" xfId="0" applyFont="1" applyNumberFormat="1"/>
    <xf borderId="0" fillId="0" fontId="0" numFmtId="0" xfId="0" applyFont="1"/>
    <xf borderId="7" fillId="0" fontId="0" numFmtId="0" xfId="0" applyBorder="1" applyFont="1"/>
    <xf borderId="8" fillId="0" fontId="1" numFmtId="0" xfId="0" applyBorder="1" applyFont="1"/>
    <xf borderId="2" fillId="3" fontId="0" numFmtId="0" xfId="0" applyBorder="1" applyFill="1" applyFont="1"/>
    <xf borderId="0" fillId="0" fontId="2" numFmtId="164" xfId="0" applyFont="1" applyNumberFormat="1"/>
    <xf borderId="0" fillId="0" fontId="2" numFmtId="165" xfId="0" applyFont="1" applyNumberFormat="1"/>
    <xf borderId="0" fillId="0" fontId="1" numFmtId="164" xfId="0" applyFont="1" applyNumberFormat="1"/>
    <xf borderId="0" fillId="0" fontId="0" numFmtId="166" xfId="0" applyFont="1" applyNumberFormat="1"/>
    <xf borderId="0" fillId="0" fontId="0" numFmtId="167" xfId="0" applyFont="1" applyNumberFormat="1"/>
    <xf borderId="0" fillId="0" fontId="0" numFmtId="1" xfId="0" applyFont="1" applyNumberFormat="1"/>
    <xf borderId="0" fillId="0" fontId="1" numFmtId="165" xfId="0" applyFont="1" applyNumberFormat="1"/>
    <xf borderId="0" fillId="0" fontId="0" numFmtId="165" xfId="0" applyFont="1" applyNumberFormat="1"/>
    <xf borderId="0" fillId="0" fontId="0" numFmtId="164" xfId="0" applyFont="1" applyNumberFormat="1"/>
    <xf borderId="0" fillId="0" fontId="0" numFmtId="168" xfId="0" applyFont="1" applyNumberFormat="1"/>
    <xf borderId="2" fillId="4" fontId="0" numFmtId="0" xfId="0" applyBorder="1" applyFill="1" applyFont="1"/>
    <xf borderId="0" fillId="0" fontId="0" numFmtId="2" xfId="0" applyFont="1" applyNumberFormat="1"/>
    <xf borderId="0" fillId="0" fontId="0" numFmtId="169" xfId="0" applyFont="1" applyNumberFormat="1"/>
    <xf borderId="0" fillId="0" fontId="0" numFmtId="170" xfId="0" applyFont="1" applyNumberFormat="1"/>
    <xf borderId="0" fillId="0" fontId="0" numFmtId="11" xfId="0" applyFont="1" applyNumberFormat="1"/>
    <xf borderId="0" fillId="0" fontId="0" numFmtId="1" xfId="0" applyAlignment="1" applyFont="1" applyNumberFormat="1">
      <alignment horizontal="center"/>
    </xf>
    <xf borderId="0" fillId="0" fontId="0" numFmtId="2" xfId="0" applyAlignment="1" applyFont="1" applyNumberFormat="1">
      <alignment horizontal="center"/>
    </xf>
    <xf borderId="0" fillId="0" fontId="0" numFmtId="9" xfId="0" applyFont="1" applyNumberFormat="1"/>
    <xf borderId="2" fillId="5" fontId="0" numFmtId="0" xfId="0" applyBorder="1" applyFill="1" applyFont="1"/>
    <xf borderId="0" fillId="0" fontId="0" numFmtId="165" xfId="0" applyAlignment="1" applyFont="1" applyNumberFormat="1">
      <alignment horizontal="center" readingOrder="0" shrinkToFit="0" vertical="bottom" wrapText="0"/>
    </xf>
    <xf borderId="0" fillId="0" fontId="0" numFmtId="165" xfId="0" applyAlignment="1" applyFont="1" applyNumberFormat="1">
      <alignment horizontal="right" readingOrder="0" shrinkToFit="0" vertical="bottom" wrapText="0"/>
    </xf>
    <xf borderId="2" fillId="6" fontId="0" numFmtId="0" xfId="0" applyBorder="1" applyFill="1" applyFont="1"/>
    <xf borderId="2" fillId="7" fontId="0" numFmtId="0" xfId="0" applyBorder="1" applyFill="1" applyFont="1"/>
    <xf borderId="2" fillId="8" fontId="0" numFmtId="0" xfId="0" applyBorder="1" applyFill="1" applyFont="1"/>
    <xf borderId="4" fillId="0" fontId="0" numFmtId="0" xfId="0" applyBorder="1" applyFont="1"/>
    <xf borderId="2" fillId="7" fontId="4" numFmtId="0" xfId="0" applyAlignment="1" applyBorder="1" applyFont="1">
      <alignment readingOrder="0"/>
    </xf>
    <xf borderId="6" fillId="0" fontId="4" numFmtId="0" xfId="0" applyBorder="1" applyFont="1"/>
    <xf borderId="8" fillId="0" fontId="4" numFmtId="0" xfId="0" applyBorder="1" applyFont="1"/>
    <xf borderId="2" fillId="8" fontId="1" numFmtId="1" xfId="0" applyBorder="1" applyFont="1" applyNumberFormat="1"/>
    <xf borderId="2" fillId="8" fontId="0" numFmtId="2" xfId="0" applyBorder="1" applyFont="1" applyNumberFormat="1"/>
    <xf borderId="0" fillId="0" fontId="0" numFmtId="171" xfId="0" applyFont="1" applyNumberFormat="1"/>
    <xf borderId="2" fillId="8" fontId="0" numFmtId="1" xfId="0" applyBorder="1" applyFont="1" applyNumberFormat="1"/>
    <xf borderId="2" fillId="8" fontId="0" numFmtId="169" xfId="0" applyBorder="1" applyFont="1" applyNumberFormat="1"/>
    <xf borderId="2" fillId="7" fontId="4" numFmtId="0" xfId="0" applyBorder="1" applyFont="1"/>
    <xf borderId="2" fillId="9" fontId="0" numFmtId="0" xfId="0" applyBorder="1" applyFill="1" applyFont="1"/>
    <xf borderId="2" fillId="10" fontId="0" numFmtId="0" xfId="0" applyBorder="1" applyFill="1" applyFont="1"/>
    <xf borderId="2" fillId="9" fontId="1" numFmtId="1" xfId="0" applyBorder="1" applyFont="1" applyNumberFormat="1"/>
    <xf borderId="2" fillId="9" fontId="0" numFmtId="2" xfId="0" applyBorder="1" applyFont="1" applyNumberFormat="1"/>
    <xf borderId="2" fillId="10" fontId="4" numFmtId="0" xfId="0" applyBorder="1" applyFont="1"/>
    <xf borderId="2" fillId="9" fontId="0" numFmtId="169" xfId="0" applyBorder="1" applyFont="1" applyNumberFormat="1"/>
    <xf borderId="2" fillId="10" fontId="0" numFmtId="0" xfId="0" applyAlignment="1" applyBorder="1" applyFont="1">
      <alignment horizontal="center"/>
    </xf>
    <xf borderId="2" fillId="10" fontId="0" numFmtId="1" xfId="0" applyAlignment="1" applyBorder="1" applyFont="1" applyNumberFormat="1">
      <alignment horizontal="center"/>
    </xf>
    <xf borderId="2" fillId="10" fontId="0" numFmtId="2" xfId="0" applyAlignment="1" applyBorder="1" applyFont="1" applyNumberFormat="1">
      <alignment horizontal="center"/>
    </xf>
    <xf borderId="2" fillId="10" fontId="4" numFmtId="0" xfId="0" applyAlignment="1" applyBorder="1" applyFont="1">
      <alignment horizontal="center"/>
    </xf>
    <xf borderId="2" fillId="9" fontId="0" numFmtId="165" xfId="0" applyBorder="1" applyFont="1" applyNumberFormat="1"/>
    <xf borderId="2" fillId="9" fontId="0" numFmtId="1" xfId="0" applyBorder="1" applyFont="1" applyNumberFormat="1"/>
    <xf borderId="2" fillId="9" fontId="2" numFmtId="0" xfId="0" applyBorder="1" applyFont="1"/>
    <xf borderId="2" fillId="9" fontId="0" numFmtId="11" xfId="0" applyBorder="1" applyFont="1" applyNumberFormat="1"/>
    <xf borderId="2" fillId="10" fontId="0" numFmtId="0" xfId="0" applyAlignment="1" applyBorder="1" applyFont="1">
      <alignment readingOrder="0"/>
    </xf>
    <xf borderId="2" fillId="10" fontId="0" numFmtId="165" xfId="0" applyAlignment="1" applyBorder="1" applyFont="1" applyNumberFormat="1">
      <alignment horizontal="center"/>
    </xf>
    <xf borderId="2" fillId="10" fontId="0" numFmtId="0" xfId="0" applyAlignment="1" applyBorder="1" applyFont="1">
      <alignment horizontal="center" readingOrder="0"/>
    </xf>
    <xf borderId="2" fillId="9" fontId="0" numFmtId="9" xfId="0" applyBorder="1" applyFont="1" applyNumberFormat="1"/>
    <xf borderId="0" fillId="11" fontId="5" numFmtId="165" xfId="0" applyFill="1" applyFont="1" applyNumberFormat="1"/>
    <xf borderId="0" fillId="11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Polarisation curves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Interface!$L$21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Interface!$J$22:$J$39</c:f>
            </c:numRef>
          </c:xVal>
          <c:yVal>
            <c:numRef>
              <c:f>Interface!$L$22:$L$39</c:f>
            </c:numRef>
          </c:yVal>
        </c:ser>
        <c:ser>
          <c:idx val="1"/>
          <c:order val="1"/>
          <c:tx>
            <c:strRef>
              <c:f>Interface!$M$21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Interface!$J$22:$J$39</c:f>
            </c:numRef>
          </c:xVal>
          <c:yVal>
            <c:numRef>
              <c:f>Interface!$M$22:$M$39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236427"/>
        <c:axId val="454888914"/>
      </c:scatterChart>
      <c:valAx>
        <c:axId val="152323642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iav (A/m2)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54888914"/>
      </c:valAx>
      <c:valAx>
        <c:axId val="454888914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Cell Voltage (V)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2323642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H2 mass production vs current density </a:t>
            </a:r>
          </a:p>
        </c:rich>
      </c:tx>
      <c:overlay val="0"/>
    </c:title>
    <c:plotArea>
      <c:layout>
        <c:manualLayout>
          <c:xMode val="edge"/>
          <c:yMode val="edge"/>
          <c:x val="0.1198233373280741"/>
          <c:y val="0.15340519974485878"/>
          <c:w val="0.6977007784275528"/>
          <c:h val="0.71870648438905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xVal>
            <c:numRef>
              <c:f>Interface!$J$49:$J$66</c:f>
            </c:numRef>
          </c:xVal>
          <c:yVal>
            <c:numRef>
              <c:f>Interface!$L$49:$L$66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91331"/>
        <c:axId val="1263528415"/>
      </c:scatterChart>
      <c:valAx>
        <c:axId val="7574913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jav [A/m^2]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3528415"/>
      </c:valAx>
      <c:valAx>
        <c:axId val="1263528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H2 mass prod [kg/h]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5749133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13</xdr:col>
      <xdr:colOff>485775</xdr:colOff>
      <xdr:row>15</xdr:row>
      <xdr:rowOff>19050</xdr:rowOff>
    </xdr:from>
    <xdr:ext cx="5543550" cy="3629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266700</xdr:colOff>
      <xdr:row>34</xdr:row>
      <xdr:rowOff>76200</xdr:rowOff>
    </xdr:from>
    <xdr:ext cx="6553200" cy="3886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4.57"/>
    <col customWidth="1" min="3" max="4" width="10.71"/>
    <col customWidth="1" min="5" max="5" width="22.14"/>
    <col customWidth="1" min="6" max="6" width="10.71"/>
    <col customWidth="1" min="7" max="7" width="13.29"/>
    <col customWidth="1" min="8" max="8" width="18.14"/>
    <col customWidth="1" min="9" max="13" width="10.71"/>
    <col customWidth="1" min="14" max="14" width="29.57"/>
    <col customWidth="1" min="15" max="29" width="10.71"/>
  </cols>
  <sheetData>
    <row r="3">
      <c r="B3" s="39" t="s">
        <v>165</v>
      </c>
      <c r="C3" s="39"/>
      <c r="D3" s="39"/>
      <c r="E3" s="39"/>
      <c r="F3" s="39"/>
      <c r="G3" s="39"/>
      <c r="H3" s="1" t="s">
        <v>1</v>
      </c>
      <c r="K3" s="40" t="s">
        <v>166</v>
      </c>
      <c r="L3" s="40"/>
      <c r="M3" s="40"/>
      <c r="N3" s="40"/>
    </row>
    <row r="4">
      <c r="B4" s="39" t="s">
        <v>167</v>
      </c>
      <c r="C4" s="39"/>
      <c r="D4" s="39"/>
      <c r="E4" s="39"/>
      <c r="F4" s="39"/>
      <c r="G4" s="39"/>
      <c r="H4" s="4" t="s">
        <v>4</v>
      </c>
      <c r="I4" s="41">
        <f>0.06*F5+0.2</f>
        <v>4.4</v>
      </c>
      <c r="K4" s="40"/>
      <c r="L4" s="40"/>
      <c r="M4" s="40"/>
      <c r="N4" s="40"/>
    </row>
    <row r="5">
      <c r="B5" s="39" t="s">
        <v>168</v>
      </c>
      <c r="C5" s="42">
        <v>10.0</v>
      </c>
      <c r="D5" s="39" t="s">
        <v>6</v>
      </c>
      <c r="E5" s="39" t="s">
        <v>169</v>
      </c>
      <c r="F5" s="42">
        <v>70.0</v>
      </c>
      <c r="G5" s="39" t="s">
        <v>8</v>
      </c>
      <c r="H5" s="7" t="s">
        <v>9</v>
      </c>
      <c r="I5" s="43">
        <v>0.75</v>
      </c>
      <c r="K5" s="40" t="s">
        <v>170</v>
      </c>
      <c r="L5" s="40"/>
      <c r="M5" s="40"/>
      <c r="N5" s="40"/>
    </row>
    <row r="6">
      <c r="B6" s="39" t="s">
        <v>171</v>
      </c>
      <c r="C6" s="42">
        <v>35.0</v>
      </c>
      <c r="D6" s="39" t="s">
        <v>12</v>
      </c>
      <c r="E6" s="39"/>
      <c r="F6" s="39"/>
      <c r="G6" s="39"/>
      <c r="H6" s="14" t="s">
        <v>31</v>
      </c>
      <c r="I6" s="44">
        <v>0.9</v>
      </c>
      <c r="K6" s="40" t="s">
        <v>26</v>
      </c>
      <c r="L6" s="45">
        <f>'Cell Calculation'!C13</f>
        <v>1980</v>
      </c>
      <c r="M6" s="40" t="s">
        <v>17</v>
      </c>
      <c r="N6" s="40" t="s">
        <v>27</v>
      </c>
    </row>
    <row r="7">
      <c r="B7" s="39" t="s">
        <v>23</v>
      </c>
      <c r="C7" s="42">
        <v>18000.0</v>
      </c>
      <c r="D7" s="39" t="s">
        <v>24</v>
      </c>
      <c r="E7" s="39"/>
      <c r="F7" s="39"/>
      <c r="G7" s="39"/>
      <c r="K7" s="40" t="s">
        <v>110</v>
      </c>
      <c r="L7" s="46">
        <f>'Cell Calculation'!C53</f>
        <v>2.168578248</v>
      </c>
      <c r="M7" s="40" t="s">
        <v>59</v>
      </c>
      <c r="N7" s="40" t="s">
        <v>111</v>
      </c>
    </row>
    <row r="8">
      <c r="B8" s="39"/>
      <c r="C8" s="39"/>
      <c r="D8" s="39"/>
      <c r="E8" s="39"/>
      <c r="F8" s="39"/>
      <c r="G8" s="39"/>
      <c r="I8" s="47"/>
      <c r="K8" s="40" t="s">
        <v>172</v>
      </c>
      <c r="L8" s="48">
        <f>L7*L6*C10/1000</f>
        <v>1253.7852</v>
      </c>
      <c r="M8" s="40" t="s">
        <v>173</v>
      </c>
      <c r="N8" s="40" t="s">
        <v>174</v>
      </c>
    </row>
    <row r="9">
      <c r="B9" s="39" t="s">
        <v>175</v>
      </c>
      <c r="C9" s="39"/>
      <c r="D9" s="39"/>
      <c r="E9" s="39"/>
      <c r="F9" s="39"/>
      <c r="G9" s="39"/>
      <c r="K9" s="40" t="s">
        <v>176</v>
      </c>
      <c r="L9" s="46">
        <f>'Cell Calculation'!C73*C10</f>
        <v>235.6407107</v>
      </c>
      <c r="M9" s="40" t="s">
        <v>147</v>
      </c>
      <c r="N9" s="40" t="s">
        <v>177</v>
      </c>
    </row>
    <row r="10">
      <c r="B10" s="39" t="s">
        <v>178</v>
      </c>
      <c r="C10" s="42">
        <f>146*2</f>
        <v>292</v>
      </c>
      <c r="D10" s="39" t="s">
        <v>179</v>
      </c>
      <c r="E10" s="39" t="s">
        <v>180</v>
      </c>
      <c r="F10" s="39"/>
      <c r="G10" s="39"/>
      <c r="K10" s="40" t="s">
        <v>181</v>
      </c>
      <c r="L10" s="46">
        <f>L8/L9</f>
        <v>5.320749527</v>
      </c>
      <c r="M10" s="40" t="s">
        <v>182</v>
      </c>
      <c r="N10" s="40" t="s">
        <v>183</v>
      </c>
    </row>
    <row r="11">
      <c r="B11" s="39" t="s">
        <v>17</v>
      </c>
      <c r="C11" s="42">
        <v>0.11</v>
      </c>
      <c r="D11" s="39" t="s">
        <v>184</v>
      </c>
      <c r="E11" s="39" t="s">
        <v>185</v>
      </c>
      <c r="F11" s="39"/>
      <c r="G11" s="39"/>
      <c r="K11" s="40" t="s">
        <v>186</v>
      </c>
      <c r="L11" s="49">
        <f>'Cell Calculation'!C85*100</f>
        <v>66.7813879</v>
      </c>
      <c r="M11" s="40" t="s">
        <v>187</v>
      </c>
      <c r="N11" s="40" t="s">
        <v>188</v>
      </c>
    </row>
    <row r="12">
      <c r="B12" s="39" t="s">
        <v>20</v>
      </c>
      <c r="C12" s="50">
        <v>0.0015</v>
      </c>
      <c r="D12" s="39" t="s">
        <v>21</v>
      </c>
      <c r="E12" s="39" t="s">
        <v>22</v>
      </c>
      <c r="F12" s="39"/>
      <c r="G12" s="39"/>
      <c r="K12" s="40"/>
      <c r="L12" s="40"/>
      <c r="M12" s="40"/>
      <c r="N12" s="40"/>
    </row>
    <row r="13">
      <c r="B13" s="39" t="s">
        <v>28</v>
      </c>
      <c r="C13" s="50">
        <v>0.001</v>
      </c>
      <c r="D13" s="39" t="s">
        <v>21</v>
      </c>
      <c r="E13" s="39" t="s">
        <v>29</v>
      </c>
      <c r="F13" s="39"/>
      <c r="G13" s="39"/>
      <c r="K13" s="40" t="s">
        <v>189</v>
      </c>
      <c r="L13" s="46">
        <f>'Cell Calculation'!C74</f>
        <v>0.4067375753</v>
      </c>
      <c r="M13" s="40" t="s">
        <v>147</v>
      </c>
      <c r="N13" s="40" t="s">
        <v>190</v>
      </c>
    </row>
    <row r="14">
      <c r="K14" s="40" t="s">
        <v>191</v>
      </c>
      <c r="L14" s="49">
        <f>C48*C10</f>
        <v>195.8005638</v>
      </c>
      <c r="M14" s="40" t="s">
        <v>140</v>
      </c>
      <c r="N14" s="40" t="s">
        <v>192</v>
      </c>
    </row>
    <row r="15">
      <c r="B15" s="51" t="s">
        <v>193</v>
      </c>
      <c r="C15" s="51"/>
      <c r="D15" s="51"/>
      <c r="E15" s="51"/>
      <c r="F15" s="51"/>
      <c r="G15" s="51"/>
    </row>
    <row r="16">
      <c r="B16" s="51"/>
      <c r="C16" s="51"/>
      <c r="D16" s="51"/>
      <c r="E16" s="51"/>
      <c r="F16" s="51"/>
      <c r="G16" s="51"/>
    </row>
    <row r="17">
      <c r="B17" s="51" t="s">
        <v>170</v>
      </c>
      <c r="C17" s="51"/>
      <c r="D17" s="51"/>
      <c r="E17" s="51"/>
      <c r="F17" s="51"/>
      <c r="G17" s="51"/>
      <c r="J17" s="52" t="s">
        <v>194</v>
      </c>
      <c r="K17" s="52"/>
      <c r="L17" s="52"/>
      <c r="M17" s="52"/>
    </row>
    <row r="18">
      <c r="B18" s="51" t="s">
        <v>26</v>
      </c>
      <c r="C18" s="53">
        <f>'Cell Calculation'!C13</f>
        <v>1980</v>
      </c>
      <c r="D18" s="51" t="s">
        <v>17</v>
      </c>
      <c r="E18" s="51" t="s">
        <v>27</v>
      </c>
      <c r="F18" s="51"/>
      <c r="G18" s="51"/>
      <c r="J18" s="52" t="s">
        <v>195</v>
      </c>
      <c r="K18" s="52">
        <v>10.0</v>
      </c>
      <c r="L18" s="52"/>
      <c r="M18" s="52"/>
    </row>
    <row r="19">
      <c r="B19" s="51" t="s">
        <v>110</v>
      </c>
      <c r="C19" s="54">
        <f>'Cell Calculation'!C53</f>
        <v>2.168578248</v>
      </c>
      <c r="D19" s="51" t="s">
        <v>59</v>
      </c>
      <c r="E19" s="51" t="s">
        <v>111</v>
      </c>
      <c r="F19" s="51"/>
      <c r="G19" s="51"/>
      <c r="J19" s="52" t="s">
        <v>196</v>
      </c>
      <c r="K19" s="55">
        <v>12000.0</v>
      </c>
      <c r="L19" s="52"/>
      <c r="M19" s="52"/>
    </row>
    <row r="20">
      <c r="B20" s="51" t="s">
        <v>181</v>
      </c>
      <c r="C20" s="54">
        <f>('Cell Calculation'!C84/1000)/'Cell Calculation'!C73</f>
        <v>5.320749527</v>
      </c>
      <c r="D20" s="51" t="s">
        <v>182</v>
      </c>
      <c r="E20" s="51" t="s">
        <v>183</v>
      </c>
      <c r="F20" s="51"/>
      <c r="G20" s="51"/>
      <c r="J20" s="52"/>
      <c r="K20" s="52"/>
      <c r="L20" s="52"/>
      <c r="M20" s="52"/>
    </row>
    <row r="21" ht="15.75" customHeight="1">
      <c r="B21" s="51" t="s">
        <v>197</v>
      </c>
      <c r="C21" s="56">
        <f>'Cell Calculation'!C85*100</f>
        <v>66.7813879</v>
      </c>
      <c r="D21" s="51" t="s">
        <v>187</v>
      </c>
      <c r="E21" s="51" t="s">
        <v>188</v>
      </c>
      <c r="F21" s="51"/>
      <c r="G21" s="51"/>
      <c r="J21" s="57" t="s">
        <v>23</v>
      </c>
      <c r="K21" s="57" t="s">
        <v>17</v>
      </c>
      <c r="L21" s="57" t="s">
        <v>198</v>
      </c>
      <c r="M21" s="57" t="s">
        <v>199</v>
      </c>
    </row>
    <row r="22" ht="15.75" customHeight="1">
      <c r="B22" s="51" t="s">
        <v>200</v>
      </c>
      <c r="C22" s="54">
        <f>'Cell Calculation'!C63*100</f>
        <v>98.24993177</v>
      </c>
      <c r="D22" s="51" t="s">
        <v>187</v>
      </c>
      <c r="E22" s="51" t="s">
        <v>127</v>
      </c>
      <c r="F22" s="51"/>
      <c r="G22" s="51"/>
      <c r="J22" s="57">
        <f>Graph!D12</f>
        <v>10</v>
      </c>
      <c r="K22" s="58">
        <f t="shared" ref="K22:K39" si="1">J22*$C$11</f>
        <v>1.1</v>
      </c>
      <c r="L22" s="59">
        <f>Graph!D53</f>
        <v>1.236770553</v>
      </c>
      <c r="M22" s="60">
        <v>1.2</v>
      </c>
    </row>
    <row r="23" ht="15.75" customHeight="1">
      <c r="B23" s="51"/>
      <c r="C23" s="51"/>
      <c r="D23" s="51"/>
      <c r="E23" s="51"/>
      <c r="F23" s="51"/>
      <c r="G23" s="51"/>
      <c r="J23" s="57">
        <f>Graph!E12</f>
        <v>510</v>
      </c>
      <c r="K23" s="58">
        <f t="shared" si="1"/>
        <v>56.1</v>
      </c>
      <c r="L23" s="59">
        <f>Graph!E53</f>
        <v>1.597386798</v>
      </c>
      <c r="M23" s="60"/>
    </row>
    <row r="24" ht="15.75" customHeight="1">
      <c r="B24" s="51" t="s">
        <v>34</v>
      </c>
      <c r="C24" s="51"/>
      <c r="D24" s="51"/>
      <c r="E24" s="51"/>
      <c r="F24" s="51"/>
      <c r="G24" s="51"/>
      <c r="J24" s="57">
        <f>Graph!F12</f>
        <v>1010</v>
      </c>
      <c r="K24" s="58">
        <f t="shared" si="1"/>
        <v>111.1</v>
      </c>
      <c r="L24" s="59">
        <f>Graph!F53</f>
        <v>1.665856934</v>
      </c>
      <c r="M24" s="60"/>
    </row>
    <row r="25" ht="15.75" customHeight="1">
      <c r="B25" s="51" t="s">
        <v>201</v>
      </c>
      <c r="C25" s="61">
        <f>'Cell Calculation'!C38</f>
        <v>1.497851769</v>
      </c>
      <c r="D25" s="51" t="s">
        <v>59</v>
      </c>
      <c r="E25" s="51" t="s">
        <v>202</v>
      </c>
      <c r="F25" s="51"/>
      <c r="G25" s="51"/>
      <c r="J25" s="57">
        <f>Graph!G12</f>
        <v>1510</v>
      </c>
      <c r="K25" s="58">
        <f t="shared" si="1"/>
        <v>166.1</v>
      </c>
      <c r="L25" s="59">
        <f>Graph!G53</f>
        <v>1.708802522</v>
      </c>
      <c r="M25" s="60"/>
    </row>
    <row r="26" ht="15.75" customHeight="1">
      <c r="B26" s="51" t="s">
        <v>203</v>
      </c>
      <c r="C26" s="61">
        <f>'Cell Calculation'!C29</f>
        <v>1.250786256</v>
      </c>
      <c r="D26" s="51" t="s">
        <v>59</v>
      </c>
      <c r="E26" s="51" t="s">
        <v>204</v>
      </c>
      <c r="F26" s="51"/>
      <c r="G26" s="51"/>
      <c r="J26" s="57">
        <f>Graph!H12</f>
        <v>2010</v>
      </c>
      <c r="K26" s="58">
        <f t="shared" si="1"/>
        <v>221.1</v>
      </c>
      <c r="L26" s="59">
        <f>Graph!H53</f>
        <v>1.741212563</v>
      </c>
      <c r="M26" s="60"/>
    </row>
    <row r="27" ht="15.75" customHeight="1">
      <c r="B27" s="51" t="s">
        <v>155</v>
      </c>
      <c r="C27" s="62">
        <f>'Cell Calculation'!C82</f>
        <v>1379.941016</v>
      </c>
      <c r="D27" s="51" t="s">
        <v>156</v>
      </c>
      <c r="E27" s="51" t="s">
        <v>157</v>
      </c>
      <c r="F27" s="51"/>
      <c r="G27" s="51"/>
      <c r="J27" s="57">
        <f>Graph!I12</f>
        <v>2510</v>
      </c>
      <c r="K27" s="58">
        <f t="shared" si="1"/>
        <v>276.1</v>
      </c>
      <c r="L27" s="59">
        <f>Graph!I53</f>
        <v>1.767846547</v>
      </c>
      <c r="M27" s="60"/>
    </row>
    <row r="28" ht="15.75" customHeight="1">
      <c r="B28" s="51" t="s">
        <v>158</v>
      </c>
      <c r="C28" s="62">
        <f>'Cell Calculation'!C83</f>
        <v>2913.843916</v>
      </c>
      <c r="D28" s="51" t="s">
        <v>156</v>
      </c>
      <c r="E28" s="51" t="s">
        <v>205</v>
      </c>
      <c r="F28" s="51"/>
      <c r="G28" s="51"/>
      <c r="J28" s="57">
        <f>Graph!J12</f>
        <v>3010</v>
      </c>
      <c r="K28" s="58">
        <f t="shared" si="1"/>
        <v>331.1</v>
      </c>
      <c r="L28" s="59">
        <f>Graph!J53</f>
        <v>1.790837251</v>
      </c>
      <c r="M28" s="60"/>
    </row>
    <row r="29" ht="15.75" customHeight="1">
      <c r="B29" s="51" t="s">
        <v>96</v>
      </c>
      <c r="C29" s="62">
        <f>'Cell Calculation'!C55</f>
        <v>1321.110158</v>
      </c>
      <c r="D29" s="51" t="s">
        <v>47</v>
      </c>
      <c r="E29" s="51" t="s">
        <v>112</v>
      </c>
      <c r="F29" s="51"/>
      <c r="G29" s="51"/>
      <c r="J29" s="57">
        <f>Graph!K12</f>
        <v>3510</v>
      </c>
      <c r="K29" s="58">
        <f t="shared" si="1"/>
        <v>386.1</v>
      </c>
      <c r="L29" s="59">
        <f>Graph!K53</f>
        <v>1.811326164</v>
      </c>
      <c r="M29" s="60"/>
    </row>
    <row r="30" ht="15.75" customHeight="1">
      <c r="B30" s="51"/>
      <c r="C30" s="54"/>
      <c r="D30" s="51"/>
      <c r="E30" s="51"/>
      <c r="F30" s="51"/>
      <c r="G30" s="51"/>
      <c r="J30" s="57">
        <f>Graph!L12</f>
        <v>4010</v>
      </c>
      <c r="K30" s="58">
        <f t="shared" si="1"/>
        <v>441.1</v>
      </c>
      <c r="L30" s="59">
        <f>Graph!L53</f>
        <v>1.829995954</v>
      </c>
      <c r="M30" s="60"/>
    </row>
    <row r="31" ht="15.75" customHeight="1">
      <c r="B31" s="51" t="s">
        <v>206</v>
      </c>
      <c r="C31" s="51"/>
      <c r="D31" s="51"/>
      <c r="E31" s="51"/>
      <c r="F31" s="51"/>
      <c r="G31" s="51"/>
      <c r="J31" s="57">
        <f>Graph!M12</f>
        <v>4510</v>
      </c>
      <c r="K31" s="58">
        <f t="shared" si="1"/>
        <v>496.1</v>
      </c>
      <c r="L31" s="59">
        <f>Graph!M53</f>
        <v>1.847287394</v>
      </c>
      <c r="M31" s="60"/>
    </row>
    <row r="32" ht="15.75" customHeight="1">
      <c r="B32" s="51" t="s">
        <v>207</v>
      </c>
      <c r="C32" s="63">
        <v>300.0</v>
      </c>
      <c r="D32" s="51" t="s">
        <v>14</v>
      </c>
      <c r="E32" s="51" t="s">
        <v>208</v>
      </c>
      <c r="F32" s="51"/>
      <c r="G32" s="51"/>
      <c r="J32" s="57">
        <f>Graph!N12</f>
        <v>5010</v>
      </c>
      <c r="K32" s="58">
        <f t="shared" si="1"/>
        <v>551.1</v>
      </c>
      <c r="L32" s="59">
        <f>Graph!N53</f>
        <v>1.863501551</v>
      </c>
      <c r="M32" s="60"/>
    </row>
    <row r="33" ht="15.75" customHeight="1">
      <c r="B33" s="51" t="s">
        <v>30</v>
      </c>
      <c r="C33" s="62">
        <f>'Cell Calculation'!C15</f>
        <v>41.1480465</v>
      </c>
      <c r="D33" s="51" t="s">
        <v>24</v>
      </c>
      <c r="E33" s="51" t="s">
        <v>209</v>
      </c>
      <c r="F33" s="51"/>
      <c r="G33" s="51"/>
      <c r="J33" s="57">
        <f>Graph!O12</f>
        <v>6010</v>
      </c>
      <c r="K33" s="58">
        <f t="shared" si="1"/>
        <v>661.1</v>
      </c>
      <c r="L33" s="59">
        <f>Graph!O53</f>
        <v>1.893500605</v>
      </c>
      <c r="M33" s="60">
        <v>1.8</v>
      </c>
    </row>
    <row r="34" ht="15.75" customHeight="1">
      <c r="B34" s="51" t="s">
        <v>33</v>
      </c>
      <c r="C34" s="62">
        <f>'Cell Calculation'!C16</f>
        <v>2.9970897</v>
      </c>
      <c r="D34" s="51" t="s">
        <v>24</v>
      </c>
      <c r="E34" s="51" t="s">
        <v>210</v>
      </c>
      <c r="F34" s="51"/>
      <c r="G34" s="51"/>
      <c r="J34" s="57">
        <f>Graph!P12</f>
        <v>7010</v>
      </c>
      <c r="K34" s="58">
        <f t="shared" si="1"/>
        <v>771.1</v>
      </c>
      <c r="L34" s="59">
        <f>Graph!P53</f>
        <v>1.921137259</v>
      </c>
      <c r="M34" s="60"/>
    </row>
    <row r="35" ht="15.75" customHeight="1">
      <c r="B35" s="51" t="s">
        <v>80</v>
      </c>
      <c r="C35" s="61">
        <f>'Cell Calculation'!C40</f>
        <v>0.361994375</v>
      </c>
      <c r="D35" s="51"/>
      <c r="E35" s="51" t="s">
        <v>81</v>
      </c>
      <c r="F35" s="51"/>
      <c r="G35" s="51"/>
      <c r="J35" s="57">
        <f>Graph!Q12</f>
        <v>8010</v>
      </c>
      <c r="K35" s="58">
        <f t="shared" si="1"/>
        <v>881.1</v>
      </c>
      <c r="L35" s="59">
        <f>Graph!Q53</f>
        <v>1.947093063</v>
      </c>
      <c r="M35" s="60"/>
    </row>
    <row r="36" ht="15.75" customHeight="1">
      <c r="B36" s="51" t="s">
        <v>82</v>
      </c>
      <c r="C36" s="61">
        <f>'Cell Calculation'!C41</f>
        <v>0.311994375</v>
      </c>
      <c r="D36" s="51"/>
      <c r="E36" s="51" t="s">
        <v>83</v>
      </c>
      <c r="F36" s="51"/>
      <c r="G36" s="51"/>
      <c r="J36" s="57">
        <f>Graph!R12</f>
        <v>9010</v>
      </c>
      <c r="K36" s="58">
        <f t="shared" si="1"/>
        <v>991.1</v>
      </c>
      <c r="L36" s="59">
        <f>Graph!R53</f>
        <v>1.971806333</v>
      </c>
      <c r="M36" s="60"/>
    </row>
    <row r="37" ht="15.75" customHeight="1">
      <c r="B37" s="51" t="s">
        <v>211</v>
      </c>
      <c r="C37" s="61">
        <f>'Cell Calculation'!C42</f>
        <v>0.3913380683</v>
      </c>
      <c r="D37" s="51"/>
      <c r="E37" s="51" t="s">
        <v>212</v>
      </c>
      <c r="F37" s="51"/>
      <c r="G37" s="51"/>
      <c r="J37" s="57">
        <f>Graph!S12</f>
        <v>10010</v>
      </c>
      <c r="K37" s="58">
        <f t="shared" si="1"/>
        <v>1101.1</v>
      </c>
      <c r="L37" s="59">
        <f>Graph!S53</f>
        <v>1.995575254</v>
      </c>
      <c r="M37" s="60"/>
    </row>
    <row r="38" ht="15.75" customHeight="1">
      <c r="B38" s="51" t="s">
        <v>86</v>
      </c>
      <c r="C38" s="61">
        <f>'Cell Calculation'!C43</f>
        <v>0.3117002641</v>
      </c>
      <c r="D38" s="51" t="s">
        <v>59</v>
      </c>
      <c r="E38" s="51" t="s">
        <v>87</v>
      </c>
      <c r="F38" s="51"/>
      <c r="G38" s="51"/>
      <c r="J38" s="57">
        <f>Graph!T12</f>
        <v>11010</v>
      </c>
      <c r="K38" s="58">
        <f t="shared" si="1"/>
        <v>1211.1</v>
      </c>
      <c r="L38" s="59">
        <f>Graph!T53</f>
        <v>2.018611614</v>
      </c>
      <c r="M38" s="60"/>
    </row>
    <row r="39" ht="15.75" customHeight="1">
      <c r="B39" s="51" t="s">
        <v>88</v>
      </c>
      <c r="C39" s="61">
        <f>'Cell Calculation'!C44</f>
        <v>0.375638551</v>
      </c>
      <c r="D39" s="51" t="s">
        <v>59</v>
      </c>
      <c r="E39" s="51" t="s">
        <v>89</v>
      </c>
      <c r="F39" s="51"/>
      <c r="G39" s="51"/>
      <c r="J39" s="57">
        <f>Graph!U12</f>
        <v>12010</v>
      </c>
      <c r="K39" s="58">
        <f t="shared" si="1"/>
        <v>1321.1</v>
      </c>
      <c r="L39" s="59">
        <f>Graph!U53</f>
        <v>2.041071058</v>
      </c>
      <c r="M39" s="60">
        <v>1.915</v>
      </c>
    </row>
    <row r="40" ht="15.75" customHeight="1">
      <c r="B40" s="51" t="s">
        <v>100</v>
      </c>
      <c r="C40" s="62">
        <f>'Cell Calculation'!C49</f>
        <v>10917809.35</v>
      </c>
      <c r="D40" s="51" t="s">
        <v>94</v>
      </c>
      <c r="E40" s="51" t="s">
        <v>101</v>
      </c>
      <c r="F40" s="51"/>
      <c r="G40" s="51"/>
    </row>
    <row r="41" ht="15.75" customHeight="1">
      <c r="B41" s="51" t="s">
        <v>102</v>
      </c>
      <c r="C41" s="64">
        <f>'Cell Calculation'!C50</f>
        <v>0.000000002498003619</v>
      </c>
      <c r="D41" s="51" t="s">
        <v>103</v>
      </c>
      <c r="E41" s="51" t="s">
        <v>104</v>
      </c>
      <c r="F41" s="51"/>
      <c r="G41" s="51"/>
      <c r="AA41" s="28"/>
      <c r="AB41" s="28"/>
      <c r="AC41" s="28"/>
    </row>
    <row r="42" ht="15.75" customHeight="1">
      <c r="B42" s="51" t="s">
        <v>105</v>
      </c>
      <c r="C42" s="64">
        <f>'Cell Calculation'!C51</f>
        <v>0.000004946047165</v>
      </c>
      <c r="D42" s="51" t="s">
        <v>59</v>
      </c>
      <c r="E42" s="51" t="s">
        <v>106</v>
      </c>
      <c r="F42" s="51"/>
      <c r="G42" s="51"/>
    </row>
    <row r="43" ht="15.75" customHeight="1">
      <c r="B43" s="51" t="s">
        <v>108</v>
      </c>
      <c r="C43" s="54">
        <f>'Cell Calculation'!C52</f>
        <v>0.2304482318</v>
      </c>
      <c r="D43" s="51" t="s">
        <v>59</v>
      </c>
      <c r="E43" s="51" t="s">
        <v>213</v>
      </c>
      <c r="F43" s="51"/>
      <c r="G43" s="51"/>
    </row>
    <row r="44" ht="15.75" customHeight="1">
      <c r="B44" s="51" t="s">
        <v>98</v>
      </c>
      <c r="C44" s="61">
        <f>'Cell Calculation'!C48</f>
        <v>0.2608920456</v>
      </c>
      <c r="D44" s="51"/>
      <c r="E44" s="51" t="s">
        <v>99</v>
      </c>
      <c r="F44" s="51"/>
      <c r="G44" s="51"/>
      <c r="J44" s="65" t="s">
        <v>214</v>
      </c>
      <c r="K44" s="66"/>
      <c r="L44" s="66"/>
    </row>
    <row r="45" ht="15.75" customHeight="1">
      <c r="B45" s="51" t="s">
        <v>90</v>
      </c>
      <c r="C45" s="54">
        <f>'Cell Calculation'!C45</f>
        <v>8.241485699</v>
      </c>
      <c r="D45" s="51" t="s">
        <v>91</v>
      </c>
      <c r="E45" s="51" t="s">
        <v>92</v>
      </c>
      <c r="F45" s="51"/>
      <c r="G45" s="51"/>
      <c r="J45" s="52" t="s">
        <v>195</v>
      </c>
      <c r="K45" s="66">
        <v>10.0</v>
      </c>
      <c r="L45" s="66"/>
    </row>
    <row r="46" ht="15.75" customHeight="1">
      <c r="B46" s="51" t="s">
        <v>10</v>
      </c>
      <c r="C46" s="56">
        <f>'Cell Calculation'!C56</f>
        <v>122.9241773</v>
      </c>
      <c r="D46" s="51" t="s">
        <v>94</v>
      </c>
      <c r="E46" s="51" t="s">
        <v>95</v>
      </c>
      <c r="F46" s="51"/>
      <c r="G46" s="51"/>
      <c r="J46" s="52" t="s">
        <v>196</v>
      </c>
      <c r="K46" s="66">
        <v>10000.0</v>
      </c>
      <c r="L46" s="66">
        <f>(K46-K45)/20</f>
        <v>499.5</v>
      </c>
    </row>
    <row r="47" ht="15.75" customHeight="1">
      <c r="B47" s="51" t="s">
        <v>114</v>
      </c>
      <c r="C47" s="56">
        <f>'Cell Calculation'!C57</f>
        <v>78.10864878</v>
      </c>
      <c r="D47" s="51"/>
      <c r="E47" s="51" t="s">
        <v>115</v>
      </c>
      <c r="F47" s="51"/>
      <c r="G47" s="51"/>
      <c r="J47" s="52"/>
      <c r="K47" s="66"/>
      <c r="L47" s="66"/>
    </row>
    <row r="48" ht="15.75" customHeight="1">
      <c r="B48" s="51" t="s">
        <v>215</v>
      </c>
      <c r="C48" s="56">
        <f>'Cell Calculation'!C81</f>
        <v>0.670549876</v>
      </c>
      <c r="D48" s="51" t="s">
        <v>140</v>
      </c>
      <c r="E48" s="51" t="s">
        <v>216</v>
      </c>
      <c r="F48" s="51"/>
      <c r="G48" s="51"/>
      <c r="J48" s="67" t="s">
        <v>217</v>
      </c>
      <c r="K48" s="66" t="s">
        <v>218</v>
      </c>
      <c r="L48" s="66" t="s">
        <v>219</v>
      </c>
    </row>
    <row r="49" ht="15.75" customHeight="1">
      <c r="B49" s="51" t="s">
        <v>220</v>
      </c>
      <c r="C49" s="68">
        <f>'Cell Calculation'!C79</f>
        <v>0.9750313213</v>
      </c>
      <c r="D49" s="51"/>
      <c r="E49" s="51" t="s">
        <v>221</v>
      </c>
      <c r="F49" s="51"/>
      <c r="G49" s="51"/>
      <c r="J49" s="57">
        <f t="shared" ref="J49:J66" si="2">J22</f>
        <v>10</v>
      </c>
      <c r="K49" s="66">
        <f t="shared" ref="K49:K66" si="3">J49*$C$11</f>
        <v>1.1</v>
      </c>
      <c r="L49" s="66">
        <f>Graph!E69</f>
        <v>0.002054759894</v>
      </c>
    </row>
    <row r="50" ht="15.75" customHeight="1">
      <c r="J50" s="57">
        <f t="shared" si="2"/>
        <v>510</v>
      </c>
      <c r="K50" s="66">
        <f t="shared" si="3"/>
        <v>56.1</v>
      </c>
      <c r="L50" s="66">
        <f>Graph!E69</f>
        <v>0.002054759894</v>
      </c>
    </row>
    <row r="51" ht="15.75" customHeight="1">
      <c r="J51" s="57">
        <f t="shared" si="2"/>
        <v>1010</v>
      </c>
      <c r="K51" s="66">
        <f t="shared" si="3"/>
        <v>111.1</v>
      </c>
      <c r="L51" s="66">
        <f>Graph!F69</f>
        <v>0.00407185236</v>
      </c>
    </row>
    <row r="52" ht="15.75" customHeight="1">
      <c r="J52" s="57">
        <f t="shared" si="2"/>
        <v>1510</v>
      </c>
      <c r="K52" s="66">
        <f t="shared" si="3"/>
        <v>166.1</v>
      </c>
      <c r="L52" s="66">
        <f>Graph!G69</f>
        <v>0.006088362782</v>
      </c>
    </row>
    <row r="53" ht="15.75" customHeight="1">
      <c r="J53" s="57">
        <f t="shared" si="2"/>
        <v>2010</v>
      </c>
      <c r="K53" s="66">
        <f t="shared" si="3"/>
        <v>221.1</v>
      </c>
      <c r="L53" s="66">
        <f>Graph!H69</f>
        <v>0.008104725321</v>
      </c>
    </row>
    <row r="54" ht="15.75" customHeight="1">
      <c r="J54" s="57">
        <f t="shared" si="2"/>
        <v>2510</v>
      </c>
      <c r="K54" s="66">
        <f t="shared" si="3"/>
        <v>276.1</v>
      </c>
      <c r="L54" s="66">
        <f>Graph!I69</f>
        <v>0.01012102833</v>
      </c>
    </row>
    <row r="55" ht="15.75" customHeight="1">
      <c r="J55" s="57">
        <f t="shared" si="2"/>
        <v>3010</v>
      </c>
      <c r="K55" s="66">
        <f t="shared" si="3"/>
        <v>331.1</v>
      </c>
      <c r="L55" s="66">
        <f>Graph!J69</f>
        <v>0.01213730148</v>
      </c>
    </row>
    <row r="56" ht="15.75" customHeight="1">
      <c r="J56" s="57">
        <f t="shared" si="2"/>
        <v>3510</v>
      </c>
      <c r="K56" s="66">
        <f t="shared" si="3"/>
        <v>386.1</v>
      </c>
      <c r="L56" s="66">
        <f>Graph!K69</f>
        <v>0.01415355752</v>
      </c>
    </row>
    <row r="57" ht="15.75" customHeight="1">
      <c r="J57" s="57">
        <f t="shared" si="2"/>
        <v>4010</v>
      </c>
      <c r="K57" s="66">
        <f t="shared" si="3"/>
        <v>441.1</v>
      </c>
      <c r="L57" s="66">
        <f>Graph!L69</f>
        <v>0.01616980286</v>
      </c>
    </row>
    <row r="58" ht="15.75" customHeight="1">
      <c r="J58" s="57">
        <f t="shared" si="2"/>
        <v>4510</v>
      </c>
      <c r="K58" s="66">
        <f t="shared" si="3"/>
        <v>496.1</v>
      </c>
      <c r="L58" s="66">
        <f>Graph!M69</f>
        <v>0.01818604105</v>
      </c>
    </row>
    <row r="59" ht="15.75" customHeight="1">
      <c r="J59" s="57">
        <f t="shared" si="2"/>
        <v>5010</v>
      </c>
      <c r="K59" s="66">
        <f t="shared" si="3"/>
        <v>551.1</v>
      </c>
      <c r="L59" s="66">
        <f>Graph!N69</f>
        <v>0.02020227423</v>
      </c>
    </row>
    <row r="60" ht="15.75" customHeight="1">
      <c r="J60" s="57">
        <f t="shared" si="2"/>
        <v>6010</v>
      </c>
      <c r="K60" s="66">
        <f t="shared" si="3"/>
        <v>661.1</v>
      </c>
      <c r="L60" s="66">
        <f>Graph!O69</f>
        <v>0.02423473057</v>
      </c>
    </row>
    <row r="61" ht="15.75" customHeight="1">
      <c r="J61" s="57">
        <f t="shared" si="2"/>
        <v>7010</v>
      </c>
      <c r="K61" s="66">
        <f t="shared" si="3"/>
        <v>771.1</v>
      </c>
      <c r="L61" s="66">
        <f>Graph!P69</f>
        <v>0.02826717832</v>
      </c>
    </row>
    <row r="62" ht="15.75" customHeight="1">
      <c r="J62" s="57">
        <f t="shared" si="2"/>
        <v>8010</v>
      </c>
      <c r="K62" s="66">
        <f t="shared" si="3"/>
        <v>881.1</v>
      </c>
      <c r="L62" s="66">
        <f>Graph!Q69</f>
        <v>0.03229962069</v>
      </c>
    </row>
    <row r="63" ht="15.75" customHeight="1">
      <c r="J63" s="57">
        <f t="shared" si="2"/>
        <v>9010</v>
      </c>
      <c r="K63" s="66">
        <f t="shared" si="3"/>
        <v>991.1</v>
      </c>
      <c r="L63" s="66">
        <f>Graph!R69</f>
        <v>0.03633205947</v>
      </c>
    </row>
    <row r="64" ht="15.75" customHeight="1">
      <c r="J64" s="57">
        <f t="shared" si="2"/>
        <v>10010</v>
      </c>
      <c r="K64" s="66">
        <f t="shared" si="3"/>
        <v>1101.1</v>
      </c>
      <c r="L64" s="66">
        <f>Graph!S69</f>
        <v>0.04036449575</v>
      </c>
    </row>
    <row r="65" ht="15.75" customHeight="1">
      <c r="J65" s="57">
        <f t="shared" si="2"/>
        <v>11010</v>
      </c>
      <c r="K65" s="66">
        <f t="shared" si="3"/>
        <v>1211.1</v>
      </c>
      <c r="L65" s="66">
        <f>Graph!T69</f>
        <v>0.04439693019</v>
      </c>
    </row>
    <row r="66" ht="15.75" customHeight="1">
      <c r="J66" s="57">
        <f t="shared" si="2"/>
        <v>12010</v>
      </c>
      <c r="K66" s="66">
        <f t="shared" si="3"/>
        <v>1321.1</v>
      </c>
      <c r="L66" s="66">
        <f>Graph!U69</f>
        <v>0.04842936326</v>
      </c>
    </row>
    <row r="67" ht="15.75" customHeight="1">
      <c r="I67" s="69"/>
      <c r="J67" s="70"/>
      <c r="K67" s="69"/>
      <c r="L67" s="70"/>
      <c r="M67" s="70"/>
    </row>
    <row r="68" ht="15.75" customHeight="1">
      <c r="I68" s="69"/>
      <c r="J68" s="70"/>
      <c r="K68" s="69"/>
      <c r="L68" s="70"/>
      <c r="M68" s="70"/>
    </row>
    <row r="69" ht="15.75" customHeight="1">
      <c r="M69" s="70"/>
    </row>
    <row r="70" ht="15.75" customHeight="1">
      <c r="I70" s="69"/>
      <c r="J70" s="70"/>
      <c r="K70" s="69"/>
      <c r="L70" s="70"/>
    </row>
    <row r="71" ht="15.75" customHeight="1">
      <c r="I71" s="69"/>
      <c r="J71" s="70"/>
      <c r="K71" s="69"/>
      <c r="L71" s="70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0.86"/>
    <col customWidth="1" min="3" max="3" width="11.43"/>
    <col customWidth="1" min="4" max="4" width="10.71"/>
    <col customWidth="1" min="5" max="5" width="18.14"/>
    <col customWidth="1" min="6" max="7" width="11.43"/>
    <col customWidth="1" min="8" max="8" width="10.71"/>
    <col customWidth="1" min="9" max="9" width="11.43"/>
    <col customWidth="1" min="10" max="10" width="18.14"/>
    <col customWidth="1" min="11" max="26" width="10.71"/>
  </cols>
  <sheetData>
    <row r="3">
      <c r="B3" s="2" t="s">
        <v>2</v>
      </c>
      <c r="F3" s="3"/>
      <c r="G3" s="3"/>
    </row>
    <row r="4">
      <c r="B4" t="s">
        <v>5</v>
      </c>
      <c r="C4" s="5">
        <f>Interface!C5</f>
        <v>10</v>
      </c>
      <c r="D4" t="s">
        <v>6</v>
      </c>
      <c r="F4" s="3"/>
      <c r="G4" s="3"/>
    </row>
    <row r="5">
      <c r="B5" t="s">
        <v>7</v>
      </c>
      <c r="C5" s="5">
        <f>Interface!F5</f>
        <v>70</v>
      </c>
      <c r="D5" t="s">
        <v>8</v>
      </c>
      <c r="F5" s="3"/>
      <c r="G5" s="3"/>
    </row>
    <row r="6">
      <c r="C6" s="5">
        <f>C5+273.15</f>
        <v>343.15</v>
      </c>
      <c r="D6" t="s">
        <v>10</v>
      </c>
    </row>
    <row r="7">
      <c r="B7" t="s">
        <v>11</v>
      </c>
      <c r="C7" s="5">
        <f>Interface!C6</f>
        <v>35</v>
      </c>
      <c r="D7" t="s">
        <v>12</v>
      </c>
    </row>
    <row r="8">
      <c r="B8" t="s">
        <v>13</v>
      </c>
      <c r="C8" s="9">
        <v>1800.0</v>
      </c>
      <c r="D8" t="s">
        <v>14</v>
      </c>
    </row>
    <row r="9">
      <c r="B9" t="s">
        <v>15</v>
      </c>
      <c r="C9" s="10">
        <v>2.0</v>
      </c>
      <c r="E9" t="s">
        <v>16</v>
      </c>
    </row>
    <row r="10">
      <c r="B10" t="s">
        <v>17</v>
      </c>
      <c r="C10" s="5">
        <f>Interface!C11</f>
        <v>0.11</v>
      </c>
      <c r="D10" t="s">
        <v>18</v>
      </c>
      <c r="E10" t="s">
        <v>19</v>
      </c>
    </row>
    <row r="11">
      <c r="B11" t="s">
        <v>20</v>
      </c>
      <c r="C11" s="11">
        <f>Interface!C12</f>
        <v>0.0015</v>
      </c>
      <c r="D11" t="s">
        <v>21</v>
      </c>
      <c r="E11" t="s">
        <v>22</v>
      </c>
    </row>
    <row r="12">
      <c r="B12" t="s">
        <v>23</v>
      </c>
      <c r="C12" s="5">
        <f>Interface!C7</f>
        <v>18000</v>
      </c>
      <c r="D12" t="s">
        <v>24</v>
      </c>
      <c r="E12" t="s">
        <v>25</v>
      </c>
    </row>
    <row r="13">
      <c r="B13" t="s">
        <v>26</v>
      </c>
      <c r="C13" s="12">
        <f>C12*(C10)</f>
        <v>1980</v>
      </c>
      <c r="D13" t="s">
        <v>17</v>
      </c>
      <c r="E13" t="s">
        <v>27</v>
      </c>
    </row>
    <row r="14">
      <c r="B14" s="13" t="s">
        <v>28</v>
      </c>
      <c r="C14" s="5">
        <f>Interface!C13</f>
        <v>0.001</v>
      </c>
      <c r="D14" t="s">
        <v>21</v>
      </c>
      <c r="E14" t="s">
        <v>29</v>
      </c>
    </row>
    <row r="15">
      <c r="B15" t="s">
        <v>30</v>
      </c>
      <c r="C15" s="12">
        <f>(0.00000035*C6^2-0.0002056*C6+0.03027365)*10000*Interface!I4</f>
        <v>41.1480465</v>
      </c>
      <c r="D15" t="s">
        <v>24</v>
      </c>
      <c r="H15" t="s">
        <v>32</v>
      </c>
    </row>
    <row r="16">
      <c r="B16" t="s">
        <v>33</v>
      </c>
      <c r="C16" s="12">
        <f>(0.0000008825*C6-0.0002347142)*10000*Interface!I4</f>
        <v>2.9970897</v>
      </c>
      <c r="D16" t="s">
        <v>24</v>
      </c>
      <c r="H16" t="s">
        <v>32</v>
      </c>
    </row>
    <row r="17">
      <c r="C17" s="12"/>
    </row>
    <row r="18">
      <c r="C18" s="12"/>
    </row>
    <row r="19">
      <c r="J19">
        <f>15*24</f>
        <v>360</v>
      </c>
    </row>
    <row r="20">
      <c r="B20" s="16" t="s">
        <v>34</v>
      </c>
      <c r="J20">
        <f>15/0.089</f>
        <v>168.5393258</v>
      </c>
    </row>
    <row r="21" ht="15.75" customHeight="1">
      <c r="B21" t="s">
        <v>35</v>
      </c>
      <c r="C21" s="17">
        <v>8.3144621</v>
      </c>
      <c r="D21" t="s">
        <v>36</v>
      </c>
      <c r="E21" t="s">
        <v>37</v>
      </c>
    </row>
    <row r="22" ht="15.75" customHeight="1">
      <c r="B22" t="s">
        <v>38</v>
      </c>
      <c r="C22" s="10">
        <v>96485.3365</v>
      </c>
      <c r="D22" t="s">
        <v>39</v>
      </c>
      <c r="E22" t="s">
        <v>40</v>
      </c>
      <c r="J22">
        <f>10000*0.089*3.6*24</f>
        <v>76896</v>
      </c>
    </row>
    <row r="23" ht="15.75" customHeight="1">
      <c r="B23" t="s">
        <v>41</v>
      </c>
      <c r="C23" s="18">
        <v>0.002</v>
      </c>
      <c r="D23" t="s">
        <v>42</v>
      </c>
      <c r="E23" t="s">
        <v>43</v>
      </c>
    </row>
    <row r="24" ht="15.75" customHeight="1">
      <c r="B24" t="s">
        <v>44</v>
      </c>
      <c r="C24" s="18">
        <v>0.032</v>
      </c>
      <c r="D24" t="s">
        <v>42</v>
      </c>
      <c r="E24" t="s">
        <v>45</v>
      </c>
    </row>
    <row r="25" ht="15.75" customHeight="1">
      <c r="B25" s="13" t="s">
        <v>46</v>
      </c>
      <c r="C25" s="19" t="str">
        <f>[1]!Rkalht("rov",C4,C5,"H2",1)</f>
        <v>#ERROR!</v>
      </c>
      <c r="D25" t="s">
        <v>47</v>
      </c>
      <c r="E25" t="s">
        <v>48</v>
      </c>
    </row>
    <row r="26" ht="15.75" customHeight="1">
      <c r="B26" s="13" t="s">
        <v>49</v>
      </c>
      <c r="C26" s="19" t="str">
        <f>[1]!Rkalht("rov",C4,C5,"O2",1)</f>
        <v>#ERROR!</v>
      </c>
      <c r="D26" t="s">
        <v>47</v>
      </c>
      <c r="E26" t="s">
        <v>50</v>
      </c>
      <c r="J26" s="20"/>
    </row>
    <row r="27" ht="15.75" customHeight="1">
      <c r="B27" s="13" t="s">
        <v>51</v>
      </c>
      <c r="C27" s="12">
        <f>(C28-C33)</f>
        <v>235359.9972</v>
      </c>
      <c r="D27" t="s">
        <v>52</v>
      </c>
      <c r="E27" t="s">
        <v>53</v>
      </c>
      <c r="N27" s="21"/>
    </row>
    <row r="28" ht="15.75" customHeight="1">
      <c r="B28" s="13" t="s">
        <v>54</v>
      </c>
      <c r="C28" s="22">
        <f>290120-0.048243*C6^2</f>
        <v>284439.294</v>
      </c>
      <c r="D28" t="s">
        <v>55</v>
      </c>
      <c r="E28" t="s">
        <v>56</v>
      </c>
      <c r="H28" t="s">
        <v>57</v>
      </c>
      <c r="I28" s="22"/>
    </row>
    <row r="29" ht="15.75" customHeight="1">
      <c r="B29" s="13" t="s">
        <v>58</v>
      </c>
      <c r="C29" s="23">
        <f>1.50342-0.0009956*C6+0.00000025*C6^2+C21*C6/(C9*C22)*LN((C4-C37)^1.5*(C35/C37))+(C4-C37)*(0.000021661-0.005471/C6)+(C4-C37)^2*(-0.000006289/C6+0.000135/C6^1.5+0.002547/C6^2-0.4825/C6^3)</f>
        <v>1.250786256</v>
      </c>
      <c r="D29" t="s">
        <v>59</v>
      </c>
      <c r="E29" t="s">
        <v>60</v>
      </c>
      <c r="H29" t="s">
        <v>57</v>
      </c>
      <c r="I29" s="22"/>
    </row>
    <row r="30" ht="15.75" customHeight="1">
      <c r="B30" s="13" t="s">
        <v>61</v>
      </c>
      <c r="C30" s="24">
        <f>1.50342-0.00000025*C6^2</f>
        <v>1.473982019</v>
      </c>
      <c r="E30" t="s">
        <v>62</v>
      </c>
      <c r="H30" t="s">
        <v>57</v>
      </c>
      <c r="I30" s="25"/>
    </row>
    <row r="31" ht="15.75" customHeight="1">
      <c r="B31" s="13" t="s">
        <v>63</v>
      </c>
      <c r="C31" s="26">
        <f>((0.000021661-0.010941/$C$6)*C4+(-0.000018578/$C$6+0.000339/$C$6^(1.5)+0.007845/$C$6^2-1.659/$C$6^3)*C4^2)</f>
        <v>-0.00009975454649</v>
      </c>
      <c r="D31" t="s">
        <v>59</v>
      </c>
      <c r="E31" t="s">
        <v>64</v>
      </c>
      <c r="H31" t="s">
        <v>57</v>
      </c>
      <c r="Q31" s="25"/>
      <c r="R31" s="25"/>
    </row>
    <row r="32" ht="15.75" customHeight="1">
      <c r="B32" s="13" t="s">
        <v>65</v>
      </c>
      <c r="C32" s="24">
        <f>(1.4756+0.0002252*C5+0.0000000152*C5^2)+C31</f>
        <v>1.491338725</v>
      </c>
      <c r="D32" t="s">
        <v>59</v>
      </c>
      <c r="E32" t="s">
        <v>66</v>
      </c>
      <c r="H32" t="s">
        <v>57</v>
      </c>
      <c r="Q32" s="25"/>
      <c r="R32" s="25"/>
    </row>
    <row r="33" ht="15.75" customHeight="1">
      <c r="B33" s="13" t="s">
        <v>67</v>
      </c>
      <c r="C33" s="22">
        <f>42960+40.762*C6-0.06682*C6^2</f>
        <v>49079.29684</v>
      </c>
      <c r="D33" t="s">
        <v>55</v>
      </c>
      <c r="E33" t="s">
        <v>68</v>
      </c>
      <c r="H33" t="s">
        <v>57</v>
      </c>
      <c r="R33" s="25"/>
    </row>
    <row r="34" ht="15.75" customHeight="1">
      <c r="B34" s="13" t="s">
        <v>69</v>
      </c>
      <c r="C34" s="24">
        <f>1.5*(C37/(C4-C37))</f>
        <v>0.0256080786</v>
      </c>
      <c r="E34" t="s">
        <v>70</v>
      </c>
      <c r="H34" t="s">
        <v>57</v>
      </c>
    </row>
    <row r="35" ht="15.75" customHeight="1">
      <c r="B35" s="13" t="s">
        <v>71</v>
      </c>
      <c r="C35" s="19">
        <f>C6^(-3.4159)*EXP(37.043-6275.7/C6)</f>
        <v>0.304799678</v>
      </c>
      <c r="D35" t="s">
        <v>6</v>
      </c>
      <c r="E35" t="s">
        <v>72</v>
      </c>
      <c r="H35" t="s">
        <v>57</v>
      </c>
    </row>
    <row r="36" ht="15.75" customHeight="1">
      <c r="B36" s="13" t="s">
        <v>21</v>
      </c>
      <c r="C36" s="23">
        <f>C7*(183.1221-0.56845*C6+984.5679*EXP(C7/115.96277))/(100*(56.105))</f>
        <v>8.231494119</v>
      </c>
      <c r="D36" t="s">
        <v>73</v>
      </c>
      <c r="E36" t="s">
        <v>74</v>
      </c>
      <c r="L36" s="22"/>
    </row>
    <row r="37" ht="15.75" customHeight="1">
      <c r="B37" s="13" t="s">
        <v>75</v>
      </c>
      <c r="C37" s="19">
        <f>C6^(-3.498)*EXP(37.93-6426.32/C6)*EXP(0.016214-0.13802*C36+0.1933*(C36)^(0.5))</f>
        <v>0.1678548964</v>
      </c>
      <c r="D37" t="s">
        <v>6</v>
      </c>
      <c r="E37" t="s">
        <v>76</v>
      </c>
      <c r="H37" t="s">
        <v>57</v>
      </c>
    </row>
    <row r="38" ht="15.75" customHeight="1">
      <c r="B38" s="13" t="s">
        <v>77</v>
      </c>
      <c r="C38" s="24">
        <f>C32+C34/(C9*C22)*C33</f>
        <v>1.497851769</v>
      </c>
      <c r="D38" t="s">
        <v>59</v>
      </c>
      <c r="E38" t="s">
        <v>78</v>
      </c>
      <c r="H38" t="s">
        <v>57</v>
      </c>
    </row>
    <row r="39" ht="15.75" customHeight="1">
      <c r="B39" s="27" t="s">
        <v>79</v>
      </c>
      <c r="C39" s="24"/>
    </row>
    <row r="40" ht="15.75" customHeight="1">
      <c r="B40" s="13" t="s">
        <v>80</v>
      </c>
      <c r="C40" s="25">
        <f>0.1175+0.00095*(C6)*Interface!I5</f>
        <v>0.361994375</v>
      </c>
      <c r="E40" t="s">
        <v>81</v>
      </c>
    </row>
    <row r="41" ht="15.75" customHeight="1">
      <c r="B41" s="13" t="s">
        <v>82</v>
      </c>
      <c r="C41" s="25">
        <f>0.0675+0.00095*(C6)*Interface!I5</f>
        <v>0.311994375</v>
      </c>
      <c r="E41" t="s">
        <v>83</v>
      </c>
    </row>
    <row r="42" ht="15.75" customHeight="1">
      <c r="B42" s="13" t="s">
        <v>84</v>
      </c>
      <c r="C42" s="24">
        <f>IF(C6&lt;305.15,0.023*(C12)^0.3,IF(C6&gt;341.15,0.023*(C12)^0.3,(-97.25+182*(C6/298)-84*(C6/298)^2)*(C12/(C8*1000))^0.3))*Interface!I6</f>
        <v>0.3913380683</v>
      </c>
      <c r="E42" t="s">
        <v>85</v>
      </c>
    </row>
    <row r="43" ht="15.75" customHeight="1">
      <c r="B43" s="13" t="s">
        <v>86</v>
      </c>
      <c r="C43" s="25">
        <f>(C21*C6)/(C41*C9*C22)*LN(C12/(C15))-(C21*C6)/(C41*C9*C22)*LN(1-C42)</f>
        <v>0.3117002641</v>
      </c>
      <c r="D43" t="s">
        <v>59</v>
      </c>
      <c r="E43" t="s">
        <v>87</v>
      </c>
    </row>
    <row r="44" ht="15.75" customHeight="1">
      <c r="B44" s="13" t="s">
        <v>88</v>
      </c>
      <c r="C44" s="25">
        <f>(C21*C6)/(C40*C9*C22)*LN(C12/(C16))-(C21*C6)/(C40*C9*C22)*LN(1-C42)</f>
        <v>0.375638551</v>
      </c>
      <c r="D44" t="s">
        <v>59</v>
      </c>
      <c r="E44" t="s">
        <v>89</v>
      </c>
    </row>
    <row r="45" ht="15.75" customHeight="1">
      <c r="B45" s="13" t="s">
        <v>90</v>
      </c>
      <c r="C45" s="28">
        <f>(C7*C47)/(56.105*100)</f>
        <v>8.241485699</v>
      </c>
      <c r="D45" t="s">
        <v>91</v>
      </c>
      <c r="E45" t="s">
        <v>92</v>
      </c>
    </row>
    <row r="46" ht="15.75" customHeight="1">
      <c r="B46" s="13" t="s">
        <v>93</v>
      </c>
      <c r="C46" s="29">
        <f>(-2.041*C45-0.0028*C45^2+0.005332*C45*C6+207.2*C45/C6+0.001043*C45^3-0.0000003*C45^2*C6^2)*100</f>
        <v>122.9009191</v>
      </c>
      <c r="D46" t="s">
        <v>94</v>
      </c>
      <c r="E46" t="s">
        <v>95</v>
      </c>
    </row>
    <row r="47" ht="15.75" customHeight="1">
      <c r="B47" s="13" t="s">
        <v>96</v>
      </c>
      <c r="C47" s="22">
        <f>(-0.0025137*C5^2-0.1819801*C5+1002.78)*EXP(0.0086*C7)</f>
        <v>1321.110158</v>
      </c>
      <c r="D47" t="s">
        <v>47</v>
      </c>
      <c r="E47" t="s">
        <v>97</v>
      </c>
    </row>
    <row r="48" ht="15.75" customHeight="1">
      <c r="B48" s="13" t="s">
        <v>98</v>
      </c>
      <c r="C48" s="30">
        <f>(2/3)*C42</f>
        <v>0.2608920456</v>
      </c>
      <c r="E48" t="s">
        <v>99</v>
      </c>
    </row>
    <row r="49" ht="15.75" customHeight="1">
      <c r="B49" s="13" t="s">
        <v>100</v>
      </c>
      <c r="C49" s="12">
        <f>(1/IF(C5&lt;400,6.99864*EXP(0.0038437*C5),0.029667*C5+20.377778))*(1000000)*(100)</f>
        <v>10917809.35</v>
      </c>
      <c r="D49" t="s">
        <v>94</v>
      </c>
      <c r="E49" t="s">
        <v>101</v>
      </c>
    </row>
    <row r="50" ht="15.75" customHeight="1">
      <c r="B50" s="13" t="s">
        <v>102</v>
      </c>
      <c r="C50" s="31">
        <f>2*C11/(C49*C10)</f>
        <v>0.000000002498003619</v>
      </c>
      <c r="D50" t="s">
        <v>103</v>
      </c>
      <c r="E50" t="s">
        <v>104</v>
      </c>
    </row>
    <row r="51" ht="15.75" customHeight="1">
      <c r="B51" s="13" t="s">
        <v>105</v>
      </c>
      <c r="C51" s="31">
        <f>C13*C50</f>
        <v>0.000004946047165</v>
      </c>
      <c r="D51" t="s">
        <v>59</v>
      </c>
      <c r="E51" t="s">
        <v>106</v>
      </c>
      <c r="H51" t="s">
        <v>107</v>
      </c>
    </row>
    <row r="52" ht="15.75" customHeight="1">
      <c r="B52" s="13" t="s">
        <v>108</v>
      </c>
      <c r="C52" s="28">
        <f>C12*C14/C57</f>
        <v>0.2304482318</v>
      </c>
      <c r="D52" t="s">
        <v>59</v>
      </c>
      <c r="E52" t="s">
        <v>109</v>
      </c>
    </row>
    <row r="53" ht="15.75" customHeight="1">
      <c r="B53" s="13" t="s">
        <v>110</v>
      </c>
      <c r="C53" s="28">
        <f>C29+C43+C44+C52+C51</f>
        <v>2.168578248</v>
      </c>
      <c r="D53" t="s">
        <v>59</v>
      </c>
      <c r="E53" t="s">
        <v>111</v>
      </c>
      <c r="F53" s="3"/>
      <c r="G53" s="3"/>
      <c r="I53" s="3"/>
      <c r="J53" s="3"/>
      <c r="K53" s="3"/>
    </row>
    <row r="54" ht="15.75" customHeight="1">
      <c r="B54" s="13" t="s">
        <v>98</v>
      </c>
      <c r="C54" s="24">
        <f>(2/3)*C42</f>
        <v>0.2608920456</v>
      </c>
      <c r="E54" t="s">
        <v>99</v>
      </c>
      <c r="F54" s="32"/>
      <c r="G54" s="33"/>
      <c r="I54" s="32"/>
      <c r="J54" s="33"/>
      <c r="K54" s="32"/>
    </row>
    <row r="55" ht="15.75" customHeight="1">
      <c r="B55" s="13" t="s">
        <v>96</v>
      </c>
      <c r="C55" s="22">
        <f>(-0.0025137*C5^2-0.1819801*C5+1002.78)*EXP(0.0086*C7)</f>
        <v>1321.110158</v>
      </c>
      <c r="D55" t="s">
        <v>47</v>
      </c>
      <c r="E55" t="s">
        <v>112</v>
      </c>
      <c r="F55" s="32"/>
      <c r="G55" s="33"/>
      <c r="H55" t="s">
        <v>113</v>
      </c>
      <c r="I55" s="32"/>
      <c r="J55" s="33"/>
      <c r="K55" s="32"/>
    </row>
    <row r="56" ht="15.75" customHeight="1">
      <c r="B56" s="13" t="s">
        <v>10</v>
      </c>
      <c r="C56" s="29">
        <f>(-2.041*C36-0.0028*C36^2+0.005332*C36*C6+207.2*C36/C6+0.001043*C36^3-0.0000003*C36^2*C6^2)*100</f>
        <v>122.9241773</v>
      </c>
      <c r="D56" t="s">
        <v>94</v>
      </c>
      <c r="E56" t="s">
        <v>95</v>
      </c>
      <c r="F56" s="32"/>
      <c r="G56" s="33"/>
      <c r="H56" s="32"/>
      <c r="I56" s="32"/>
      <c r="J56" s="33"/>
      <c r="K56" s="32"/>
    </row>
    <row r="57" ht="15.75" customHeight="1">
      <c r="B57" s="13" t="s">
        <v>114</v>
      </c>
      <c r="C57" s="29">
        <f>C56*(1-C54)^(3/2)</f>
        <v>78.10864878</v>
      </c>
      <c r="E57" t="s">
        <v>115</v>
      </c>
      <c r="F57" s="32"/>
      <c r="G57" s="33"/>
      <c r="H57" s="32"/>
      <c r="I57" s="32"/>
      <c r="J57" s="33"/>
      <c r="K57" s="32"/>
    </row>
    <row r="58" ht="15.75" customHeight="1">
      <c r="B58" s="13" t="s">
        <v>116</v>
      </c>
      <c r="C58" s="29">
        <f>C57/C56</f>
        <v>0.6354213668</v>
      </c>
      <c r="F58" s="32"/>
      <c r="G58" s="33"/>
      <c r="H58" s="32"/>
      <c r="I58" s="32"/>
      <c r="J58" s="33"/>
      <c r="K58" s="32"/>
    </row>
    <row r="59" ht="15.75" customHeight="1">
      <c r="B59" s="13" t="s">
        <v>117</v>
      </c>
      <c r="C59" s="25">
        <f>C10*(1-C42)</f>
        <v>0.06695281248</v>
      </c>
      <c r="D59" t="s">
        <v>18</v>
      </c>
      <c r="E59" t="s">
        <v>118</v>
      </c>
      <c r="F59" s="32"/>
      <c r="G59" s="33"/>
      <c r="H59" s="32"/>
      <c r="I59" s="32"/>
      <c r="J59" s="33"/>
      <c r="K59" s="32"/>
    </row>
    <row r="60" ht="15.75" customHeight="1">
      <c r="B60" s="13" t="s">
        <v>119</v>
      </c>
      <c r="C60" s="22">
        <f>C12*1/(1-C42)</f>
        <v>29573.06686</v>
      </c>
      <c r="D60" t="s">
        <v>24</v>
      </c>
      <c r="E60" t="s">
        <v>120</v>
      </c>
      <c r="F60" s="32"/>
      <c r="G60" s="33"/>
      <c r="H60" t="s">
        <v>57</v>
      </c>
      <c r="I60" s="32"/>
      <c r="J60" s="33"/>
      <c r="K60" s="32"/>
    </row>
    <row r="61" ht="15.75" customHeight="1">
      <c r="B61" s="13" t="s">
        <v>121</v>
      </c>
      <c r="C61" s="22">
        <f>2.5*C5+50</f>
        <v>225</v>
      </c>
      <c r="E61" t="s">
        <v>122</v>
      </c>
      <c r="F61" s="32"/>
      <c r="G61" s="33"/>
      <c r="H61" t="s">
        <v>123</v>
      </c>
      <c r="I61" s="32"/>
      <c r="J61" s="33"/>
      <c r="K61" s="32"/>
    </row>
    <row r="62" ht="15.75" customHeight="1">
      <c r="B62" s="13" t="s">
        <v>124</v>
      </c>
      <c r="C62" s="28">
        <f>-0.00025*C5+1</f>
        <v>0.9825</v>
      </c>
      <c r="E62" t="s">
        <v>125</v>
      </c>
      <c r="F62" s="32"/>
      <c r="G62" s="33"/>
      <c r="H62" t="s">
        <v>123</v>
      </c>
      <c r="I62" s="32"/>
      <c r="J62" s="33"/>
      <c r="K62" s="32"/>
    </row>
    <row r="63" ht="15.75" customHeight="1">
      <c r="B63" s="13" t="s">
        <v>126</v>
      </c>
      <c r="C63" s="34">
        <f>(((C12)^2/(C61+C12^2))*C62)</f>
        <v>0.9824993177</v>
      </c>
      <c r="E63" t="s">
        <v>127</v>
      </c>
      <c r="F63" s="32"/>
      <c r="G63" s="33"/>
      <c r="H63" t="s">
        <v>123</v>
      </c>
      <c r="I63" s="32"/>
      <c r="J63" s="33"/>
      <c r="K63" s="32"/>
    </row>
    <row r="64" ht="15.75" customHeight="1">
      <c r="B64" s="35" t="s">
        <v>128</v>
      </c>
      <c r="C64" s="34"/>
      <c r="F64" s="32"/>
      <c r="G64" s="33"/>
      <c r="I64" s="32"/>
      <c r="J64" s="33"/>
      <c r="K64" s="32"/>
    </row>
    <row r="65" ht="15.75" customHeight="1">
      <c r="B65" s="13" t="s">
        <v>129</v>
      </c>
      <c r="C65" s="24">
        <f>(C12*C63*C10)/(C9*C22)</f>
        <v>0.01008105853</v>
      </c>
      <c r="D65" t="s">
        <v>130</v>
      </c>
      <c r="E65" t="s">
        <v>131</v>
      </c>
      <c r="F65" s="32"/>
      <c r="G65" s="33"/>
      <c r="H65" s="32"/>
      <c r="I65" s="32"/>
      <c r="J65" s="33"/>
      <c r="K65" s="32"/>
    </row>
    <row r="66" ht="15.75" customHeight="1">
      <c r="B66" s="13" t="s">
        <v>132</v>
      </c>
      <c r="C66" s="24">
        <f>(C12*C10*C63)/(4*C22)</f>
        <v>0.005040529265</v>
      </c>
      <c r="D66" t="s">
        <v>130</v>
      </c>
      <c r="E66" t="s">
        <v>133</v>
      </c>
    </row>
    <row r="67" ht="15.75" customHeight="1">
      <c r="B67" s="13" t="s">
        <v>134</v>
      </c>
      <c r="C67" s="29" t="str">
        <f t="shared" ref="C67:C68" si="1">C65*(C23/C25)*3600</f>
        <v>#ERROR!</v>
      </c>
      <c r="D67" t="s">
        <v>135</v>
      </c>
      <c r="E67" t="s">
        <v>136</v>
      </c>
    </row>
    <row r="68" ht="15.75" customHeight="1">
      <c r="B68" s="13" t="s">
        <v>137</v>
      </c>
      <c r="C68" s="29" t="str">
        <f t="shared" si="1"/>
        <v>#ERROR!</v>
      </c>
      <c r="D68" t="s">
        <v>135</v>
      </c>
      <c r="E68" t="s">
        <v>138</v>
      </c>
    </row>
    <row r="69" ht="15.75" customHeight="1">
      <c r="B69" s="13" t="s">
        <v>139</v>
      </c>
      <c r="C69" s="24">
        <f t="shared" ref="C69:C70" si="2">C65*C23*3600</f>
        <v>0.07258362142</v>
      </c>
      <c r="D69" t="s">
        <v>140</v>
      </c>
      <c r="E69" t="s">
        <v>141</v>
      </c>
      <c r="F69" s="32"/>
      <c r="G69" s="33"/>
      <c r="H69" s="32"/>
      <c r="I69" s="32"/>
      <c r="J69" s="33"/>
      <c r="K69" s="32"/>
    </row>
    <row r="70" ht="15.75" customHeight="1">
      <c r="B70" s="13" t="s">
        <v>142</v>
      </c>
      <c r="C70" s="24">
        <f t="shared" si="2"/>
        <v>0.5806689713</v>
      </c>
      <c r="D70" t="s">
        <v>140</v>
      </c>
      <c r="E70" t="s">
        <v>143</v>
      </c>
      <c r="F70" s="32"/>
      <c r="G70" s="33"/>
      <c r="H70" s="32"/>
      <c r="I70" s="32"/>
      <c r="J70" s="33"/>
      <c r="K70" s="32"/>
    </row>
    <row r="71" ht="15.75" customHeight="1">
      <c r="B71" s="13" t="s">
        <v>144</v>
      </c>
      <c r="C71" s="36">
        <v>0.0899437851342911</v>
      </c>
      <c r="D71" t="s">
        <v>145</v>
      </c>
      <c r="F71" s="32"/>
      <c r="G71" s="33"/>
      <c r="H71" s="33"/>
      <c r="I71" s="32"/>
      <c r="J71" s="33"/>
      <c r="K71" s="32"/>
    </row>
    <row r="72" ht="15.75" customHeight="1">
      <c r="B72" s="13" t="s">
        <v>146</v>
      </c>
      <c r="C72" s="36">
        <v>1.42762559114839</v>
      </c>
      <c r="D72" t="s">
        <v>145</v>
      </c>
      <c r="F72" s="32"/>
      <c r="G72" s="33"/>
      <c r="H72" s="32"/>
      <c r="I72" s="32"/>
      <c r="J72" s="33"/>
      <c r="K72" s="32"/>
    </row>
    <row r="73" ht="15.75" customHeight="1">
      <c r="B73" s="13" t="s">
        <v>139</v>
      </c>
      <c r="C73" s="36">
        <f t="shared" ref="C73:C74" si="3">C69/C71</f>
        <v>0.8069887353</v>
      </c>
      <c r="D73" t="s">
        <v>147</v>
      </c>
      <c r="F73" s="32"/>
      <c r="G73" s="33"/>
      <c r="H73" s="32"/>
      <c r="I73" s="32"/>
      <c r="J73" s="33"/>
      <c r="K73" s="32"/>
    </row>
    <row r="74" ht="15.75" customHeight="1">
      <c r="B74" s="13" t="s">
        <v>142</v>
      </c>
      <c r="C74" s="37">
        <f t="shared" si="3"/>
        <v>0.4067375753</v>
      </c>
      <c r="D74" t="s">
        <v>147</v>
      </c>
    </row>
    <row r="75" ht="15.75" customHeight="1">
      <c r="B75" s="38" t="s">
        <v>148</v>
      </c>
      <c r="C75" s="24"/>
    </row>
    <row r="76" ht="15.75" customHeight="1">
      <c r="B76" s="13" t="s">
        <v>149</v>
      </c>
      <c r="C76" s="24">
        <f>(1+(1.5*C37/(C4-C37)))*C65</f>
        <v>0.01033921507</v>
      </c>
      <c r="D76" t="s">
        <v>130</v>
      </c>
    </row>
    <row r="77" ht="15.75" customHeight="1">
      <c r="B77" s="13" t="s">
        <v>150</v>
      </c>
      <c r="C77" s="24">
        <f>C65</f>
        <v>0.01008105853</v>
      </c>
      <c r="D77" t="s">
        <v>130</v>
      </c>
    </row>
    <row r="78" ht="15.75" customHeight="1">
      <c r="B78" s="13" t="s">
        <v>151</v>
      </c>
      <c r="C78" s="24">
        <f>C76-C77</f>
        <v>0.0002581565392</v>
      </c>
      <c r="D78" t="s">
        <v>130</v>
      </c>
    </row>
    <row r="79" ht="15.75" customHeight="1">
      <c r="B79" s="13" t="s">
        <v>152</v>
      </c>
      <c r="C79" s="34">
        <f>C77/C76</f>
        <v>0.9750313213</v>
      </c>
    </row>
    <row r="80" ht="15.75" customHeight="1">
      <c r="B80" s="13" t="s">
        <v>153</v>
      </c>
      <c r="C80" s="24">
        <v>18.01528</v>
      </c>
      <c r="D80" t="s">
        <v>154</v>
      </c>
    </row>
    <row r="81" ht="15.75" customHeight="1">
      <c r="B81" s="13" t="s">
        <v>149</v>
      </c>
      <c r="C81" s="28">
        <f>C76*C80*3600/1000</f>
        <v>0.670549876</v>
      </c>
      <c r="D81" t="s">
        <v>140</v>
      </c>
    </row>
    <row r="82" ht="15.75" customHeight="1">
      <c r="B82" s="13" t="s">
        <v>155</v>
      </c>
      <c r="C82" s="28">
        <f>C84-C83</f>
        <v>1379.941016</v>
      </c>
      <c r="D82" t="s">
        <v>156</v>
      </c>
      <c r="E82" t="s">
        <v>157</v>
      </c>
      <c r="F82" s="22"/>
    </row>
    <row r="83" ht="15.75" customHeight="1">
      <c r="B83" s="13" t="s">
        <v>158</v>
      </c>
      <c r="C83" s="28">
        <f>(C38*C9*C22)*C65</f>
        <v>2913.843916</v>
      </c>
      <c r="D83" t="s">
        <v>156</v>
      </c>
      <c r="E83" t="s">
        <v>159</v>
      </c>
    </row>
    <row r="84" ht="15.75" customHeight="1">
      <c r="B84" s="13" t="s">
        <v>160</v>
      </c>
      <c r="C84" s="28">
        <f>C53*C13</f>
        <v>4293.784932</v>
      </c>
      <c r="D84" t="s">
        <v>156</v>
      </c>
    </row>
    <row r="85" ht="15.75" customHeight="1">
      <c r="B85" s="13" t="s">
        <v>161</v>
      </c>
      <c r="C85" s="34">
        <f>(C65*C28)/C84</f>
        <v>0.667813879</v>
      </c>
    </row>
    <row r="86" ht="15.75" customHeight="1">
      <c r="B86" s="13" t="s">
        <v>162</v>
      </c>
      <c r="C86" s="34">
        <f>(C38/(C38+C53-C29))</f>
        <v>0.6200631868</v>
      </c>
      <c r="F86" s="34"/>
    </row>
    <row r="87" ht="15.75" customHeight="1">
      <c r="B87" s="13" t="s">
        <v>163</v>
      </c>
      <c r="C87" s="34">
        <f>C29/C53</f>
        <v>0.5767770918</v>
      </c>
    </row>
    <row r="88" ht="15.75" customHeight="1">
      <c r="B88" s="13" t="s">
        <v>164</v>
      </c>
      <c r="C88" s="34">
        <f>C38/C53</f>
        <v>0.6907068124</v>
      </c>
      <c r="F88" s="34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0.86"/>
    <col customWidth="1" min="3" max="3" width="10.71"/>
    <col customWidth="1" min="4" max="8" width="11.43"/>
    <col customWidth="1" min="9" max="13" width="10.71"/>
    <col customWidth="1" min="14" max="14" width="11.43"/>
    <col customWidth="1" min="15" max="22" width="10.71"/>
    <col customWidth="1" min="23" max="23" width="18.14"/>
    <col customWidth="1" min="24" max="26" width="10.71"/>
  </cols>
  <sheetData>
    <row r="1">
      <c r="C1" t="s">
        <v>0</v>
      </c>
      <c r="D1">
        <v>500.0</v>
      </c>
      <c r="W1" s="1" t="s">
        <v>1</v>
      </c>
    </row>
    <row r="2">
      <c r="C2" t="s">
        <v>3</v>
      </c>
      <c r="D2">
        <v>1000.0</v>
      </c>
      <c r="W2" s="4" t="s">
        <v>4</v>
      </c>
      <c r="X2" s="6">
        <f>Interface!$I$4</f>
        <v>4.4</v>
      </c>
    </row>
    <row r="3">
      <c r="B3" s="2" t="s">
        <v>2</v>
      </c>
      <c r="E3" s="3"/>
      <c r="F3" s="3"/>
      <c r="W3" s="7" t="s">
        <v>9</v>
      </c>
      <c r="X3" s="8">
        <f>Interface!$I$5</f>
        <v>0.75</v>
      </c>
    </row>
    <row r="4">
      <c r="B4" t="s">
        <v>5</v>
      </c>
      <c r="C4" t="s">
        <v>6</v>
      </c>
      <c r="D4" s="5">
        <f>Interface!$C$5</f>
        <v>10</v>
      </c>
      <c r="E4" s="5">
        <f>Interface!$C$5</f>
        <v>10</v>
      </c>
      <c r="F4" s="5">
        <f>Interface!$C$5</f>
        <v>10</v>
      </c>
      <c r="G4" s="5">
        <f>Interface!$C$5</f>
        <v>10</v>
      </c>
      <c r="H4" s="5">
        <f>Interface!$C$5</f>
        <v>10</v>
      </c>
      <c r="I4" s="5">
        <f>Interface!$C$5</f>
        <v>10</v>
      </c>
      <c r="J4" s="5">
        <f>Interface!$C$5</f>
        <v>10</v>
      </c>
      <c r="K4" s="5">
        <f>Interface!$C$5</f>
        <v>10</v>
      </c>
      <c r="L4" s="5">
        <f>Interface!$C$5</f>
        <v>10</v>
      </c>
      <c r="M4" s="5">
        <f>Interface!$C$5</f>
        <v>10</v>
      </c>
      <c r="N4" s="5">
        <f>Interface!$C$5</f>
        <v>10</v>
      </c>
      <c r="O4" s="5">
        <f>Interface!$C$5</f>
        <v>10</v>
      </c>
      <c r="P4" s="5">
        <f>Interface!$C$5</f>
        <v>10</v>
      </c>
      <c r="Q4" s="5">
        <f>Interface!$C$5</f>
        <v>10</v>
      </c>
      <c r="R4" s="5">
        <f>Interface!$C$5</f>
        <v>10</v>
      </c>
      <c r="S4" s="5">
        <f>Interface!$C$5</f>
        <v>10</v>
      </c>
      <c r="T4" s="5">
        <f>Interface!$C$5</f>
        <v>10</v>
      </c>
      <c r="U4" s="5">
        <f>Interface!$C$5</f>
        <v>10</v>
      </c>
      <c r="W4" s="14" t="s">
        <v>31</v>
      </c>
      <c r="X4" s="15">
        <f>Interface!$I$6</f>
        <v>0.9</v>
      </c>
    </row>
    <row r="5">
      <c r="B5" t="s">
        <v>7</v>
      </c>
      <c r="C5" t="s">
        <v>8</v>
      </c>
      <c r="D5" s="5">
        <f>Interface!$F$5</f>
        <v>70</v>
      </c>
      <c r="E5" s="5">
        <f>Interface!$F$5</f>
        <v>70</v>
      </c>
      <c r="F5" s="5">
        <f>Interface!$F$5</f>
        <v>70</v>
      </c>
      <c r="G5" s="5">
        <f>Interface!$F$5</f>
        <v>70</v>
      </c>
      <c r="H5" s="5">
        <f>Interface!$F$5</f>
        <v>70</v>
      </c>
      <c r="I5" s="5">
        <f>Interface!$F$5</f>
        <v>70</v>
      </c>
      <c r="J5" s="5">
        <f>Interface!$F$5</f>
        <v>70</v>
      </c>
      <c r="K5" s="5">
        <f>Interface!$F$5</f>
        <v>70</v>
      </c>
      <c r="L5" s="5">
        <f>Interface!$F$5</f>
        <v>70</v>
      </c>
      <c r="M5" s="5">
        <f>Interface!$F$5</f>
        <v>70</v>
      </c>
      <c r="N5" s="5">
        <f>Interface!$F$5</f>
        <v>70</v>
      </c>
      <c r="O5" s="5">
        <f>Interface!$F$5</f>
        <v>70</v>
      </c>
      <c r="P5" s="5">
        <f>Interface!$F$5</f>
        <v>70</v>
      </c>
      <c r="Q5" s="5">
        <f>Interface!$F$5</f>
        <v>70</v>
      </c>
      <c r="R5" s="5">
        <f>Interface!$F$5</f>
        <v>70</v>
      </c>
      <c r="S5" s="5">
        <f>Interface!$F$5</f>
        <v>70</v>
      </c>
      <c r="T5" s="5">
        <f>Interface!$F$5</f>
        <v>70</v>
      </c>
      <c r="U5" s="5">
        <f>Interface!$F$5</f>
        <v>70</v>
      </c>
    </row>
    <row r="6">
      <c r="C6" t="s">
        <v>10</v>
      </c>
      <c r="D6" s="5">
        <f t="shared" ref="D6:U6" si="1">D5+273.15</f>
        <v>343.15</v>
      </c>
      <c r="E6" s="5">
        <f t="shared" si="1"/>
        <v>343.15</v>
      </c>
      <c r="F6" s="5">
        <f t="shared" si="1"/>
        <v>343.15</v>
      </c>
      <c r="G6" s="5">
        <f t="shared" si="1"/>
        <v>343.15</v>
      </c>
      <c r="H6" s="5">
        <f t="shared" si="1"/>
        <v>343.15</v>
      </c>
      <c r="I6" s="5">
        <f t="shared" si="1"/>
        <v>343.15</v>
      </c>
      <c r="J6" s="5">
        <f t="shared" si="1"/>
        <v>343.15</v>
      </c>
      <c r="K6" s="5">
        <f t="shared" si="1"/>
        <v>343.15</v>
      </c>
      <c r="L6" s="5">
        <f t="shared" si="1"/>
        <v>343.15</v>
      </c>
      <c r="M6" s="5">
        <f t="shared" si="1"/>
        <v>343.15</v>
      </c>
      <c r="N6" s="5">
        <f t="shared" si="1"/>
        <v>343.15</v>
      </c>
      <c r="O6" s="5">
        <f t="shared" si="1"/>
        <v>343.15</v>
      </c>
      <c r="P6" s="5">
        <f t="shared" si="1"/>
        <v>343.15</v>
      </c>
      <c r="Q6" s="5">
        <f t="shared" si="1"/>
        <v>343.15</v>
      </c>
      <c r="R6" s="5">
        <f t="shared" si="1"/>
        <v>343.15</v>
      </c>
      <c r="S6" s="5">
        <f t="shared" si="1"/>
        <v>343.15</v>
      </c>
      <c r="T6" s="5">
        <f t="shared" si="1"/>
        <v>343.15</v>
      </c>
      <c r="U6" s="5">
        <f t="shared" si="1"/>
        <v>343.15</v>
      </c>
    </row>
    <row r="7">
      <c r="B7" t="s">
        <v>11</v>
      </c>
      <c r="C7" t="s">
        <v>12</v>
      </c>
      <c r="D7" s="5">
        <f>Interface!$C$6</f>
        <v>35</v>
      </c>
      <c r="E7" s="5">
        <f>Interface!$C$6</f>
        <v>35</v>
      </c>
      <c r="F7" s="5">
        <f>Interface!$C$6</f>
        <v>35</v>
      </c>
      <c r="G7" s="5">
        <f>Interface!$C$6</f>
        <v>35</v>
      </c>
      <c r="H7" s="5">
        <f>Interface!$C$6</f>
        <v>35</v>
      </c>
      <c r="I7" s="5">
        <f>Interface!$C$6</f>
        <v>35</v>
      </c>
      <c r="J7" s="5">
        <f>Interface!$C$6</f>
        <v>35</v>
      </c>
      <c r="K7" s="5">
        <f>Interface!$C$6</f>
        <v>35</v>
      </c>
      <c r="L7" s="5">
        <f>Interface!$C$6</f>
        <v>35</v>
      </c>
      <c r="M7" s="5">
        <f>Interface!$C$6</f>
        <v>35</v>
      </c>
      <c r="N7" s="5">
        <f>Interface!$C$6</f>
        <v>35</v>
      </c>
      <c r="O7" s="5">
        <f>Interface!$C$6</f>
        <v>35</v>
      </c>
      <c r="P7" s="5">
        <f>Interface!$C$6</f>
        <v>35</v>
      </c>
      <c r="Q7" s="5">
        <f>Interface!$C$6</f>
        <v>35</v>
      </c>
      <c r="R7" s="5">
        <f>Interface!$C$6</f>
        <v>35</v>
      </c>
      <c r="S7" s="5">
        <f>Interface!$C$6</f>
        <v>35</v>
      </c>
      <c r="T7" s="5">
        <f>Interface!$C$6</f>
        <v>35</v>
      </c>
      <c r="U7" s="5">
        <f>Interface!$C$6</f>
        <v>35</v>
      </c>
    </row>
    <row r="8">
      <c r="B8" t="s">
        <v>13</v>
      </c>
      <c r="C8" t="s">
        <v>14</v>
      </c>
      <c r="D8" s="10">
        <v>300.0</v>
      </c>
      <c r="E8" s="10">
        <v>300.0</v>
      </c>
      <c r="F8" s="10">
        <v>300.0</v>
      </c>
      <c r="G8" s="10">
        <v>300.0</v>
      </c>
      <c r="H8" s="10">
        <v>300.0</v>
      </c>
      <c r="I8" s="10">
        <v>300.0</v>
      </c>
      <c r="J8" s="10">
        <v>300.0</v>
      </c>
      <c r="K8" s="10">
        <v>300.0</v>
      </c>
      <c r="L8" s="10">
        <v>300.0</v>
      </c>
      <c r="M8" s="10">
        <v>300.0</v>
      </c>
      <c r="N8" s="10">
        <v>300.0</v>
      </c>
      <c r="O8" s="10">
        <v>300.0</v>
      </c>
      <c r="P8" s="10">
        <v>300.0</v>
      </c>
      <c r="Q8" s="10">
        <v>300.0</v>
      </c>
      <c r="R8" s="10">
        <v>300.0</v>
      </c>
      <c r="S8" s="10">
        <v>300.0</v>
      </c>
      <c r="T8" s="10">
        <v>300.0</v>
      </c>
      <c r="U8" s="10">
        <v>300.0</v>
      </c>
    </row>
    <row r="9">
      <c r="B9" t="s">
        <v>15</v>
      </c>
      <c r="D9" s="10">
        <v>2.0</v>
      </c>
      <c r="E9" s="10">
        <v>2.0</v>
      </c>
      <c r="F9" s="10">
        <v>2.0</v>
      </c>
      <c r="G9" s="10">
        <v>2.0</v>
      </c>
      <c r="H9" s="10">
        <v>2.0</v>
      </c>
      <c r="I9" s="10">
        <v>2.0</v>
      </c>
      <c r="J9" s="10">
        <v>2.0</v>
      </c>
      <c r="K9" s="10">
        <v>2.0</v>
      </c>
      <c r="L9" s="10">
        <v>2.0</v>
      </c>
      <c r="M9" s="10">
        <v>2.0</v>
      </c>
      <c r="N9" s="10">
        <v>2.0</v>
      </c>
      <c r="O9" s="10">
        <v>2.0</v>
      </c>
      <c r="P9" s="10">
        <v>2.0</v>
      </c>
      <c r="Q9" s="10">
        <v>2.0</v>
      </c>
      <c r="R9" s="10">
        <v>2.0</v>
      </c>
      <c r="S9" s="10">
        <v>2.0</v>
      </c>
      <c r="T9" s="10">
        <v>2.0</v>
      </c>
      <c r="U9" s="10">
        <v>2.0</v>
      </c>
    </row>
    <row r="10">
      <c r="B10" t="s">
        <v>17</v>
      </c>
      <c r="C10" t="s">
        <v>18</v>
      </c>
      <c r="D10" s="5">
        <f>Interface!$C$11</f>
        <v>0.11</v>
      </c>
      <c r="E10" s="5">
        <f>Interface!$C$11</f>
        <v>0.11</v>
      </c>
      <c r="F10" s="5">
        <f>Interface!$C$11</f>
        <v>0.11</v>
      </c>
      <c r="G10" s="5">
        <f>Interface!$C$11</f>
        <v>0.11</v>
      </c>
      <c r="H10" s="5">
        <f>Interface!$C$11</f>
        <v>0.11</v>
      </c>
      <c r="I10" s="5">
        <f>Interface!$C$11</f>
        <v>0.11</v>
      </c>
      <c r="J10" s="5">
        <f>Interface!$C$11</f>
        <v>0.11</v>
      </c>
      <c r="K10" s="5">
        <f>Interface!$C$11</f>
        <v>0.11</v>
      </c>
      <c r="L10" s="5">
        <f>Interface!$C$11</f>
        <v>0.11</v>
      </c>
      <c r="M10" s="5">
        <f>Interface!$C$11</f>
        <v>0.11</v>
      </c>
      <c r="N10" s="5">
        <f>Interface!$C$11</f>
        <v>0.11</v>
      </c>
      <c r="O10" s="5">
        <f>Interface!$C$11</f>
        <v>0.11</v>
      </c>
      <c r="P10" s="5">
        <f>Interface!$C$11</f>
        <v>0.11</v>
      </c>
      <c r="Q10" s="5">
        <f>Interface!$C$11</f>
        <v>0.11</v>
      </c>
      <c r="R10" s="5">
        <f>Interface!$C$11</f>
        <v>0.11</v>
      </c>
      <c r="S10" s="5">
        <f>Interface!$C$11</f>
        <v>0.11</v>
      </c>
      <c r="T10" s="5">
        <f>Interface!$C$11</f>
        <v>0.11</v>
      </c>
      <c r="U10" s="5">
        <f>Interface!$C$11</f>
        <v>0.11</v>
      </c>
    </row>
    <row r="11">
      <c r="B11" t="s">
        <v>20</v>
      </c>
      <c r="C11" t="s">
        <v>21</v>
      </c>
      <c r="D11" s="11">
        <f>Interface!$C$12</f>
        <v>0.0015</v>
      </c>
      <c r="E11" s="11">
        <f>Interface!$C$12</f>
        <v>0.0015</v>
      </c>
      <c r="F11" s="11">
        <f>Interface!$C$12</f>
        <v>0.0015</v>
      </c>
      <c r="G11" s="11">
        <f>Interface!$C$12</f>
        <v>0.0015</v>
      </c>
      <c r="H11" s="11">
        <f>Interface!$C$12</f>
        <v>0.0015</v>
      </c>
      <c r="I11" s="11">
        <f>Interface!$C$12</f>
        <v>0.0015</v>
      </c>
      <c r="J11" s="11">
        <f>Interface!$C$12</f>
        <v>0.0015</v>
      </c>
      <c r="K11" s="11">
        <f>Interface!$C$12</f>
        <v>0.0015</v>
      </c>
      <c r="L11" s="11">
        <f>Interface!$C$12</f>
        <v>0.0015</v>
      </c>
      <c r="M11" s="11">
        <f>Interface!$C$12</f>
        <v>0.0015</v>
      </c>
      <c r="N11" s="11">
        <f>Interface!$C$12</f>
        <v>0.0015</v>
      </c>
      <c r="O11" s="11">
        <f>Interface!$C$12</f>
        <v>0.0015</v>
      </c>
      <c r="P11" s="11">
        <f>Interface!$C$12</f>
        <v>0.0015</v>
      </c>
      <c r="Q11" s="11">
        <f>Interface!$C$12</f>
        <v>0.0015</v>
      </c>
      <c r="R11" s="11">
        <f>Interface!$C$12</f>
        <v>0.0015</v>
      </c>
      <c r="S11" s="11">
        <f>Interface!$C$12</f>
        <v>0.0015</v>
      </c>
      <c r="T11" s="11">
        <f>Interface!$C$12</f>
        <v>0.0015</v>
      </c>
      <c r="U11" s="11">
        <f>Interface!$C$12</f>
        <v>0.0015</v>
      </c>
    </row>
    <row r="12">
      <c r="B12" t="s">
        <v>23</v>
      </c>
      <c r="C12" t="s">
        <v>24</v>
      </c>
      <c r="D12" s="5">
        <f>Interface!$K$18</f>
        <v>10</v>
      </c>
      <c r="E12" s="5">
        <f t="shared" ref="E12:N12" si="2">D12+$D$1</f>
        <v>510</v>
      </c>
      <c r="F12" s="5">
        <f t="shared" si="2"/>
        <v>1010</v>
      </c>
      <c r="G12" s="5">
        <f t="shared" si="2"/>
        <v>1510</v>
      </c>
      <c r="H12" s="5">
        <f t="shared" si="2"/>
        <v>2010</v>
      </c>
      <c r="I12" s="5">
        <f t="shared" si="2"/>
        <v>2510</v>
      </c>
      <c r="J12" s="5">
        <f t="shared" si="2"/>
        <v>3010</v>
      </c>
      <c r="K12" s="5">
        <f t="shared" si="2"/>
        <v>3510</v>
      </c>
      <c r="L12" s="5">
        <f t="shared" si="2"/>
        <v>4010</v>
      </c>
      <c r="M12" s="5">
        <f t="shared" si="2"/>
        <v>4510</v>
      </c>
      <c r="N12" s="5">
        <f t="shared" si="2"/>
        <v>5010</v>
      </c>
      <c r="O12" s="5">
        <f t="shared" ref="O12:U12" si="3">N12+$D$2</f>
        <v>6010</v>
      </c>
      <c r="P12" s="5">
        <f t="shared" si="3"/>
        <v>7010</v>
      </c>
      <c r="Q12" s="5">
        <f t="shared" si="3"/>
        <v>8010</v>
      </c>
      <c r="R12" s="5">
        <f t="shared" si="3"/>
        <v>9010</v>
      </c>
      <c r="S12" s="5">
        <f t="shared" si="3"/>
        <v>10010</v>
      </c>
      <c r="T12" s="5">
        <f t="shared" si="3"/>
        <v>11010</v>
      </c>
      <c r="U12" s="5">
        <f t="shared" si="3"/>
        <v>12010</v>
      </c>
    </row>
    <row r="13">
      <c r="B13" t="s">
        <v>26</v>
      </c>
      <c r="C13" t="s">
        <v>17</v>
      </c>
      <c r="D13" s="12">
        <f t="shared" ref="D13:U13" si="4">D12*(D10)</f>
        <v>1.1</v>
      </c>
      <c r="E13" s="12">
        <f t="shared" si="4"/>
        <v>56.1</v>
      </c>
      <c r="F13" s="12">
        <f t="shared" si="4"/>
        <v>111.1</v>
      </c>
      <c r="G13" s="12">
        <f t="shared" si="4"/>
        <v>166.1</v>
      </c>
      <c r="H13" s="12">
        <f t="shared" si="4"/>
        <v>221.1</v>
      </c>
      <c r="I13" s="12">
        <f t="shared" si="4"/>
        <v>276.1</v>
      </c>
      <c r="J13" s="12">
        <f t="shared" si="4"/>
        <v>331.1</v>
      </c>
      <c r="K13" s="12">
        <f t="shared" si="4"/>
        <v>386.1</v>
      </c>
      <c r="L13" s="12">
        <f t="shared" si="4"/>
        <v>441.1</v>
      </c>
      <c r="M13" s="12">
        <f t="shared" si="4"/>
        <v>496.1</v>
      </c>
      <c r="N13" s="12">
        <f t="shared" si="4"/>
        <v>551.1</v>
      </c>
      <c r="O13" s="12">
        <f t="shared" si="4"/>
        <v>661.1</v>
      </c>
      <c r="P13" s="12">
        <f t="shared" si="4"/>
        <v>771.1</v>
      </c>
      <c r="Q13" s="12">
        <f t="shared" si="4"/>
        <v>881.1</v>
      </c>
      <c r="R13" s="12">
        <f t="shared" si="4"/>
        <v>991.1</v>
      </c>
      <c r="S13" s="12">
        <f t="shared" si="4"/>
        <v>1101.1</v>
      </c>
      <c r="T13" s="12">
        <f t="shared" si="4"/>
        <v>1211.1</v>
      </c>
      <c r="U13" s="12">
        <f t="shared" si="4"/>
        <v>1321.1</v>
      </c>
    </row>
    <row r="14">
      <c r="B14" s="13" t="s">
        <v>28</v>
      </c>
      <c r="C14" t="s">
        <v>21</v>
      </c>
      <c r="D14" s="5">
        <f>Interface!$C$13</f>
        <v>0.001</v>
      </c>
      <c r="E14" s="5">
        <f>Interface!$C$13</f>
        <v>0.001</v>
      </c>
      <c r="F14" s="5">
        <f>Interface!$C$13</f>
        <v>0.001</v>
      </c>
      <c r="G14" s="5">
        <f>Interface!$C$13</f>
        <v>0.001</v>
      </c>
      <c r="H14" s="5">
        <f>Interface!$C$13</f>
        <v>0.001</v>
      </c>
      <c r="I14" s="5">
        <f>Interface!$C$13</f>
        <v>0.001</v>
      </c>
      <c r="J14" s="5">
        <f>Interface!$C$13</f>
        <v>0.001</v>
      </c>
      <c r="K14" s="5">
        <f>Interface!$C$13</f>
        <v>0.001</v>
      </c>
      <c r="L14" s="5">
        <f>Interface!$C$13</f>
        <v>0.001</v>
      </c>
      <c r="M14" s="5">
        <f>Interface!$C$13</f>
        <v>0.001</v>
      </c>
      <c r="N14" s="5">
        <f>Interface!$C$13</f>
        <v>0.001</v>
      </c>
      <c r="O14" s="5">
        <f>Interface!$C$13</f>
        <v>0.001</v>
      </c>
      <c r="P14" s="5">
        <f>Interface!$C$13</f>
        <v>0.001</v>
      </c>
      <c r="Q14" s="5">
        <f>Interface!$C$13</f>
        <v>0.001</v>
      </c>
      <c r="R14" s="5">
        <f>Interface!$C$13</f>
        <v>0.001</v>
      </c>
      <c r="S14" s="5">
        <f>Interface!$C$13</f>
        <v>0.001</v>
      </c>
      <c r="T14" s="5">
        <f>Interface!$C$13</f>
        <v>0.001</v>
      </c>
      <c r="U14" s="5">
        <f>Interface!$C$13</f>
        <v>0.001</v>
      </c>
    </row>
    <row r="15">
      <c r="B15" t="s">
        <v>30</v>
      </c>
      <c r="C15" t="s">
        <v>24</v>
      </c>
      <c r="D15" s="12">
        <f t="shared" ref="D15:U15" si="5">(0.00000035*D6^2-0.0002056*D6+0.03027365)*10000*$X$2</f>
        <v>41.1480465</v>
      </c>
      <c r="E15" s="12">
        <f t="shared" si="5"/>
        <v>41.1480465</v>
      </c>
      <c r="F15" s="12">
        <f t="shared" si="5"/>
        <v>41.1480465</v>
      </c>
      <c r="G15" s="12">
        <f t="shared" si="5"/>
        <v>41.1480465</v>
      </c>
      <c r="H15" s="12">
        <f t="shared" si="5"/>
        <v>41.1480465</v>
      </c>
      <c r="I15" s="12">
        <f t="shared" si="5"/>
        <v>41.1480465</v>
      </c>
      <c r="J15" s="12">
        <f t="shared" si="5"/>
        <v>41.1480465</v>
      </c>
      <c r="K15" s="12">
        <f t="shared" si="5"/>
        <v>41.1480465</v>
      </c>
      <c r="L15" s="12">
        <f t="shared" si="5"/>
        <v>41.1480465</v>
      </c>
      <c r="M15" s="12">
        <f t="shared" si="5"/>
        <v>41.1480465</v>
      </c>
      <c r="N15" s="12">
        <f t="shared" si="5"/>
        <v>41.1480465</v>
      </c>
      <c r="O15" s="12">
        <f t="shared" si="5"/>
        <v>41.1480465</v>
      </c>
      <c r="P15" s="12">
        <f t="shared" si="5"/>
        <v>41.1480465</v>
      </c>
      <c r="Q15" s="12">
        <f t="shared" si="5"/>
        <v>41.1480465</v>
      </c>
      <c r="R15" s="12">
        <f t="shared" si="5"/>
        <v>41.1480465</v>
      </c>
      <c r="S15" s="12">
        <f t="shared" si="5"/>
        <v>41.1480465</v>
      </c>
      <c r="T15" s="12">
        <f t="shared" si="5"/>
        <v>41.1480465</v>
      </c>
      <c r="U15" s="12">
        <f t="shared" si="5"/>
        <v>41.1480465</v>
      </c>
    </row>
    <row r="16">
      <c r="B16" t="s">
        <v>33</v>
      </c>
      <c r="C16" t="s">
        <v>24</v>
      </c>
      <c r="D16" s="12">
        <f t="shared" ref="D16:U16" si="6">(0.0000008825*D6-0.0002347142)*10000*$X$2</f>
        <v>2.9970897</v>
      </c>
      <c r="E16" s="12">
        <f t="shared" si="6"/>
        <v>2.9970897</v>
      </c>
      <c r="F16" s="12">
        <f t="shared" si="6"/>
        <v>2.9970897</v>
      </c>
      <c r="G16" s="12">
        <f t="shared" si="6"/>
        <v>2.9970897</v>
      </c>
      <c r="H16" s="12">
        <f t="shared" si="6"/>
        <v>2.9970897</v>
      </c>
      <c r="I16" s="12">
        <f t="shared" si="6"/>
        <v>2.9970897</v>
      </c>
      <c r="J16" s="12">
        <f t="shared" si="6"/>
        <v>2.9970897</v>
      </c>
      <c r="K16" s="12">
        <f t="shared" si="6"/>
        <v>2.9970897</v>
      </c>
      <c r="L16" s="12">
        <f t="shared" si="6"/>
        <v>2.9970897</v>
      </c>
      <c r="M16" s="12">
        <f t="shared" si="6"/>
        <v>2.9970897</v>
      </c>
      <c r="N16" s="12">
        <f t="shared" si="6"/>
        <v>2.9970897</v>
      </c>
      <c r="O16" s="12">
        <f t="shared" si="6"/>
        <v>2.9970897</v>
      </c>
      <c r="P16" s="12">
        <f t="shared" si="6"/>
        <v>2.9970897</v>
      </c>
      <c r="Q16" s="12">
        <f t="shared" si="6"/>
        <v>2.9970897</v>
      </c>
      <c r="R16" s="12">
        <f t="shared" si="6"/>
        <v>2.9970897</v>
      </c>
      <c r="S16" s="12">
        <f t="shared" si="6"/>
        <v>2.9970897</v>
      </c>
      <c r="T16" s="12">
        <f t="shared" si="6"/>
        <v>2.9970897</v>
      </c>
      <c r="U16" s="12">
        <f t="shared" si="6"/>
        <v>2.9970897</v>
      </c>
    </row>
    <row r="17"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20">
      <c r="B20" s="16" t="s">
        <v>34</v>
      </c>
    </row>
    <row r="21" ht="15.75" customHeight="1">
      <c r="B21" t="s">
        <v>35</v>
      </c>
      <c r="C21" t="s">
        <v>36</v>
      </c>
      <c r="D21" s="17">
        <v>8.3144621</v>
      </c>
      <c r="E21" s="17">
        <v>8.3144621</v>
      </c>
      <c r="F21" s="17">
        <v>8.3144621</v>
      </c>
      <c r="G21" s="17">
        <v>8.3144621</v>
      </c>
      <c r="H21" s="17">
        <v>8.3144621</v>
      </c>
      <c r="I21" s="17">
        <v>8.3144621</v>
      </c>
      <c r="J21" s="17">
        <v>8.3144621</v>
      </c>
      <c r="K21" s="17">
        <v>8.3144621</v>
      </c>
      <c r="L21" s="17">
        <v>8.3144621</v>
      </c>
      <c r="M21" s="17">
        <v>8.3144621</v>
      </c>
      <c r="N21" s="17">
        <v>8.3144621</v>
      </c>
      <c r="O21" s="17">
        <v>8.3144621</v>
      </c>
      <c r="P21" s="17">
        <v>8.3144621</v>
      </c>
      <c r="Q21" s="17">
        <v>8.3144621</v>
      </c>
      <c r="R21" s="17">
        <v>8.3144621</v>
      </c>
      <c r="S21" s="17">
        <v>8.3144621</v>
      </c>
      <c r="T21" s="17">
        <v>8.3144621</v>
      </c>
      <c r="U21" s="17">
        <v>8.3144621</v>
      </c>
    </row>
    <row r="22" ht="15.75" customHeight="1">
      <c r="B22" t="s">
        <v>38</v>
      </c>
      <c r="C22" t="s">
        <v>39</v>
      </c>
      <c r="D22" s="10">
        <v>96485.3365</v>
      </c>
      <c r="E22" s="10">
        <v>96485.3365</v>
      </c>
      <c r="F22" s="10">
        <v>96485.3365</v>
      </c>
      <c r="G22" s="10">
        <v>96485.3365</v>
      </c>
      <c r="H22" s="10">
        <v>96485.3365</v>
      </c>
      <c r="I22" s="10">
        <v>96485.3365</v>
      </c>
      <c r="J22" s="10">
        <v>96485.3365</v>
      </c>
      <c r="K22" s="10">
        <v>96485.3365</v>
      </c>
      <c r="L22" s="10">
        <v>96485.3365</v>
      </c>
      <c r="M22" s="10">
        <v>96485.3365</v>
      </c>
      <c r="N22" s="10">
        <v>96485.3365</v>
      </c>
      <c r="O22" s="10">
        <v>96485.3365</v>
      </c>
      <c r="P22" s="10">
        <v>96485.3365</v>
      </c>
      <c r="Q22" s="10">
        <v>96485.3365</v>
      </c>
      <c r="R22" s="10">
        <v>96485.3365</v>
      </c>
      <c r="S22" s="10">
        <v>96485.3365</v>
      </c>
      <c r="T22" s="10">
        <v>96485.3365</v>
      </c>
      <c r="U22" s="10">
        <v>96485.3365</v>
      </c>
    </row>
    <row r="23" ht="15.75" customHeight="1">
      <c r="B23" t="s">
        <v>41</v>
      </c>
      <c r="C23" t="s">
        <v>42</v>
      </c>
      <c r="D23" s="18">
        <v>0.002</v>
      </c>
      <c r="E23" s="18">
        <v>0.002</v>
      </c>
      <c r="F23" s="18">
        <v>0.002</v>
      </c>
      <c r="G23" s="18">
        <v>0.002</v>
      </c>
      <c r="H23" s="18">
        <v>0.002</v>
      </c>
      <c r="I23" s="18">
        <v>0.002</v>
      </c>
      <c r="J23" s="18">
        <v>0.002</v>
      </c>
      <c r="K23" s="18">
        <v>0.002</v>
      </c>
      <c r="L23" s="18">
        <v>0.002</v>
      </c>
      <c r="M23" s="18">
        <v>0.002</v>
      </c>
      <c r="N23" s="18">
        <v>0.002</v>
      </c>
      <c r="O23" s="18">
        <v>0.002</v>
      </c>
      <c r="P23" s="18">
        <v>0.002</v>
      </c>
      <c r="Q23" s="18">
        <v>0.002</v>
      </c>
      <c r="R23" s="18">
        <v>0.002</v>
      </c>
      <c r="S23" s="18">
        <v>0.002</v>
      </c>
      <c r="T23" s="18">
        <v>0.002</v>
      </c>
      <c r="U23" s="18">
        <v>0.002</v>
      </c>
    </row>
    <row r="24" ht="15.75" customHeight="1">
      <c r="B24" t="s">
        <v>44</v>
      </c>
      <c r="C24" t="s">
        <v>42</v>
      </c>
      <c r="D24" s="18">
        <v>0.032</v>
      </c>
      <c r="E24" s="18">
        <v>0.032</v>
      </c>
      <c r="F24" s="18">
        <v>0.032</v>
      </c>
      <c r="G24" s="18">
        <v>0.032</v>
      </c>
      <c r="H24" s="18">
        <v>0.032</v>
      </c>
      <c r="I24" s="18">
        <v>0.032</v>
      </c>
      <c r="J24" s="18">
        <v>0.032</v>
      </c>
      <c r="K24" s="18">
        <v>0.032</v>
      </c>
      <c r="L24" s="18">
        <v>0.032</v>
      </c>
      <c r="M24" s="18">
        <v>0.032</v>
      </c>
      <c r="N24" s="18">
        <v>0.032</v>
      </c>
      <c r="O24" s="18">
        <v>0.032</v>
      </c>
      <c r="P24" s="18">
        <v>0.032</v>
      </c>
      <c r="Q24" s="18">
        <v>0.032</v>
      </c>
      <c r="R24" s="18">
        <v>0.032</v>
      </c>
      <c r="S24" s="18">
        <v>0.032</v>
      </c>
      <c r="T24" s="18">
        <v>0.032</v>
      </c>
      <c r="U24" s="18">
        <v>0.032</v>
      </c>
    </row>
    <row r="25" ht="15.75" customHeight="1">
      <c r="B25" s="13" t="s">
        <v>46</v>
      </c>
      <c r="C25" t="s">
        <v>47</v>
      </c>
      <c r="D25" s="19" t="str">
        <f>[1]!Rkalht("rov",D4,D5,"H2",1)</f>
        <v>#ERROR!</v>
      </c>
      <c r="E25" s="19" t="str">
        <f>[1]!Rkalht("rov",E4,E5,"H2",1)</f>
        <v>#ERROR!</v>
      </c>
      <c r="F25" s="19" t="str">
        <f>[1]!Rkalht("rov",F4,F5,"H2",1)</f>
        <v>#ERROR!</v>
      </c>
      <c r="G25" s="19" t="str">
        <f>[1]!Rkalht("rov",G4,G5,"H2",1)</f>
        <v>#ERROR!</v>
      </c>
      <c r="H25" s="19" t="str">
        <f>[1]!Rkalht("rov",H4,H5,"H2",1)</f>
        <v>#ERROR!</v>
      </c>
      <c r="I25" s="19" t="str">
        <f>[1]!Rkalht("rov",I4,I5,"H2",1)</f>
        <v>#ERROR!</v>
      </c>
      <c r="J25" s="19" t="str">
        <f>[1]!Rkalht("rov",J4,J5,"H2",1)</f>
        <v>#ERROR!</v>
      </c>
      <c r="K25" s="19" t="str">
        <f>[1]!Rkalht("rov",K4,K5,"H2",1)</f>
        <v>#ERROR!</v>
      </c>
      <c r="L25" s="19" t="str">
        <f>[1]!Rkalht("rov",L4,L5,"H2",1)</f>
        <v>#ERROR!</v>
      </c>
      <c r="M25" s="19" t="str">
        <f>[1]!Rkalht("rov",M4,M5,"H2",1)</f>
        <v>#ERROR!</v>
      </c>
      <c r="N25" s="19" t="str">
        <f>[1]!Rkalht("rov",N4,N5,"H2",1)</f>
        <v>#ERROR!</v>
      </c>
      <c r="O25" s="19" t="str">
        <f>[1]!Rkalht("rov",O4,O5,"H2",1)</f>
        <v>#ERROR!</v>
      </c>
      <c r="P25" s="19" t="str">
        <f>[1]!Rkalht("rov",P4,P5,"H2",1)</f>
        <v>#ERROR!</v>
      </c>
      <c r="Q25" s="19" t="str">
        <f>[1]!Rkalht("rov",Q4,Q5,"H2",1)</f>
        <v>#ERROR!</v>
      </c>
      <c r="R25" s="19" t="str">
        <f>[1]!Rkalht("rov",R4,R5,"H2",1)</f>
        <v>#ERROR!</v>
      </c>
      <c r="S25" s="19" t="str">
        <f>[1]!Rkalht("rov",S4,S5,"H2",1)</f>
        <v>#ERROR!</v>
      </c>
      <c r="T25" s="19" t="str">
        <f>[1]!Rkalht("rov",T4,T5,"H2",1)</f>
        <v>#ERROR!</v>
      </c>
      <c r="U25" s="19" t="str">
        <f>[1]!Rkalht("rov",U4,U5,"H2",1)</f>
        <v>#ERROR!</v>
      </c>
    </row>
    <row r="26" ht="15.75" customHeight="1">
      <c r="B26" s="13" t="s">
        <v>49</v>
      </c>
      <c r="C26" t="s">
        <v>47</v>
      </c>
      <c r="D26" s="19" t="str">
        <f>[1]!Rkalht("rov",D4,D5,"O2",1)</f>
        <v>#ERROR!</v>
      </c>
      <c r="E26" s="19" t="str">
        <f>[1]!Rkalht("rov",E4,E5,"O2",1)</f>
        <v>#ERROR!</v>
      </c>
      <c r="F26" s="19" t="str">
        <f>[1]!Rkalht("rov",F4,F5,"O2",1)</f>
        <v>#ERROR!</v>
      </c>
      <c r="G26" s="19" t="str">
        <f>[1]!Rkalht("rov",G4,G5,"O2",1)</f>
        <v>#ERROR!</v>
      </c>
      <c r="H26" s="19" t="str">
        <f>[1]!Rkalht("rov",H4,H5,"O2",1)</f>
        <v>#ERROR!</v>
      </c>
      <c r="I26" s="19" t="str">
        <f>[1]!Rkalht("rov",I4,I5,"O2",1)</f>
        <v>#ERROR!</v>
      </c>
      <c r="J26" s="19" t="str">
        <f>[1]!Rkalht("rov",J4,J5,"O2",1)</f>
        <v>#ERROR!</v>
      </c>
      <c r="K26" s="19" t="str">
        <f>[1]!Rkalht("rov",K4,K5,"O2",1)</f>
        <v>#ERROR!</v>
      </c>
      <c r="L26" s="19" t="str">
        <f>[1]!Rkalht("rov",L4,L5,"O2",1)</f>
        <v>#ERROR!</v>
      </c>
      <c r="M26" s="19" t="str">
        <f>[1]!Rkalht("rov",M4,M5,"O2",1)</f>
        <v>#ERROR!</v>
      </c>
      <c r="N26" s="19" t="str">
        <f>[1]!Rkalht("rov",N4,N5,"O2",1)</f>
        <v>#ERROR!</v>
      </c>
      <c r="O26" s="19" t="str">
        <f>[1]!Rkalht("rov",O4,O5,"O2",1)</f>
        <v>#ERROR!</v>
      </c>
      <c r="P26" s="19" t="str">
        <f>[1]!Rkalht("rov",P4,P5,"O2",1)</f>
        <v>#ERROR!</v>
      </c>
      <c r="Q26" s="19" t="str">
        <f>[1]!Rkalht("rov",Q4,Q5,"O2",1)</f>
        <v>#ERROR!</v>
      </c>
      <c r="R26" s="19" t="str">
        <f>[1]!Rkalht("rov",R4,R5,"O2",1)</f>
        <v>#ERROR!</v>
      </c>
      <c r="S26" s="19" t="str">
        <f>[1]!Rkalht("rov",S4,S5,"O2",1)</f>
        <v>#ERROR!</v>
      </c>
      <c r="T26" s="19" t="str">
        <f>[1]!Rkalht("rov",T4,T5,"O2",1)</f>
        <v>#ERROR!</v>
      </c>
      <c r="U26" s="19" t="str">
        <f>[1]!Rkalht("rov",U4,U5,"O2",1)</f>
        <v>#ERROR!</v>
      </c>
    </row>
    <row r="27" ht="15.75" customHeight="1">
      <c r="B27" s="13" t="s">
        <v>51</v>
      </c>
      <c r="C27" t="s">
        <v>52</v>
      </c>
      <c r="D27" s="12">
        <f t="shared" ref="D27:U27" si="7">(D28-D33)</f>
        <v>235359.9972</v>
      </c>
      <c r="E27" s="12">
        <f t="shared" si="7"/>
        <v>235359.9972</v>
      </c>
      <c r="F27" s="12">
        <f t="shared" si="7"/>
        <v>235359.9972</v>
      </c>
      <c r="G27" s="12">
        <f t="shared" si="7"/>
        <v>235359.9972</v>
      </c>
      <c r="H27" s="12">
        <f t="shared" si="7"/>
        <v>235359.9972</v>
      </c>
      <c r="I27" s="12">
        <f t="shared" si="7"/>
        <v>235359.9972</v>
      </c>
      <c r="J27" s="12">
        <f t="shared" si="7"/>
        <v>235359.9972</v>
      </c>
      <c r="K27" s="12">
        <f t="shared" si="7"/>
        <v>235359.9972</v>
      </c>
      <c r="L27" s="12">
        <f t="shared" si="7"/>
        <v>235359.9972</v>
      </c>
      <c r="M27" s="12">
        <f t="shared" si="7"/>
        <v>235359.9972</v>
      </c>
      <c r="N27" s="12">
        <f t="shared" si="7"/>
        <v>235359.9972</v>
      </c>
      <c r="O27" s="12">
        <f t="shared" si="7"/>
        <v>235359.9972</v>
      </c>
      <c r="P27" s="12">
        <f t="shared" si="7"/>
        <v>235359.9972</v>
      </c>
      <c r="Q27" s="12">
        <f t="shared" si="7"/>
        <v>235359.9972</v>
      </c>
      <c r="R27" s="12">
        <f t="shared" si="7"/>
        <v>235359.9972</v>
      </c>
      <c r="S27" s="12">
        <f t="shared" si="7"/>
        <v>235359.9972</v>
      </c>
      <c r="T27" s="12">
        <f t="shared" si="7"/>
        <v>235359.9972</v>
      </c>
      <c r="U27" s="12">
        <f t="shared" si="7"/>
        <v>235359.9972</v>
      </c>
    </row>
    <row r="28" ht="15.75" customHeight="1">
      <c r="B28" s="13" t="s">
        <v>54</v>
      </c>
      <c r="C28" t="s">
        <v>55</v>
      </c>
      <c r="D28" s="22">
        <f t="shared" ref="D28:U28" si="8">290120-0.048243*D6^2</f>
        <v>284439.294</v>
      </c>
      <c r="E28" s="22">
        <f t="shared" si="8"/>
        <v>284439.294</v>
      </c>
      <c r="F28" s="22">
        <f t="shared" si="8"/>
        <v>284439.294</v>
      </c>
      <c r="G28" s="22">
        <f t="shared" si="8"/>
        <v>284439.294</v>
      </c>
      <c r="H28" s="22">
        <f t="shared" si="8"/>
        <v>284439.294</v>
      </c>
      <c r="I28" s="22">
        <f t="shared" si="8"/>
        <v>284439.294</v>
      </c>
      <c r="J28" s="22">
        <f t="shared" si="8"/>
        <v>284439.294</v>
      </c>
      <c r="K28" s="22">
        <f t="shared" si="8"/>
        <v>284439.294</v>
      </c>
      <c r="L28" s="22">
        <f t="shared" si="8"/>
        <v>284439.294</v>
      </c>
      <c r="M28" s="22">
        <f t="shared" si="8"/>
        <v>284439.294</v>
      </c>
      <c r="N28" s="22">
        <f t="shared" si="8"/>
        <v>284439.294</v>
      </c>
      <c r="O28" s="22">
        <f t="shared" si="8"/>
        <v>284439.294</v>
      </c>
      <c r="P28" s="22">
        <f t="shared" si="8"/>
        <v>284439.294</v>
      </c>
      <c r="Q28" s="22">
        <f t="shared" si="8"/>
        <v>284439.294</v>
      </c>
      <c r="R28" s="22">
        <f t="shared" si="8"/>
        <v>284439.294</v>
      </c>
      <c r="S28" s="22">
        <f t="shared" si="8"/>
        <v>284439.294</v>
      </c>
      <c r="T28" s="22">
        <f t="shared" si="8"/>
        <v>284439.294</v>
      </c>
      <c r="U28" s="22">
        <f t="shared" si="8"/>
        <v>284439.294</v>
      </c>
    </row>
    <row r="29" ht="15.75" customHeight="1">
      <c r="B29" s="13" t="s">
        <v>58</v>
      </c>
      <c r="C29" t="s">
        <v>59</v>
      </c>
      <c r="D29" s="23">
        <f t="shared" ref="D29:U29" si="9">1.50342-0.0009956*D6+0.00000025*D6^2+D21*D6/(D9*D22)*LN((D4-D37)^1.5*(D35/D37))+(D4-D37)*(0.000021661-0.005471/D6)+(D4-D37)^2*(-0.000006289/D6+0.000135/D6^1.5+0.002547/D6^2-0.4825/D6^3)</f>
        <v>1.250786256</v>
      </c>
      <c r="E29" s="23">
        <f t="shared" si="9"/>
        <v>1.250786256</v>
      </c>
      <c r="F29" s="23">
        <f t="shared" si="9"/>
        <v>1.250786256</v>
      </c>
      <c r="G29" s="23">
        <f t="shared" si="9"/>
        <v>1.250786256</v>
      </c>
      <c r="H29" s="23">
        <f t="shared" si="9"/>
        <v>1.250786256</v>
      </c>
      <c r="I29" s="23">
        <f t="shared" si="9"/>
        <v>1.250786256</v>
      </c>
      <c r="J29" s="23">
        <f t="shared" si="9"/>
        <v>1.250786256</v>
      </c>
      <c r="K29" s="23">
        <f t="shared" si="9"/>
        <v>1.250786256</v>
      </c>
      <c r="L29" s="23">
        <f t="shared" si="9"/>
        <v>1.250786256</v>
      </c>
      <c r="M29" s="23">
        <f t="shared" si="9"/>
        <v>1.250786256</v>
      </c>
      <c r="N29" s="23">
        <f t="shared" si="9"/>
        <v>1.250786256</v>
      </c>
      <c r="O29" s="23">
        <f t="shared" si="9"/>
        <v>1.250786256</v>
      </c>
      <c r="P29" s="23">
        <f t="shared" si="9"/>
        <v>1.250786256</v>
      </c>
      <c r="Q29" s="23">
        <f t="shared" si="9"/>
        <v>1.250786256</v>
      </c>
      <c r="R29" s="23">
        <f t="shared" si="9"/>
        <v>1.250786256</v>
      </c>
      <c r="S29" s="23">
        <f t="shared" si="9"/>
        <v>1.250786256</v>
      </c>
      <c r="T29" s="23">
        <f t="shared" si="9"/>
        <v>1.250786256</v>
      </c>
      <c r="U29" s="23">
        <f t="shared" si="9"/>
        <v>1.250786256</v>
      </c>
    </row>
    <row r="30" ht="15.75" customHeight="1">
      <c r="B30" s="13" t="s">
        <v>61</v>
      </c>
      <c r="D30" s="24">
        <f t="shared" ref="D30:U30" si="10">1.50342-0.00000025*D6^2</f>
        <v>1.473982019</v>
      </c>
      <c r="E30" s="24">
        <f t="shared" si="10"/>
        <v>1.473982019</v>
      </c>
      <c r="F30" s="24">
        <f t="shared" si="10"/>
        <v>1.473982019</v>
      </c>
      <c r="G30" s="24">
        <f t="shared" si="10"/>
        <v>1.473982019</v>
      </c>
      <c r="H30" s="24">
        <f t="shared" si="10"/>
        <v>1.473982019</v>
      </c>
      <c r="I30" s="24">
        <f t="shared" si="10"/>
        <v>1.473982019</v>
      </c>
      <c r="J30" s="24">
        <f t="shared" si="10"/>
        <v>1.473982019</v>
      </c>
      <c r="K30" s="24">
        <f t="shared" si="10"/>
        <v>1.473982019</v>
      </c>
      <c r="L30" s="24">
        <f t="shared" si="10"/>
        <v>1.473982019</v>
      </c>
      <c r="M30" s="24">
        <f t="shared" si="10"/>
        <v>1.473982019</v>
      </c>
      <c r="N30" s="24">
        <f t="shared" si="10"/>
        <v>1.473982019</v>
      </c>
      <c r="O30" s="24">
        <f t="shared" si="10"/>
        <v>1.473982019</v>
      </c>
      <c r="P30" s="24">
        <f t="shared" si="10"/>
        <v>1.473982019</v>
      </c>
      <c r="Q30" s="24">
        <f t="shared" si="10"/>
        <v>1.473982019</v>
      </c>
      <c r="R30" s="24">
        <f t="shared" si="10"/>
        <v>1.473982019</v>
      </c>
      <c r="S30" s="24">
        <f t="shared" si="10"/>
        <v>1.473982019</v>
      </c>
      <c r="T30" s="24">
        <f t="shared" si="10"/>
        <v>1.473982019</v>
      </c>
      <c r="U30" s="24">
        <f t="shared" si="10"/>
        <v>1.473982019</v>
      </c>
    </row>
    <row r="31" ht="15.75" customHeight="1">
      <c r="B31" s="13" t="s">
        <v>63</v>
      </c>
      <c r="C31" t="s">
        <v>59</v>
      </c>
      <c r="D31" s="26">
        <f t="shared" ref="D31:U31" si="11">((0.000021661-0.010941/$D$6)*D4+(-0.000018578/$D$6+0.000339/$D$6^(1.5)+0.007845/$D$6^2-1.659/$D$6^3)*D4^2)</f>
        <v>-0.00009975454649</v>
      </c>
      <c r="E31" s="26">
        <f t="shared" si="11"/>
        <v>-0.00009975454649</v>
      </c>
      <c r="F31" s="26">
        <f t="shared" si="11"/>
        <v>-0.00009975454649</v>
      </c>
      <c r="G31" s="26">
        <f t="shared" si="11"/>
        <v>-0.00009975454649</v>
      </c>
      <c r="H31" s="26">
        <f t="shared" si="11"/>
        <v>-0.00009975454649</v>
      </c>
      <c r="I31" s="26">
        <f t="shared" si="11"/>
        <v>-0.00009975454649</v>
      </c>
      <c r="J31" s="26">
        <f t="shared" si="11"/>
        <v>-0.00009975454649</v>
      </c>
      <c r="K31" s="26">
        <f t="shared" si="11"/>
        <v>-0.00009975454649</v>
      </c>
      <c r="L31" s="26">
        <f t="shared" si="11"/>
        <v>-0.00009975454649</v>
      </c>
      <c r="M31" s="26">
        <f t="shared" si="11"/>
        <v>-0.00009975454649</v>
      </c>
      <c r="N31" s="26">
        <f t="shared" si="11"/>
        <v>-0.00009975454649</v>
      </c>
      <c r="O31" s="26">
        <f t="shared" si="11"/>
        <v>-0.00009975454649</v>
      </c>
      <c r="P31" s="26">
        <f t="shared" si="11"/>
        <v>-0.00009975454649</v>
      </c>
      <c r="Q31" s="26">
        <f t="shared" si="11"/>
        <v>-0.00009975454649</v>
      </c>
      <c r="R31" s="26">
        <f t="shared" si="11"/>
        <v>-0.00009975454649</v>
      </c>
      <c r="S31" s="26">
        <f t="shared" si="11"/>
        <v>-0.00009975454649</v>
      </c>
      <c r="T31" s="26">
        <f t="shared" si="11"/>
        <v>-0.00009975454649</v>
      </c>
      <c r="U31" s="26">
        <f t="shared" si="11"/>
        <v>-0.00009975454649</v>
      </c>
    </row>
    <row r="32" ht="15.75" customHeight="1">
      <c r="B32" s="13" t="s">
        <v>65</v>
      </c>
      <c r="C32" t="s">
        <v>59</v>
      </c>
      <c r="D32" s="24">
        <f t="shared" ref="D32:U32" si="12">(1.4756+0.0002252*D5+0.0000000152*D5^2)+D31</f>
        <v>1.491338725</v>
      </c>
      <c r="E32" s="24">
        <f t="shared" si="12"/>
        <v>1.491338725</v>
      </c>
      <c r="F32" s="24">
        <f t="shared" si="12"/>
        <v>1.491338725</v>
      </c>
      <c r="G32" s="24">
        <f t="shared" si="12"/>
        <v>1.491338725</v>
      </c>
      <c r="H32" s="24">
        <f t="shared" si="12"/>
        <v>1.491338725</v>
      </c>
      <c r="I32" s="24">
        <f t="shared" si="12"/>
        <v>1.491338725</v>
      </c>
      <c r="J32" s="24">
        <f t="shared" si="12"/>
        <v>1.491338725</v>
      </c>
      <c r="K32" s="24">
        <f t="shared" si="12"/>
        <v>1.491338725</v>
      </c>
      <c r="L32" s="24">
        <f t="shared" si="12"/>
        <v>1.491338725</v>
      </c>
      <c r="M32" s="24">
        <f t="shared" si="12"/>
        <v>1.491338725</v>
      </c>
      <c r="N32" s="24">
        <f t="shared" si="12"/>
        <v>1.491338725</v>
      </c>
      <c r="O32" s="24">
        <f t="shared" si="12"/>
        <v>1.491338725</v>
      </c>
      <c r="P32" s="24">
        <f t="shared" si="12"/>
        <v>1.491338725</v>
      </c>
      <c r="Q32" s="24">
        <f t="shared" si="12"/>
        <v>1.491338725</v>
      </c>
      <c r="R32" s="24">
        <f t="shared" si="12"/>
        <v>1.491338725</v>
      </c>
      <c r="S32" s="24">
        <f t="shared" si="12"/>
        <v>1.491338725</v>
      </c>
      <c r="T32" s="24">
        <f t="shared" si="12"/>
        <v>1.491338725</v>
      </c>
      <c r="U32" s="24">
        <f t="shared" si="12"/>
        <v>1.491338725</v>
      </c>
    </row>
    <row r="33" ht="15.75" customHeight="1">
      <c r="B33" s="13" t="s">
        <v>67</v>
      </c>
      <c r="C33" t="s">
        <v>55</v>
      </c>
      <c r="D33" s="22">
        <f t="shared" ref="D33:U33" si="13">42960+40.762*D6-0.06682*D6^2</f>
        <v>49079.29684</v>
      </c>
      <c r="E33" s="22">
        <f t="shared" si="13"/>
        <v>49079.29684</v>
      </c>
      <c r="F33" s="22">
        <f t="shared" si="13"/>
        <v>49079.29684</v>
      </c>
      <c r="G33" s="22">
        <f t="shared" si="13"/>
        <v>49079.29684</v>
      </c>
      <c r="H33" s="22">
        <f t="shared" si="13"/>
        <v>49079.29684</v>
      </c>
      <c r="I33" s="22">
        <f t="shared" si="13"/>
        <v>49079.29684</v>
      </c>
      <c r="J33" s="22">
        <f t="shared" si="13"/>
        <v>49079.29684</v>
      </c>
      <c r="K33" s="22">
        <f t="shared" si="13"/>
        <v>49079.29684</v>
      </c>
      <c r="L33" s="22">
        <f t="shared" si="13"/>
        <v>49079.29684</v>
      </c>
      <c r="M33" s="22">
        <f t="shared" si="13"/>
        <v>49079.29684</v>
      </c>
      <c r="N33" s="22">
        <f t="shared" si="13"/>
        <v>49079.29684</v>
      </c>
      <c r="O33" s="22">
        <f t="shared" si="13"/>
        <v>49079.29684</v>
      </c>
      <c r="P33" s="22">
        <f t="shared" si="13"/>
        <v>49079.29684</v>
      </c>
      <c r="Q33" s="22">
        <f t="shared" si="13"/>
        <v>49079.29684</v>
      </c>
      <c r="R33" s="22">
        <f t="shared" si="13"/>
        <v>49079.29684</v>
      </c>
      <c r="S33" s="22">
        <f t="shared" si="13"/>
        <v>49079.29684</v>
      </c>
      <c r="T33" s="22">
        <f t="shared" si="13"/>
        <v>49079.29684</v>
      </c>
      <c r="U33" s="22">
        <f t="shared" si="13"/>
        <v>49079.29684</v>
      </c>
    </row>
    <row r="34" ht="15.75" customHeight="1">
      <c r="B34" s="13" t="s">
        <v>69</v>
      </c>
      <c r="D34" s="24">
        <f t="shared" ref="D34:U34" si="14">1.5*(D37/(D4-D37))</f>
        <v>0.0256080786</v>
      </c>
      <c r="E34" s="24">
        <f t="shared" si="14"/>
        <v>0.0256080786</v>
      </c>
      <c r="F34" s="24">
        <f t="shared" si="14"/>
        <v>0.0256080786</v>
      </c>
      <c r="G34" s="24">
        <f t="shared" si="14"/>
        <v>0.0256080786</v>
      </c>
      <c r="H34" s="24">
        <f t="shared" si="14"/>
        <v>0.0256080786</v>
      </c>
      <c r="I34" s="24">
        <f t="shared" si="14"/>
        <v>0.0256080786</v>
      </c>
      <c r="J34" s="24">
        <f t="shared" si="14"/>
        <v>0.0256080786</v>
      </c>
      <c r="K34" s="24">
        <f t="shared" si="14"/>
        <v>0.0256080786</v>
      </c>
      <c r="L34" s="24">
        <f t="shared" si="14"/>
        <v>0.0256080786</v>
      </c>
      <c r="M34" s="24">
        <f t="shared" si="14"/>
        <v>0.0256080786</v>
      </c>
      <c r="N34" s="24">
        <f t="shared" si="14"/>
        <v>0.0256080786</v>
      </c>
      <c r="O34" s="24">
        <f t="shared" si="14"/>
        <v>0.0256080786</v>
      </c>
      <c r="P34" s="24">
        <f t="shared" si="14"/>
        <v>0.0256080786</v>
      </c>
      <c r="Q34" s="24">
        <f t="shared" si="14"/>
        <v>0.0256080786</v>
      </c>
      <c r="R34" s="24">
        <f t="shared" si="14"/>
        <v>0.0256080786</v>
      </c>
      <c r="S34" s="24">
        <f t="shared" si="14"/>
        <v>0.0256080786</v>
      </c>
      <c r="T34" s="24">
        <f t="shared" si="14"/>
        <v>0.0256080786</v>
      </c>
      <c r="U34" s="24">
        <f t="shared" si="14"/>
        <v>0.0256080786</v>
      </c>
    </row>
    <row r="35" ht="15.75" customHeight="1">
      <c r="B35" s="13" t="s">
        <v>71</v>
      </c>
      <c r="C35" t="s">
        <v>6</v>
      </c>
      <c r="D35" s="19">
        <f t="shared" ref="D35:U35" si="15">D6^(-3.4159)*EXP(37.043-6275.7/D6)</f>
        <v>0.304799678</v>
      </c>
      <c r="E35" s="19">
        <f t="shared" si="15"/>
        <v>0.304799678</v>
      </c>
      <c r="F35" s="19">
        <f t="shared" si="15"/>
        <v>0.304799678</v>
      </c>
      <c r="G35" s="19">
        <f t="shared" si="15"/>
        <v>0.304799678</v>
      </c>
      <c r="H35" s="19">
        <f t="shared" si="15"/>
        <v>0.304799678</v>
      </c>
      <c r="I35" s="19">
        <f t="shared" si="15"/>
        <v>0.304799678</v>
      </c>
      <c r="J35" s="19">
        <f t="shared" si="15"/>
        <v>0.304799678</v>
      </c>
      <c r="K35" s="19">
        <f t="shared" si="15"/>
        <v>0.304799678</v>
      </c>
      <c r="L35" s="19">
        <f t="shared" si="15"/>
        <v>0.304799678</v>
      </c>
      <c r="M35" s="19">
        <f t="shared" si="15"/>
        <v>0.304799678</v>
      </c>
      <c r="N35" s="19">
        <f t="shared" si="15"/>
        <v>0.304799678</v>
      </c>
      <c r="O35" s="19">
        <f t="shared" si="15"/>
        <v>0.304799678</v>
      </c>
      <c r="P35" s="19">
        <f t="shared" si="15"/>
        <v>0.304799678</v>
      </c>
      <c r="Q35" s="19">
        <f t="shared" si="15"/>
        <v>0.304799678</v>
      </c>
      <c r="R35" s="19">
        <f t="shared" si="15"/>
        <v>0.304799678</v>
      </c>
      <c r="S35" s="19">
        <f t="shared" si="15"/>
        <v>0.304799678</v>
      </c>
      <c r="T35" s="19">
        <f t="shared" si="15"/>
        <v>0.304799678</v>
      </c>
      <c r="U35" s="19">
        <f t="shared" si="15"/>
        <v>0.304799678</v>
      </c>
    </row>
    <row r="36" ht="15.75" customHeight="1">
      <c r="B36" s="13" t="s">
        <v>21</v>
      </c>
      <c r="C36" t="s">
        <v>73</v>
      </c>
      <c r="D36" s="23">
        <f t="shared" ref="D36:U36" si="16">D7*(183.1221-0.56845*D6+984.5679*EXP(D7/115.96277))/(100*(56.105))</f>
        <v>8.231494119</v>
      </c>
      <c r="E36" s="23">
        <f t="shared" si="16"/>
        <v>8.231494119</v>
      </c>
      <c r="F36" s="23">
        <f t="shared" si="16"/>
        <v>8.231494119</v>
      </c>
      <c r="G36" s="23">
        <f t="shared" si="16"/>
        <v>8.231494119</v>
      </c>
      <c r="H36" s="23">
        <f t="shared" si="16"/>
        <v>8.231494119</v>
      </c>
      <c r="I36" s="23">
        <f t="shared" si="16"/>
        <v>8.231494119</v>
      </c>
      <c r="J36" s="23">
        <f t="shared" si="16"/>
        <v>8.231494119</v>
      </c>
      <c r="K36" s="23">
        <f t="shared" si="16"/>
        <v>8.231494119</v>
      </c>
      <c r="L36" s="23">
        <f t="shared" si="16"/>
        <v>8.231494119</v>
      </c>
      <c r="M36" s="23">
        <f t="shared" si="16"/>
        <v>8.231494119</v>
      </c>
      <c r="N36" s="23">
        <f t="shared" si="16"/>
        <v>8.231494119</v>
      </c>
      <c r="O36" s="23">
        <f t="shared" si="16"/>
        <v>8.231494119</v>
      </c>
      <c r="P36" s="23">
        <f t="shared" si="16"/>
        <v>8.231494119</v>
      </c>
      <c r="Q36" s="23">
        <f t="shared" si="16"/>
        <v>8.231494119</v>
      </c>
      <c r="R36" s="23">
        <f t="shared" si="16"/>
        <v>8.231494119</v>
      </c>
      <c r="S36" s="23">
        <f t="shared" si="16"/>
        <v>8.231494119</v>
      </c>
      <c r="T36" s="23">
        <f t="shared" si="16"/>
        <v>8.231494119</v>
      </c>
      <c r="U36" s="23">
        <f t="shared" si="16"/>
        <v>8.231494119</v>
      </c>
    </row>
    <row r="37" ht="15.75" customHeight="1">
      <c r="B37" s="13" t="s">
        <v>75</v>
      </c>
      <c r="C37" t="s">
        <v>6</v>
      </c>
      <c r="D37" s="19">
        <f t="shared" ref="D37:U37" si="17">D6^(-3.498)*EXP(37.93-6426.32/D6)*EXP(0.016214-0.13802*D36+0.1933*(D36)^(0.5))</f>
        <v>0.1678548964</v>
      </c>
      <c r="E37" s="19">
        <f t="shared" si="17"/>
        <v>0.1678548964</v>
      </c>
      <c r="F37" s="19">
        <f t="shared" si="17"/>
        <v>0.1678548964</v>
      </c>
      <c r="G37" s="19">
        <f t="shared" si="17"/>
        <v>0.1678548964</v>
      </c>
      <c r="H37" s="19">
        <f t="shared" si="17"/>
        <v>0.1678548964</v>
      </c>
      <c r="I37" s="19">
        <f t="shared" si="17"/>
        <v>0.1678548964</v>
      </c>
      <c r="J37" s="19">
        <f t="shared" si="17"/>
        <v>0.1678548964</v>
      </c>
      <c r="K37" s="19">
        <f t="shared" si="17"/>
        <v>0.1678548964</v>
      </c>
      <c r="L37" s="19">
        <f t="shared" si="17"/>
        <v>0.1678548964</v>
      </c>
      <c r="M37" s="19">
        <f t="shared" si="17"/>
        <v>0.1678548964</v>
      </c>
      <c r="N37" s="19">
        <f t="shared" si="17"/>
        <v>0.1678548964</v>
      </c>
      <c r="O37" s="19">
        <f t="shared" si="17"/>
        <v>0.1678548964</v>
      </c>
      <c r="P37" s="19">
        <f t="shared" si="17"/>
        <v>0.1678548964</v>
      </c>
      <c r="Q37" s="19">
        <f t="shared" si="17"/>
        <v>0.1678548964</v>
      </c>
      <c r="R37" s="19">
        <f t="shared" si="17"/>
        <v>0.1678548964</v>
      </c>
      <c r="S37" s="19">
        <f t="shared" si="17"/>
        <v>0.1678548964</v>
      </c>
      <c r="T37" s="19">
        <f t="shared" si="17"/>
        <v>0.1678548964</v>
      </c>
      <c r="U37" s="19">
        <f t="shared" si="17"/>
        <v>0.1678548964</v>
      </c>
    </row>
    <row r="38" ht="15.75" customHeight="1">
      <c r="B38" s="13" t="s">
        <v>77</v>
      </c>
      <c r="C38" t="s">
        <v>59</v>
      </c>
      <c r="D38" s="24">
        <f t="shared" ref="D38:U38" si="18">D32+D34/(D9*D22)*D33</f>
        <v>1.497851769</v>
      </c>
      <c r="E38" s="24">
        <f t="shared" si="18"/>
        <v>1.497851769</v>
      </c>
      <c r="F38" s="24">
        <f t="shared" si="18"/>
        <v>1.497851769</v>
      </c>
      <c r="G38" s="24">
        <f t="shared" si="18"/>
        <v>1.497851769</v>
      </c>
      <c r="H38" s="24">
        <f t="shared" si="18"/>
        <v>1.497851769</v>
      </c>
      <c r="I38" s="24">
        <f t="shared" si="18"/>
        <v>1.497851769</v>
      </c>
      <c r="J38" s="24">
        <f t="shared" si="18"/>
        <v>1.497851769</v>
      </c>
      <c r="K38" s="24">
        <f t="shared" si="18"/>
        <v>1.497851769</v>
      </c>
      <c r="L38" s="24">
        <f t="shared" si="18"/>
        <v>1.497851769</v>
      </c>
      <c r="M38" s="24">
        <f t="shared" si="18"/>
        <v>1.497851769</v>
      </c>
      <c r="N38" s="24">
        <f t="shared" si="18"/>
        <v>1.497851769</v>
      </c>
      <c r="O38" s="24">
        <f t="shared" si="18"/>
        <v>1.497851769</v>
      </c>
      <c r="P38" s="24">
        <f t="shared" si="18"/>
        <v>1.497851769</v>
      </c>
      <c r="Q38" s="24">
        <f t="shared" si="18"/>
        <v>1.497851769</v>
      </c>
      <c r="R38" s="24">
        <f t="shared" si="18"/>
        <v>1.497851769</v>
      </c>
      <c r="S38" s="24">
        <f t="shared" si="18"/>
        <v>1.497851769</v>
      </c>
      <c r="T38" s="24">
        <f t="shared" si="18"/>
        <v>1.497851769</v>
      </c>
      <c r="U38" s="24">
        <f t="shared" si="18"/>
        <v>1.497851769</v>
      </c>
    </row>
    <row r="39" ht="15.75" customHeight="1">
      <c r="B39" s="27" t="s">
        <v>79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ht="15.75" customHeight="1">
      <c r="B40" s="13" t="s">
        <v>80</v>
      </c>
      <c r="D40" s="25">
        <f t="shared" ref="D40:U40" si="19">0.1175+0.00095*(D6)*$X$3</f>
        <v>0.361994375</v>
      </c>
      <c r="E40" s="25">
        <f t="shared" si="19"/>
        <v>0.361994375</v>
      </c>
      <c r="F40" s="25">
        <f t="shared" si="19"/>
        <v>0.361994375</v>
      </c>
      <c r="G40" s="25">
        <f t="shared" si="19"/>
        <v>0.361994375</v>
      </c>
      <c r="H40" s="25">
        <f t="shared" si="19"/>
        <v>0.361994375</v>
      </c>
      <c r="I40" s="25">
        <f t="shared" si="19"/>
        <v>0.361994375</v>
      </c>
      <c r="J40" s="25">
        <f t="shared" si="19"/>
        <v>0.361994375</v>
      </c>
      <c r="K40" s="25">
        <f t="shared" si="19"/>
        <v>0.361994375</v>
      </c>
      <c r="L40" s="25">
        <f t="shared" si="19"/>
        <v>0.361994375</v>
      </c>
      <c r="M40" s="25">
        <f t="shared" si="19"/>
        <v>0.361994375</v>
      </c>
      <c r="N40" s="25">
        <f t="shared" si="19"/>
        <v>0.361994375</v>
      </c>
      <c r="O40" s="25">
        <f t="shared" si="19"/>
        <v>0.361994375</v>
      </c>
      <c r="P40" s="25">
        <f t="shared" si="19"/>
        <v>0.361994375</v>
      </c>
      <c r="Q40" s="25">
        <f t="shared" si="19"/>
        <v>0.361994375</v>
      </c>
      <c r="R40" s="25">
        <f t="shared" si="19"/>
        <v>0.361994375</v>
      </c>
      <c r="S40" s="25">
        <f t="shared" si="19"/>
        <v>0.361994375</v>
      </c>
      <c r="T40" s="25">
        <f t="shared" si="19"/>
        <v>0.361994375</v>
      </c>
      <c r="U40" s="25">
        <f t="shared" si="19"/>
        <v>0.361994375</v>
      </c>
    </row>
    <row r="41" ht="15.75" customHeight="1">
      <c r="B41" s="13" t="s">
        <v>82</v>
      </c>
      <c r="D41" s="25">
        <f t="shared" ref="D41:U41" si="20">0.0675+0.00095*(D6)*$X$3</f>
        <v>0.311994375</v>
      </c>
      <c r="E41" s="25">
        <f t="shared" si="20"/>
        <v>0.311994375</v>
      </c>
      <c r="F41" s="25">
        <f t="shared" si="20"/>
        <v>0.311994375</v>
      </c>
      <c r="G41" s="25">
        <f t="shared" si="20"/>
        <v>0.311994375</v>
      </c>
      <c r="H41" s="25">
        <f t="shared" si="20"/>
        <v>0.311994375</v>
      </c>
      <c r="I41" s="25">
        <f t="shared" si="20"/>
        <v>0.311994375</v>
      </c>
      <c r="J41" s="25">
        <f t="shared" si="20"/>
        <v>0.311994375</v>
      </c>
      <c r="K41" s="25">
        <f t="shared" si="20"/>
        <v>0.311994375</v>
      </c>
      <c r="L41" s="25">
        <f t="shared" si="20"/>
        <v>0.311994375</v>
      </c>
      <c r="M41" s="25">
        <f t="shared" si="20"/>
        <v>0.311994375</v>
      </c>
      <c r="N41" s="25">
        <f t="shared" si="20"/>
        <v>0.311994375</v>
      </c>
      <c r="O41" s="25">
        <f t="shared" si="20"/>
        <v>0.311994375</v>
      </c>
      <c r="P41" s="25">
        <f t="shared" si="20"/>
        <v>0.311994375</v>
      </c>
      <c r="Q41" s="25">
        <f t="shared" si="20"/>
        <v>0.311994375</v>
      </c>
      <c r="R41" s="25">
        <f t="shared" si="20"/>
        <v>0.311994375</v>
      </c>
      <c r="S41" s="25">
        <f t="shared" si="20"/>
        <v>0.311994375</v>
      </c>
      <c r="T41" s="25">
        <f t="shared" si="20"/>
        <v>0.311994375</v>
      </c>
      <c r="U41" s="25">
        <f t="shared" si="20"/>
        <v>0.311994375</v>
      </c>
    </row>
    <row r="42" ht="15.75" customHeight="1">
      <c r="B42" s="13" t="s">
        <v>84</v>
      </c>
      <c r="D42" s="24">
        <f t="shared" ref="D42:U42" si="21">IF(D6&lt;305.15,0.023*(D12)^0.3,IF(D6&gt;341.15,0.023*(D12)^0.3,(-97.25+182*(D6/298)-84*(D6/298)^2)*(D12/(D8*1000))^0.3))*$X$4</f>
        <v>0.04130192992</v>
      </c>
      <c r="E42" s="24">
        <f t="shared" si="21"/>
        <v>0.1343511531</v>
      </c>
      <c r="F42" s="24">
        <f t="shared" si="21"/>
        <v>0.1649175057</v>
      </c>
      <c r="G42" s="24">
        <f t="shared" si="21"/>
        <v>0.1860644612</v>
      </c>
      <c r="H42" s="24">
        <f t="shared" si="21"/>
        <v>0.2027352013</v>
      </c>
      <c r="I42" s="24">
        <f t="shared" si="21"/>
        <v>0.2167067614</v>
      </c>
      <c r="J42" s="24">
        <f t="shared" si="21"/>
        <v>0.2288444025</v>
      </c>
      <c r="K42" s="24">
        <f t="shared" si="21"/>
        <v>0.2396417489</v>
      </c>
      <c r="L42" s="24">
        <f t="shared" si="21"/>
        <v>0.2494098822</v>
      </c>
      <c r="M42" s="24">
        <f t="shared" si="21"/>
        <v>0.2583588293</v>
      </c>
      <c r="N42" s="24">
        <f t="shared" si="21"/>
        <v>0.2666377668</v>
      </c>
      <c r="O42" s="24">
        <f t="shared" si="21"/>
        <v>0.2816000237</v>
      </c>
      <c r="P42" s="24">
        <f t="shared" si="21"/>
        <v>0.2949074547</v>
      </c>
      <c r="Q42" s="24">
        <f t="shared" si="21"/>
        <v>0.3069446727</v>
      </c>
      <c r="R42" s="24">
        <f t="shared" si="21"/>
        <v>0.3179711977</v>
      </c>
      <c r="S42" s="24">
        <f t="shared" si="21"/>
        <v>0.3281712783</v>
      </c>
      <c r="T42" s="24">
        <f t="shared" si="21"/>
        <v>0.3376809346</v>
      </c>
      <c r="U42" s="24">
        <f t="shared" si="21"/>
        <v>0.3466037424</v>
      </c>
    </row>
    <row r="43" ht="15.75" customHeight="1">
      <c r="B43" s="13" t="s">
        <v>86</v>
      </c>
      <c r="C43" t="s">
        <v>59</v>
      </c>
      <c r="D43" s="25">
        <f t="shared" ref="D43:U43" si="22">(D21*D6)/(D41*D9*D22)*LN(D12/(D15))-(D21*D6)/(D41*D9*D22)*LN(1-D42)</f>
        <v>-0.06503762555</v>
      </c>
      <c r="E43" s="25">
        <f t="shared" si="22"/>
        <v>0.1261270455</v>
      </c>
      <c r="F43" s="25">
        <f t="shared" si="22"/>
        <v>0.160211485</v>
      </c>
      <c r="G43" s="25">
        <f t="shared" si="22"/>
        <v>0.1804850284</v>
      </c>
      <c r="H43" s="25">
        <f t="shared" si="22"/>
        <v>0.1950202379</v>
      </c>
      <c r="I43" s="25">
        <f t="shared" si="22"/>
        <v>0.2063855024</v>
      </c>
      <c r="J43" s="25">
        <f t="shared" si="22"/>
        <v>0.2157341886</v>
      </c>
      <c r="K43" s="25">
        <f t="shared" si="22"/>
        <v>0.2236849918</v>
      </c>
      <c r="L43" s="25">
        <f t="shared" si="22"/>
        <v>0.2306088111</v>
      </c>
      <c r="M43" s="25">
        <f t="shared" si="22"/>
        <v>0.2367457275</v>
      </c>
      <c r="N43" s="25">
        <f t="shared" si="22"/>
        <v>0.2422601585</v>
      </c>
      <c r="O43" s="25">
        <f t="shared" si="22"/>
        <v>0.251861326</v>
      </c>
      <c r="P43" s="25">
        <f t="shared" si="22"/>
        <v>0.2600412068</v>
      </c>
      <c r="Q43" s="25">
        <f t="shared" si="22"/>
        <v>0.2671767189</v>
      </c>
      <c r="R43" s="25">
        <f t="shared" si="22"/>
        <v>0.2735118243</v>
      </c>
      <c r="S43" s="25">
        <f t="shared" si="22"/>
        <v>0.2792136065</v>
      </c>
      <c r="T43" s="25">
        <f t="shared" si="22"/>
        <v>0.2844015654</v>
      </c>
      <c r="U43" s="25">
        <f t="shared" si="22"/>
        <v>0.2891641558</v>
      </c>
    </row>
    <row r="44" ht="15.75" customHeight="1">
      <c r="B44" s="13" t="s">
        <v>88</v>
      </c>
      <c r="C44" t="s">
        <v>59</v>
      </c>
      <c r="D44" s="25">
        <f t="shared" ref="D44:U44" si="23">(D21*D6)/(D40*D9*D22)*LN(D12/(D16))-(D21*D6)/(D40*D9*D22)*LN(1-D42)</f>
        <v>0.05093709005</v>
      </c>
      <c r="E44" s="25">
        <f t="shared" si="23"/>
        <v>0.2156973908</v>
      </c>
      <c r="F44" s="25">
        <f t="shared" si="23"/>
        <v>0.2450739615</v>
      </c>
      <c r="G44" s="25">
        <f t="shared" si="23"/>
        <v>0.2625472482</v>
      </c>
      <c r="H44" s="25">
        <f t="shared" si="23"/>
        <v>0.275074801</v>
      </c>
      <c r="I44" s="25">
        <f t="shared" si="23"/>
        <v>0.2848702532</v>
      </c>
      <c r="J44" s="25">
        <f t="shared" si="23"/>
        <v>0.2929276643</v>
      </c>
      <c r="K44" s="25">
        <f t="shared" si="23"/>
        <v>0.2997802732</v>
      </c>
      <c r="L44" s="25">
        <f t="shared" si="23"/>
        <v>0.305747749</v>
      </c>
      <c r="M44" s="25">
        <f t="shared" si="23"/>
        <v>0.3110370118</v>
      </c>
      <c r="N44" s="25">
        <f t="shared" si="23"/>
        <v>0.3157897693</v>
      </c>
      <c r="O44" s="25">
        <f t="shared" si="23"/>
        <v>0.324064788</v>
      </c>
      <c r="P44" s="25">
        <f t="shared" si="23"/>
        <v>0.3311148335</v>
      </c>
      <c r="Q44" s="25">
        <f t="shared" si="23"/>
        <v>0.3372647623</v>
      </c>
      <c r="R44" s="25">
        <f t="shared" si="23"/>
        <v>0.3427248395</v>
      </c>
      <c r="S44" s="25">
        <f t="shared" si="23"/>
        <v>0.3476390705</v>
      </c>
      <c r="T44" s="25">
        <f t="shared" si="23"/>
        <v>0.3521104494</v>
      </c>
      <c r="U44" s="25">
        <f t="shared" si="23"/>
        <v>0.3562152132</v>
      </c>
    </row>
    <row r="45" ht="15.75" customHeight="1">
      <c r="B45" s="13" t="s">
        <v>90</v>
      </c>
      <c r="C45" t="s">
        <v>91</v>
      </c>
      <c r="D45" s="28">
        <f t="shared" ref="D45:U45" si="24">(D7*D47)/(56.105*100)</f>
        <v>8.241485699</v>
      </c>
      <c r="E45" s="28">
        <f t="shared" si="24"/>
        <v>8.241485699</v>
      </c>
      <c r="F45" s="28">
        <f t="shared" si="24"/>
        <v>8.241485699</v>
      </c>
      <c r="G45" s="28">
        <f t="shared" si="24"/>
        <v>8.241485699</v>
      </c>
      <c r="H45" s="28">
        <f t="shared" si="24"/>
        <v>8.241485699</v>
      </c>
      <c r="I45" s="28">
        <f t="shared" si="24"/>
        <v>8.241485699</v>
      </c>
      <c r="J45" s="28">
        <f t="shared" si="24"/>
        <v>8.241485699</v>
      </c>
      <c r="K45" s="28">
        <f t="shared" si="24"/>
        <v>8.241485699</v>
      </c>
      <c r="L45" s="28">
        <f t="shared" si="24"/>
        <v>8.241485699</v>
      </c>
      <c r="M45" s="28">
        <f t="shared" si="24"/>
        <v>8.241485699</v>
      </c>
      <c r="N45" s="28">
        <f t="shared" si="24"/>
        <v>8.241485699</v>
      </c>
      <c r="O45" s="28">
        <f t="shared" si="24"/>
        <v>8.241485699</v>
      </c>
      <c r="P45" s="28">
        <f t="shared" si="24"/>
        <v>8.241485699</v>
      </c>
      <c r="Q45" s="28">
        <f t="shared" si="24"/>
        <v>8.241485699</v>
      </c>
      <c r="R45" s="28">
        <f t="shared" si="24"/>
        <v>8.241485699</v>
      </c>
      <c r="S45" s="28">
        <f t="shared" si="24"/>
        <v>8.241485699</v>
      </c>
      <c r="T45" s="28">
        <f t="shared" si="24"/>
        <v>8.241485699</v>
      </c>
      <c r="U45" s="28">
        <f t="shared" si="24"/>
        <v>8.241485699</v>
      </c>
    </row>
    <row r="46" ht="15.75" customHeight="1">
      <c r="B46" s="13" t="s">
        <v>93</v>
      </c>
      <c r="C46" t="s">
        <v>94</v>
      </c>
      <c r="D46" s="29">
        <f t="shared" ref="D46:U46" si="25">(-2.041*D45-0.0028*D45^2+0.005332*D45*D6+207.2*D45/D6+0.001043*D45^3-0.0000003*D45^2*D6^2)*100</f>
        <v>122.9009191</v>
      </c>
      <c r="E46" s="29">
        <f t="shared" si="25"/>
        <v>122.9009191</v>
      </c>
      <c r="F46" s="29">
        <f t="shared" si="25"/>
        <v>122.9009191</v>
      </c>
      <c r="G46" s="29">
        <f t="shared" si="25"/>
        <v>122.9009191</v>
      </c>
      <c r="H46" s="29">
        <f t="shared" si="25"/>
        <v>122.9009191</v>
      </c>
      <c r="I46" s="29">
        <f t="shared" si="25"/>
        <v>122.9009191</v>
      </c>
      <c r="J46" s="29">
        <f t="shared" si="25"/>
        <v>122.9009191</v>
      </c>
      <c r="K46" s="29">
        <f t="shared" si="25"/>
        <v>122.9009191</v>
      </c>
      <c r="L46" s="29">
        <f t="shared" si="25"/>
        <v>122.9009191</v>
      </c>
      <c r="M46" s="29">
        <f t="shared" si="25"/>
        <v>122.9009191</v>
      </c>
      <c r="N46" s="29">
        <f t="shared" si="25"/>
        <v>122.9009191</v>
      </c>
      <c r="O46" s="29">
        <f t="shared" si="25"/>
        <v>122.9009191</v>
      </c>
      <c r="P46" s="29">
        <f t="shared" si="25"/>
        <v>122.9009191</v>
      </c>
      <c r="Q46" s="29">
        <f t="shared" si="25"/>
        <v>122.9009191</v>
      </c>
      <c r="R46" s="29">
        <f t="shared" si="25"/>
        <v>122.9009191</v>
      </c>
      <c r="S46" s="29">
        <f t="shared" si="25"/>
        <v>122.9009191</v>
      </c>
      <c r="T46" s="29">
        <f t="shared" si="25"/>
        <v>122.9009191</v>
      </c>
      <c r="U46" s="29">
        <f t="shared" si="25"/>
        <v>122.9009191</v>
      </c>
    </row>
    <row r="47" ht="15.75" customHeight="1">
      <c r="B47" s="13" t="s">
        <v>96</v>
      </c>
      <c r="C47" t="s">
        <v>47</v>
      </c>
      <c r="D47" s="22">
        <f t="shared" ref="D47:U47" si="26">(-0.0025137*D5^2-0.1819801*D5+1002.78)*EXP(0.0086*D7)</f>
        <v>1321.110158</v>
      </c>
      <c r="E47" s="22">
        <f t="shared" si="26"/>
        <v>1321.110158</v>
      </c>
      <c r="F47" s="22">
        <f t="shared" si="26"/>
        <v>1321.110158</v>
      </c>
      <c r="G47" s="22">
        <f t="shared" si="26"/>
        <v>1321.110158</v>
      </c>
      <c r="H47" s="22">
        <f t="shared" si="26"/>
        <v>1321.110158</v>
      </c>
      <c r="I47" s="22">
        <f t="shared" si="26"/>
        <v>1321.110158</v>
      </c>
      <c r="J47" s="22">
        <f t="shared" si="26"/>
        <v>1321.110158</v>
      </c>
      <c r="K47" s="22">
        <f t="shared" si="26"/>
        <v>1321.110158</v>
      </c>
      <c r="L47" s="22">
        <f t="shared" si="26"/>
        <v>1321.110158</v>
      </c>
      <c r="M47" s="22">
        <f t="shared" si="26"/>
        <v>1321.110158</v>
      </c>
      <c r="N47" s="22">
        <f t="shared" si="26"/>
        <v>1321.110158</v>
      </c>
      <c r="O47" s="22">
        <f t="shared" si="26"/>
        <v>1321.110158</v>
      </c>
      <c r="P47" s="22">
        <f t="shared" si="26"/>
        <v>1321.110158</v>
      </c>
      <c r="Q47" s="22">
        <f t="shared" si="26"/>
        <v>1321.110158</v>
      </c>
      <c r="R47" s="22">
        <f t="shared" si="26"/>
        <v>1321.110158</v>
      </c>
      <c r="S47" s="22">
        <f t="shared" si="26"/>
        <v>1321.110158</v>
      </c>
      <c r="T47" s="22">
        <f t="shared" si="26"/>
        <v>1321.110158</v>
      </c>
      <c r="U47" s="22">
        <f t="shared" si="26"/>
        <v>1321.110158</v>
      </c>
    </row>
    <row r="48" ht="15.75" customHeight="1">
      <c r="B48" s="13" t="s">
        <v>98</v>
      </c>
      <c r="D48" s="30">
        <f t="shared" ref="D48:U48" si="27">(2/3)*D42</f>
        <v>0.02753461995</v>
      </c>
      <c r="E48" s="30">
        <f t="shared" si="27"/>
        <v>0.08956743541</v>
      </c>
      <c r="F48" s="30">
        <f t="shared" si="27"/>
        <v>0.1099450038</v>
      </c>
      <c r="G48" s="30">
        <f t="shared" si="27"/>
        <v>0.1240429741</v>
      </c>
      <c r="H48" s="30">
        <f t="shared" si="27"/>
        <v>0.1351568009</v>
      </c>
      <c r="I48" s="30">
        <f t="shared" si="27"/>
        <v>0.1444711743</v>
      </c>
      <c r="J48" s="30">
        <f t="shared" si="27"/>
        <v>0.152562935</v>
      </c>
      <c r="K48" s="30">
        <f t="shared" si="27"/>
        <v>0.1597611659</v>
      </c>
      <c r="L48" s="30">
        <f t="shared" si="27"/>
        <v>0.1662732548</v>
      </c>
      <c r="M48" s="30">
        <f t="shared" si="27"/>
        <v>0.1722392196</v>
      </c>
      <c r="N48" s="30">
        <f t="shared" si="27"/>
        <v>0.1777585112</v>
      </c>
      <c r="O48" s="30">
        <f t="shared" si="27"/>
        <v>0.1877333491</v>
      </c>
      <c r="P48" s="30">
        <f t="shared" si="27"/>
        <v>0.1966049698</v>
      </c>
      <c r="Q48" s="30">
        <f t="shared" si="27"/>
        <v>0.2046297818</v>
      </c>
      <c r="R48" s="30">
        <f t="shared" si="27"/>
        <v>0.2119807985</v>
      </c>
      <c r="S48" s="30">
        <f t="shared" si="27"/>
        <v>0.2187808522</v>
      </c>
      <c r="T48" s="30">
        <f t="shared" si="27"/>
        <v>0.2251206231</v>
      </c>
      <c r="U48" s="30">
        <f t="shared" si="27"/>
        <v>0.2310691616</v>
      </c>
    </row>
    <row r="49" ht="15.75" customHeight="1">
      <c r="B49" s="13" t="s">
        <v>100</v>
      </c>
      <c r="C49" t="s">
        <v>94</v>
      </c>
      <c r="D49" s="12">
        <f t="shared" ref="D49:U49" si="28">(1/IF(D5&lt;400,6.99864*EXP(0.0038437*D5),0.029667*D5+20.377778))*(1000000)*(100)</f>
        <v>10917809.35</v>
      </c>
      <c r="E49" s="12">
        <f t="shared" si="28"/>
        <v>10917809.35</v>
      </c>
      <c r="F49" s="12">
        <f t="shared" si="28"/>
        <v>10917809.35</v>
      </c>
      <c r="G49" s="12">
        <f t="shared" si="28"/>
        <v>10917809.35</v>
      </c>
      <c r="H49" s="12">
        <f t="shared" si="28"/>
        <v>10917809.35</v>
      </c>
      <c r="I49" s="12">
        <f t="shared" si="28"/>
        <v>10917809.35</v>
      </c>
      <c r="J49" s="12">
        <f t="shared" si="28"/>
        <v>10917809.35</v>
      </c>
      <c r="K49" s="12">
        <f t="shared" si="28"/>
        <v>10917809.35</v>
      </c>
      <c r="L49" s="12">
        <f t="shared" si="28"/>
        <v>10917809.35</v>
      </c>
      <c r="M49" s="12">
        <f t="shared" si="28"/>
        <v>10917809.35</v>
      </c>
      <c r="N49" s="12">
        <f t="shared" si="28"/>
        <v>10917809.35</v>
      </c>
      <c r="O49" s="12">
        <f t="shared" si="28"/>
        <v>10917809.35</v>
      </c>
      <c r="P49" s="12">
        <f t="shared" si="28"/>
        <v>10917809.35</v>
      </c>
      <c r="Q49" s="12">
        <f t="shared" si="28"/>
        <v>10917809.35</v>
      </c>
      <c r="R49" s="12">
        <f t="shared" si="28"/>
        <v>10917809.35</v>
      </c>
      <c r="S49" s="12">
        <f t="shared" si="28"/>
        <v>10917809.35</v>
      </c>
      <c r="T49" s="12">
        <f t="shared" si="28"/>
        <v>10917809.35</v>
      </c>
      <c r="U49" s="12">
        <f t="shared" si="28"/>
        <v>10917809.35</v>
      </c>
    </row>
    <row r="50" ht="15.75" customHeight="1">
      <c r="B50" s="13" t="s">
        <v>102</v>
      </c>
      <c r="C50" t="s">
        <v>103</v>
      </c>
      <c r="D50" s="31">
        <f t="shared" ref="D50:U50" si="29">2*D11/(D49*D10)</f>
        <v>0.000000002498003619</v>
      </c>
      <c r="E50" s="31">
        <f t="shared" si="29"/>
        <v>0.000000002498003619</v>
      </c>
      <c r="F50" s="31">
        <f t="shared" si="29"/>
        <v>0.000000002498003619</v>
      </c>
      <c r="G50" s="31">
        <f t="shared" si="29"/>
        <v>0.000000002498003619</v>
      </c>
      <c r="H50" s="31">
        <f t="shared" si="29"/>
        <v>0.000000002498003619</v>
      </c>
      <c r="I50" s="31">
        <f t="shared" si="29"/>
        <v>0.000000002498003619</v>
      </c>
      <c r="J50" s="31">
        <f t="shared" si="29"/>
        <v>0.000000002498003619</v>
      </c>
      <c r="K50" s="31">
        <f t="shared" si="29"/>
        <v>0.000000002498003619</v>
      </c>
      <c r="L50" s="31">
        <f t="shared" si="29"/>
        <v>0.000000002498003619</v>
      </c>
      <c r="M50" s="31">
        <f t="shared" si="29"/>
        <v>0.000000002498003619</v>
      </c>
      <c r="N50" s="31">
        <f t="shared" si="29"/>
        <v>0.000000002498003619</v>
      </c>
      <c r="O50" s="31">
        <f t="shared" si="29"/>
        <v>0.000000002498003619</v>
      </c>
      <c r="P50" s="31">
        <f t="shared" si="29"/>
        <v>0.000000002498003619</v>
      </c>
      <c r="Q50" s="31">
        <f t="shared" si="29"/>
        <v>0.000000002498003619</v>
      </c>
      <c r="R50" s="31">
        <f t="shared" si="29"/>
        <v>0.000000002498003619</v>
      </c>
      <c r="S50" s="31">
        <f t="shared" si="29"/>
        <v>0.000000002498003619</v>
      </c>
      <c r="T50" s="31">
        <f t="shared" si="29"/>
        <v>0.000000002498003619</v>
      </c>
      <c r="U50" s="31">
        <f t="shared" si="29"/>
        <v>0.000000002498003619</v>
      </c>
      <c r="W50" s="31"/>
    </row>
    <row r="51" ht="15.75" customHeight="1">
      <c r="B51" s="13" t="s">
        <v>105</v>
      </c>
      <c r="C51" t="s">
        <v>59</v>
      </c>
      <c r="D51" s="31">
        <f t="shared" ref="D51:U51" si="30">D13*D50</f>
        <v>0.000000002747803981</v>
      </c>
      <c r="E51" s="31">
        <f t="shared" si="30"/>
        <v>0.000000140138003</v>
      </c>
      <c r="F51" s="31">
        <f t="shared" si="30"/>
        <v>0.000000277528202</v>
      </c>
      <c r="G51" s="31">
        <f t="shared" si="30"/>
        <v>0.0000004149184011</v>
      </c>
      <c r="H51" s="31">
        <f t="shared" si="30"/>
        <v>0.0000005523086001</v>
      </c>
      <c r="I51" s="31">
        <f t="shared" si="30"/>
        <v>0.0000006896987991</v>
      </c>
      <c r="J51" s="31">
        <f t="shared" si="30"/>
        <v>0.0000008270889981</v>
      </c>
      <c r="K51" s="31">
        <f t="shared" si="30"/>
        <v>0.0000009644791972</v>
      </c>
      <c r="L51" s="31">
        <f t="shared" si="30"/>
        <v>0.000001101869396</v>
      </c>
      <c r="M51" s="31">
        <f t="shared" si="30"/>
        <v>0.000001239259595</v>
      </c>
      <c r="N51" s="31">
        <f t="shared" si="30"/>
        <v>0.000001376649794</v>
      </c>
      <c r="O51" s="31">
        <f t="shared" si="30"/>
        <v>0.000001651430192</v>
      </c>
      <c r="P51" s="31">
        <f t="shared" si="30"/>
        <v>0.00000192621059</v>
      </c>
      <c r="Q51" s="31">
        <f t="shared" si="30"/>
        <v>0.000002200990988</v>
      </c>
      <c r="R51" s="31">
        <f t="shared" si="30"/>
        <v>0.000002475771386</v>
      </c>
      <c r="S51" s="31">
        <f t="shared" si="30"/>
        <v>0.000002750551785</v>
      </c>
      <c r="T51" s="31">
        <f t="shared" si="30"/>
        <v>0.000003025332183</v>
      </c>
      <c r="U51" s="31">
        <f t="shared" si="30"/>
        <v>0.000003300112581</v>
      </c>
    </row>
    <row r="52" ht="15.75" customHeight="1">
      <c r="B52" s="13" t="s">
        <v>108</v>
      </c>
      <c r="C52" t="s">
        <v>59</v>
      </c>
      <c r="D52" s="28">
        <f t="shared" ref="D52:U52" si="31">D12*D14/D57</f>
        <v>0.00008483039037</v>
      </c>
      <c r="E52" s="28">
        <f t="shared" si="31"/>
        <v>0.004775965607</v>
      </c>
      <c r="F52" s="28">
        <f t="shared" si="31"/>
        <v>0.009784954256</v>
      </c>
      <c r="G52" s="28">
        <f t="shared" si="31"/>
        <v>0.01498357466</v>
      </c>
      <c r="H52" s="28">
        <f t="shared" si="31"/>
        <v>0.02033071653</v>
      </c>
      <c r="I52" s="28">
        <f t="shared" si="31"/>
        <v>0.02580384595</v>
      </c>
      <c r="J52" s="28">
        <f t="shared" si="31"/>
        <v>0.031388315</v>
      </c>
      <c r="K52" s="28">
        <f t="shared" si="31"/>
        <v>0.03707367865</v>
      </c>
      <c r="L52" s="28">
        <f t="shared" si="31"/>
        <v>0.04285203608</v>
      </c>
      <c r="M52" s="28">
        <f t="shared" si="31"/>
        <v>0.04871716002</v>
      </c>
      <c r="N52" s="28">
        <f t="shared" si="31"/>
        <v>0.05466399089</v>
      </c>
      <c r="O52" s="28">
        <f t="shared" si="31"/>
        <v>0.06678658347</v>
      </c>
      <c r="P52" s="28">
        <f t="shared" si="31"/>
        <v>0.07919303664</v>
      </c>
      <c r="Q52" s="28">
        <f t="shared" si="31"/>
        <v>0.09186312555</v>
      </c>
      <c r="R52" s="28">
        <f t="shared" si="31"/>
        <v>0.1047809377</v>
      </c>
      <c r="S52" s="28">
        <f t="shared" si="31"/>
        <v>0.1179335707</v>
      </c>
      <c r="T52" s="28">
        <f t="shared" si="31"/>
        <v>0.1313103185</v>
      </c>
      <c r="U52" s="28">
        <f t="shared" si="31"/>
        <v>0.1449021331</v>
      </c>
    </row>
    <row r="53" ht="15.75" customHeight="1">
      <c r="B53" s="13" t="s">
        <v>110</v>
      </c>
      <c r="C53" t="s">
        <v>59</v>
      </c>
      <c r="D53" s="28">
        <f t="shared" ref="D53:U53" si="32">D29+D43+D44+D52+D51</f>
        <v>1.236770553</v>
      </c>
      <c r="E53" s="28">
        <f t="shared" si="32"/>
        <v>1.597386798</v>
      </c>
      <c r="F53" s="28">
        <f t="shared" si="32"/>
        <v>1.665856934</v>
      </c>
      <c r="G53" s="28">
        <f t="shared" si="32"/>
        <v>1.708802522</v>
      </c>
      <c r="H53" s="28">
        <f t="shared" si="32"/>
        <v>1.741212563</v>
      </c>
      <c r="I53" s="28">
        <f t="shared" si="32"/>
        <v>1.767846547</v>
      </c>
      <c r="J53" s="28">
        <f t="shared" si="32"/>
        <v>1.790837251</v>
      </c>
      <c r="K53" s="28">
        <f t="shared" si="32"/>
        <v>1.811326164</v>
      </c>
      <c r="L53" s="28">
        <f t="shared" si="32"/>
        <v>1.829995954</v>
      </c>
      <c r="M53" s="28">
        <f t="shared" si="32"/>
        <v>1.847287394</v>
      </c>
      <c r="N53" s="28">
        <f t="shared" si="32"/>
        <v>1.863501551</v>
      </c>
      <c r="O53" s="28">
        <f t="shared" si="32"/>
        <v>1.893500605</v>
      </c>
      <c r="P53" s="28">
        <f t="shared" si="32"/>
        <v>1.921137259</v>
      </c>
      <c r="Q53" s="28">
        <f t="shared" si="32"/>
        <v>1.947093063</v>
      </c>
      <c r="R53" s="28">
        <f t="shared" si="32"/>
        <v>1.971806333</v>
      </c>
      <c r="S53" s="28">
        <f t="shared" si="32"/>
        <v>1.995575254</v>
      </c>
      <c r="T53" s="28">
        <f t="shared" si="32"/>
        <v>2.018611614</v>
      </c>
      <c r="U53" s="28">
        <f t="shared" si="32"/>
        <v>2.041071058</v>
      </c>
    </row>
    <row r="54" ht="15.75" customHeight="1">
      <c r="B54" s="13" t="s">
        <v>98</v>
      </c>
      <c r="D54" s="24">
        <f t="shared" ref="D54:U54" si="33">(2/3)*D42</f>
        <v>0.02753461995</v>
      </c>
      <c r="E54" s="24">
        <f t="shared" si="33"/>
        <v>0.08956743541</v>
      </c>
      <c r="F54" s="24">
        <f t="shared" si="33"/>
        <v>0.1099450038</v>
      </c>
      <c r="G54" s="24">
        <f t="shared" si="33"/>
        <v>0.1240429741</v>
      </c>
      <c r="H54" s="24">
        <f t="shared" si="33"/>
        <v>0.1351568009</v>
      </c>
      <c r="I54" s="24">
        <f t="shared" si="33"/>
        <v>0.1444711743</v>
      </c>
      <c r="J54" s="24">
        <f t="shared" si="33"/>
        <v>0.152562935</v>
      </c>
      <c r="K54" s="24">
        <f t="shared" si="33"/>
        <v>0.1597611659</v>
      </c>
      <c r="L54" s="24">
        <f t="shared" si="33"/>
        <v>0.1662732548</v>
      </c>
      <c r="M54" s="24">
        <f t="shared" si="33"/>
        <v>0.1722392196</v>
      </c>
      <c r="N54" s="24">
        <f t="shared" si="33"/>
        <v>0.1777585112</v>
      </c>
      <c r="O54" s="24">
        <f t="shared" si="33"/>
        <v>0.1877333491</v>
      </c>
      <c r="P54" s="24">
        <f t="shared" si="33"/>
        <v>0.1966049698</v>
      </c>
      <c r="Q54" s="24">
        <f t="shared" si="33"/>
        <v>0.2046297818</v>
      </c>
      <c r="R54" s="24">
        <f t="shared" si="33"/>
        <v>0.2119807985</v>
      </c>
      <c r="S54" s="24">
        <f t="shared" si="33"/>
        <v>0.2187808522</v>
      </c>
      <c r="T54" s="24">
        <f t="shared" si="33"/>
        <v>0.2251206231</v>
      </c>
      <c r="U54" s="24">
        <f t="shared" si="33"/>
        <v>0.2310691616</v>
      </c>
    </row>
    <row r="55" ht="15.75" customHeight="1">
      <c r="B55" s="13" t="s">
        <v>96</v>
      </c>
      <c r="C55" t="s">
        <v>47</v>
      </c>
      <c r="D55" s="22">
        <f t="shared" ref="D55:U55" si="34">(-0.0025137*D5^2-0.1819801*D5+1002.78)*EXP(0.0086*D7)</f>
        <v>1321.110158</v>
      </c>
      <c r="E55" s="22">
        <f t="shared" si="34"/>
        <v>1321.110158</v>
      </c>
      <c r="F55" s="22">
        <f t="shared" si="34"/>
        <v>1321.110158</v>
      </c>
      <c r="G55" s="22">
        <f t="shared" si="34"/>
        <v>1321.110158</v>
      </c>
      <c r="H55" s="22">
        <f t="shared" si="34"/>
        <v>1321.110158</v>
      </c>
      <c r="I55" s="22">
        <f t="shared" si="34"/>
        <v>1321.110158</v>
      </c>
      <c r="J55" s="22">
        <f t="shared" si="34"/>
        <v>1321.110158</v>
      </c>
      <c r="K55" s="22">
        <f t="shared" si="34"/>
        <v>1321.110158</v>
      </c>
      <c r="L55" s="22">
        <f t="shared" si="34"/>
        <v>1321.110158</v>
      </c>
      <c r="M55" s="22">
        <f t="shared" si="34"/>
        <v>1321.110158</v>
      </c>
      <c r="N55" s="22">
        <f t="shared" si="34"/>
        <v>1321.110158</v>
      </c>
      <c r="O55" s="22">
        <f t="shared" si="34"/>
        <v>1321.110158</v>
      </c>
      <c r="P55" s="22">
        <f t="shared" si="34"/>
        <v>1321.110158</v>
      </c>
      <c r="Q55" s="22">
        <f t="shared" si="34"/>
        <v>1321.110158</v>
      </c>
      <c r="R55" s="22">
        <f t="shared" si="34"/>
        <v>1321.110158</v>
      </c>
      <c r="S55" s="22">
        <f t="shared" si="34"/>
        <v>1321.110158</v>
      </c>
      <c r="T55" s="22">
        <f t="shared" si="34"/>
        <v>1321.110158</v>
      </c>
      <c r="U55" s="22">
        <f t="shared" si="34"/>
        <v>1321.110158</v>
      </c>
    </row>
    <row r="56" ht="15.75" customHeight="1">
      <c r="B56" s="13" t="s">
        <v>10</v>
      </c>
      <c r="C56" t="s">
        <v>94</v>
      </c>
      <c r="D56" s="29">
        <f t="shared" ref="D56:U56" si="35">(-2.041*D36-0.0028*D36^2+0.005332*D36*D6+207.2*D36/D6+0.001043*D36^3-0.0000003*D36^2*D6^2)*100</f>
        <v>122.9241773</v>
      </c>
      <c r="E56" s="29">
        <f t="shared" si="35"/>
        <v>122.9241773</v>
      </c>
      <c r="F56" s="29">
        <f t="shared" si="35"/>
        <v>122.9241773</v>
      </c>
      <c r="G56" s="29">
        <f t="shared" si="35"/>
        <v>122.9241773</v>
      </c>
      <c r="H56" s="29">
        <f t="shared" si="35"/>
        <v>122.9241773</v>
      </c>
      <c r="I56" s="29">
        <f t="shared" si="35"/>
        <v>122.9241773</v>
      </c>
      <c r="J56" s="29">
        <f t="shared" si="35"/>
        <v>122.9241773</v>
      </c>
      <c r="K56" s="29">
        <f t="shared" si="35"/>
        <v>122.9241773</v>
      </c>
      <c r="L56" s="29">
        <f t="shared" si="35"/>
        <v>122.9241773</v>
      </c>
      <c r="M56" s="29">
        <f t="shared" si="35"/>
        <v>122.9241773</v>
      </c>
      <c r="N56" s="29">
        <f t="shared" si="35"/>
        <v>122.9241773</v>
      </c>
      <c r="O56" s="29">
        <f t="shared" si="35"/>
        <v>122.9241773</v>
      </c>
      <c r="P56" s="29">
        <f t="shared" si="35"/>
        <v>122.9241773</v>
      </c>
      <c r="Q56" s="29">
        <f t="shared" si="35"/>
        <v>122.9241773</v>
      </c>
      <c r="R56" s="29">
        <f t="shared" si="35"/>
        <v>122.9241773</v>
      </c>
      <c r="S56" s="29">
        <f t="shared" si="35"/>
        <v>122.9241773</v>
      </c>
      <c r="T56" s="29">
        <f t="shared" si="35"/>
        <v>122.9241773</v>
      </c>
      <c r="U56" s="29">
        <f t="shared" si="35"/>
        <v>122.9241773</v>
      </c>
    </row>
    <row r="57" ht="15.75" customHeight="1">
      <c r="B57" s="13" t="s">
        <v>114</v>
      </c>
      <c r="D57" s="29">
        <f t="shared" ref="D57:U57" si="36">D56*(1-D54)^(3/2)</f>
        <v>117.882282</v>
      </c>
      <c r="E57" s="29">
        <f t="shared" si="36"/>
        <v>106.7846886</v>
      </c>
      <c r="F57" s="29">
        <f t="shared" si="36"/>
        <v>103.2196956</v>
      </c>
      <c r="G57" s="29">
        <f t="shared" si="36"/>
        <v>100.7770198</v>
      </c>
      <c r="H57" s="29">
        <f t="shared" si="36"/>
        <v>98.8651825</v>
      </c>
      <c r="I57" s="29">
        <f t="shared" si="36"/>
        <v>97.27232153</v>
      </c>
      <c r="J57" s="29">
        <f t="shared" si="36"/>
        <v>95.89555858</v>
      </c>
      <c r="K57" s="29">
        <f t="shared" si="36"/>
        <v>94.67633447</v>
      </c>
      <c r="L57" s="29">
        <f t="shared" si="36"/>
        <v>93.57781723</v>
      </c>
      <c r="M57" s="29">
        <f t="shared" si="36"/>
        <v>92.57518291</v>
      </c>
      <c r="N57" s="29">
        <f t="shared" si="36"/>
        <v>91.65082751</v>
      </c>
      <c r="O57" s="29">
        <f t="shared" si="36"/>
        <v>89.98813366</v>
      </c>
      <c r="P57" s="29">
        <f t="shared" si="36"/>
        <v>88.51788361</v>
      </c>
      <c r="Q57" s="29">
        <f t="shared" si="36"/>
        <v>87.19494305</v>
      </c>
      <c r="R57" s="29">
        <f t="shared" si="36"/>
        <v>85.98892319</v>
      </c>
      <c r="S57" s="29">
        <f t="shared" si="36"/>
        <v>84.87829158</v>
      </c>
      <c r="T57" s="29">
        <f t="shared" si="36"/>
        <v>83.84718068</v>
      </c>
      <c r="U57" s="29">
        <f t="shared" si="36"/>
        <v>82.88352798</v>
      </c>
    </row>
    <row r="58" ht="15.75" customHeight="1">
      <c r="B58" s="13" t="s">
        <v>116</v>
      </c>
      <c r="D58" s="29">
        <f t="shared" ref="D58:U58" si="37">D57/D56</f>
        <v>0.9589836967</v>
      </c>
      <c r="E58" s="29">
        <f t="shared" si="37"/>
        <v>0.8687037073</v>
      </c>
      <c r="F58" s="29">
        <f t="shared" si="37"/>
        <v>0.839702147</v>
      </c>
      <c r="G58" s="29">
        <f t="shared" si="37"/>
        <v>0.8198307441</v>
      </c>
      <c r="H58" s="29">
        <f t="shared" si="37"/>
        <v>0.8042777641</v>
      </c>
      <c r="I58" s="29">
        <f t="shared" si="37"/>
        <v>0.7913196869</v>
      </c>
      <c r="J58" s="29">
        <f t="shared" si="37"/>
        <v>0.780119588</v>
      </c>
      <c r="K58" s="29">
        <f t="shared" si="37"/>
        <v>0.7702010826</v>
      </c>
      <c r="L58" s="29">
        <f t="shared" si="37"/>
        <v>0.7612645393</v>
      </c>
      <c r="M58" s="29">
        <f t="shared" si="37"/>
        <v>0.7531080127</v>
      </c>
      <c r="N58" s="29">
        <f t="shared" si="37"/>
        <v>0.7455882927</v>
      </c>
      <c r="O58" s="29">
        <f t="shared" si="37"/>
        <v>0.7320621184</v>
      </c>
      <c r="P58" s="29">
        <f t="shared" si="37"/>
        <v>0.7201014929</v>
      </c>
      <c r="Q58" s="29">
        <f t="shared" si="37"/>
        <v>0.7093392442</v>
      </c>
      <c r="R58" s="29">
        <f t="shared" si="37"/>
        <v>0.6995281567</v>
      </c>
      <c r="S58" s="29">
        <f t="shared" si="37"/>
        <v>0.6904930618</v>
      </c>
      <c r="T58" s="29">
        <f t="shared" si="37"/>
        <v>0.6821048755</v>
      </c>
      <c r="U58" s="29">
        <f t="shared" si="37"/>
        <v>0.6742654682</v>
      </c>
    </row>
    <row r="59" ht="15.75" customHeight="1">
      <c r="B59" s="13" t="s">
        <v>117</v>
      </c>
      <c r="C59" t="s">
        <v>18</v>
      </c>
      <c r="D59" s="25">
        <f t="shared" ref="D59:U59" si="38">D10*(1-D42)</f>
        <v>0.1054567877</v>
      </c>
      <c r="E59" s="25">
        <f t="shared" si="38"/>
        <v>0.09522137316</v>
      </c>
      <c r="F59" s="25">
        <f t="shared" si="38"/>
        <v>0.09185907438</v>
      </c>
      <c r="G59" s="25">
        <f t="shared" si="38"/>
        <v>0.08953290927</v>
      </c>
      <c r="H59" s="25">
        <f t="shared" si="38"/>
        <v>0.08769912785</v>
      </c>
      <c r="I59" s="25">
        <f t="shared" si="38"/>
        <v>0.08616225624</v>
      </c>
      <c r="J59" s="25">
        <f t="shared" si="38"/>
        <v>0.08482711572</v>
      </c>
      <c r="K59" s="25">
        <f t="shared" si="38"/>
        <v>0.08363940762</v>
      </c>
      <c r="L59" s="25">
        <f t="shared" si="38"/>
        <v>0.08256491296</v>
      </c>
      <c r="M59" s="25">
        <f t="shared" si="38"/>
        <v>0.08158052877</v>
      </c>
      <c r="N59" s="25">
        <f t="shared" si="38"/>
        <v>0.08066984566</v>
      </c>
      <c r="O59" s="25">
        <f t="shared" si="38"/>
        <v>0.07902399739</v>
      </c>
      <c r="P59" s="25">
        <f t="shared" si="38"/>
        <v>0.07756017998</v>
      </c>
      <c r="Q59" s="25">
        <f t="shared" si="38"/>
        <v>0.076236086</v>
      </c>
      <c r="R59" s="25">
        <f t="shared" si="38"/>
        <v>0.07502316825</v>
      </c>
      <c r="S59" s="25">
        <f t="shared" si="38"/>
        <v>0.07390115939</v>
      </c>
      <c r="T59" s="25">
        <f t="shared" si="38"/>
        <v>0.07285509719</v>
      </c>
      <c r="U59" s="25">
        <f t="shared" si="38"/>
        <v>0.07187358833</v>
      </c>
    </row>
    <row r="60" ht="15.75" customHeight="1">
      <c r="B60" s="13" t="s">
        <v>119</v>
      </c>
      <c r="C60" t="s">
        <v>24</v>
      </c>
      <c r="D60" s="22">
        <f t="shared" ref="D60:U60" si="39">D12*1/(1-D42)</f>
        <v>10.43081269</v>
      </c>
      <c r="E60" s="22">
        <f t="shared" si="39"/>
        <v>589.1534447</v>
      </c>
      <c r="F60" s="22">
        <f t="shared" si="39"/>
        <v>1209.461349</v>
      </c>
      <c r="G60" s="22">
        <f t="shared" si="39"/>
        <v>1855.183768</v>
      </c>
      <c r="H60" s="22">
        <f t="shared" si="39"/>
        <v>2521.119712</v>
      </c>
      <c r="I60" s="22">
        <f t="shared" si="39"/>
        <v>3204.419337</v>
      </c>
      <c r="J60" s="22">
        <f t="shared" si="39"/>
        <v>3903.233031</v>
      </c>
      <c r="K60" s="22">
        <f t="shared" si="39"/>
        <v>4616.245033</v>
      </c>
      <c r="L60" s="22">
        <f t="shared" si="39"/>
        <v>5342.46309</v>
      </c>
      <c r="M60" s="22">
        <f t="shared" si="39"/>
        <v>6081.107924</v>
      </c>
      <c r="N60" s="22">
        <f t="shared" si="39"/>
        <v>6831.548958</v>
      </c>
      <c r="O60" s="22">
        <f t="shared" si="39"/>
        <v>8365.813194</v>
      </c>
      <c r="P60" s="22">
        <f t="shared" si="39"/>
        <v>9941.957331</v>
      </c>
      <c r="Q60" s="22">
        <f t="shared" si="39"/>
        <v>11557.51884</v>
      </c>
      <c r="R60" s="22">
        <f t="shared" si="39"/>
        <v>13210.58578</v>
      </c>
      <c r="S60" s="22">
        <f t="shared" si="39"/>
        <v>14899.63093</v>
      </c>
      <c r="T60" s="22">
        <f t="shared" si="39"/>
        <v>16623.40792</v>
      </c>
      <c r="U60" s="22">
        <f t="shared" si="39"/>
        <v>18380.88275</v>
      </c>
    </row>
    <row r="61" ht="15.75" customHeight="1">
      <c r="B61" s="13" t="s">
        <v>121</v>
      </c>
      <c r="D61" s="22">
        <f t="shared" ref="D61:U61" si="40">2.5*D5+50</f>
        <v>225</v>
      </c>
      <c r="E61" s="22">
        <f t="shared" si="40"/>
        <v>225</v>
      </c>
      <c r="F61" s="22">
        <f t="shared" si="40"/>
        <v>225</v>
      </c>
      <c r="G61" s="22">
        <f t="shared" si="40"/>
        <v>225</v>
      </c>
      <c r="H61" s="22">
        <f t="shared" si="40"/>
        <v>225</v>
      </c>
      <c r="I61" s="22">
        <f t="shared" si="40"/>
        <v>225</v>
      </c>
      <c r="J61" s="22">
        <f t="shared" si="40"/>
        <v>225</v>
      </c>
      <c r="K61" s="22">
        <f t="shared" si="40"/>
        <v>225</v>
      </c>
      <c r="L61" s="22">
        <f t="shared" si="40"/>
        <v>225</v>
      </c>
      <c r="M61" s="22">
        <f t="shared" si="40"/>
        <v>225</v>
      </c>
      <c r="N61" s="22">
        <f t="shared" si="40"/>
        <v>225</v>
      </c>
      <c r="O61" s="22">
        <f t="shared" si="40"/>
        <v>225</v>
      </c>
      <c r="P61" s="22">
        <f t="shared" si="40"/>
        <v>225</v>
      </c>
      <c r="Q61" s="22">
        <f t="shared" si="40"/>
        <v>225</v>
      </c>
      <c r="R61" s="22">
        <f t="shared" si="40"/>
        <v>225</v>
      </c>
      <c r="S61" s="22">
        <f t="shared" si="40"/>
        <v>225</v>
      </c>
      <c r="T61" s="22">
        <f t="shared" si="40"/>
        <v>225</v>
      </c>
      <c r="U61" s="22">
        <f t="shared" si="40"/>
        <v>225</v>
      </c>
    </row>
    <row r="62" ht="15.75" customHeight="1">
      <c r="B62" s="13" t="s">
        <v>124</v>
      </c>
      <c r="D62" s="28">
        <f t="shared" ref="D62:U62" si="41">-0.00025*D5+1</f>
        <v>0.9825</v>
      </c>
      <c r="E62" s="28">
        <f t="shared" si="41"/>
        <v>0.9825</v>
      </c>
      <c r="F62" s="28">
        <f t="shared" si="41"/>
        <v>0.9825</v>
      </c>
      <c r="G62" s="28">
        <f t="shared" si="41"/>
        <v>0.9825</v>
      </c>
      <c r="H62" s="28">
        <f t="shared" si="41"/>
        <v>0.9825</v>
      </c>
      <c r="I62" s="28">
        <f t="shared" si="41"/>
        <v>0.9825</v>
      </c>
      <c r="J62" s="28">
        <f t="shared" si="41"/>
        <v>0.9825</v>
      </c>
      <c r="K62" s="28">
        <f t="shared" si="41"/>
        <v>0.9825</v>
      </c>
      <c r="L62" s="28">
        <f t="shared" si="41"/>
        <v>0.9825</v>
      </c>
      <c r="M62" s="28">
        <f t="shared" si="41"/>
        <v>0.9825</v>
      </c>
      <c r="N62" s="28">
        <f t="shared" si="41"/>
        <v>0.9825</v>
      </c>
      <c r="O62" s="28">
        <f t="shared" si="41"/>
        <v>0.9825</v>
      </c>
      <c r="P62" s="28">
        <f t="shared" si="41"/>
        <v>0.9825</v>
      </c>
      <c r="Q62" s="28">
        <f t="shared" si="41"/>
        <v>0.9825</v>
      </c>
      <c r="R62" s="28">
        <f t="shared" si="41"/>
        <v>0.9825</v>
      </c>
      <c r="S62" s="28">
        <f t="shared" si="41"/>
        <v>0.9825</v>
      </c>
      <c r="T62" s="28">
        <f t="shared" si="41"/>
        <v>0.9825</v>
      </c>
      <c r="U62" s="28">
        <f t="shared" si="41"/>
        <v>0.9825</v>
      </c>
    </row>
    <row r="63" ht="15.75" customHeight="1">
      <c r="B63" s="13" t="s">
        <v>222</v>
      </c>
      <c r="D63" s="34">
        <f t="shared" ref="D63:U63" si="42">(((D12)^2/(D61+D12^2))*D62)</f>
        <v>0.3023076923</v>
      </c>
      <c r="E63" s="34">
        <f t="shared" si="42"/>
        <v>0.9816508211</v>
      </c>
      <c r="F63" s="34">
        <f t="shared" si="42"/>
        <v>0.9822833411</v>
      </c>
      <c r="G63" s="34">
        <f t="shared" si="42"/>
        <v>0.9824030566</v>
      </c>
      <c r="H63" s="34">
        <f t="shared" si="42"/>
        <v>0.982445286</v>
      </c>
      <c r="I63" s="34">
        <f t="shared" si="42"/>
        <v>0.9824649125</v>
      </c>
      <c r="J63" s="34">
        <f t="shared" si="42"/>
        <v>0.982475601</v>
      </c>
      <c r="K63" s="34">
        <f t="shared" si="42"/>
        <v>0.9824820571</v>
      </c>
      <c r="L63" s="34">
        <f t="shared" si="42"/>
        <v>0.9824862526</v>
      </c>
      <c r="M63" s="34">
        <f t="shared" si="42"/>
        <v>0.9824891318</v>
      </c>
      <c r="N63" s="34">
        <f t="shared" si="42"/>
        <v>0.9824911928</v>
      </c>
      <c r="O63" s="34">
        <f t="shared" si="42"/>
        <v>0.9824938798</v>
      </c>
      <c r="P63" s="34">
        <f t="shared" si="42"/>
        <v>0.9824955014</v>
      </c>
      <c r="Q63" s="34">
        <f t="shared" si="42"/>
        <v>0.9824965545</v>
      </c>
      <c r="R63" s="34">
        <f t="shared" si="42"/>
        <v>0.9824972769</v>
      </c>
      <c r="S63" s="34">
        <f t="shared" si="42"/>
        <v>0.9824977938</v>
      </c>
      <c r="T63" s="34">
        <f t="shared" si="42"/>
        <v>0.9824981764</v>
      </c>
      <c r="U63" s="34">
        <f t="shared" si="42"/>
        <v>0.9824984674</v>
      </c>
    </row>
    <row r="64" ht="15.75" customHeight="1">
      <c r="B64" s="35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</row>
    <row r="65" ht="15.75" customHeight="1">
      <c r="B65" s="13" t="s">
        <v>129</v>
      </c>
      <c r="C65" t="s">
        <v>130</v>
      </c>
      <c r="D65" s="24">
        <f t="shared" ref="D65:U65" si="43">(D12*D63*D10)/(D9*D22)</f>
        <v>0.000001723259065</v>
      </c>
      <c r="E65" s="24">
        <f t="shared" si="43"/>
        <v>0.0002853833187</v>
      </c>
      <c r="F65" s="24">
        <f t="shared" si="43"/>
        <v>0.00056553505</v>
      </c>
      <c r="G65" s="24">
        <f t="shared" si="43"/>
        <v>0.0008456059419</v>
      </c>
      <c r="H65" s="24">
        <f t="shared" si="43"/>
        <v>0.001125656295</v>
      </c>
      <c r="I65" s="24">
        <f t="shared" si="43"/>
        <v>0.00140569838</v>
      </c>
      <c r="J65" s="24">
        <f t="shared" si="43"/>
        <v>0.001685736317</v>
      </c>
      <c r="K65" s="24">
        <f t="shared" si="43"/>
        <v>0.001965771878</v>
      </c>
      <c r="L65" s="24">
        <f t="shared" si="43"/>
        <v>0.002245805952</v>
      </c>
      <c r="M65" s="24">
        <f t="shared" si="43"/>
        <v>0.002525839034</v>
      </c>
      <c r="N65" s="24">
        <f t="shared" si="43"/>
        <v>0.002805871421</v>
      </c>
      <c r="O65" s="24">
        <f t="shared" si="43"/>
        <v>0.003365934802</v>
      </c>
      <c r="P65" s="24">
        <f t="shared" si="43"/>
        <v>0.003925996989</v>
      </c>
      <c r="Q65" s="24">
        <f t="shared" si="43"/>
        <v>0.004486058429</v>
      </c>
      <c r="R65" s="24">
        <f t="shared" si="43"/>
        <v>0.005046119371</v>
      </c>
      <c r="S65" s="24">
        <f t="shared" si="43"/>
        <v>0.005606179965</v>
      </c>
      <c r="T65" s="24">
        <f t="shared" si="43"/>
        <v>0.006166240304</v>
      </c>
      <c r="U65" s="24">
        <f t="shared" si="43"/>
        <v>0.006726300453</v>
      </c>
    </row>
    <row r="66" ht="15.75" customHeight="1">
      <c r="B66" s="13" t="s">
        <v>132</v>
      </c>
      <c r="C66" t="s">
        <v>130</v>
      </c>
      <c r="D66" s="24">
        <f t="shared" ref="D66:U66" si="44">(D12*D10*D63)/(4*D22)</f>
        <v>0.0000008616295325</v>
      </c>
      <c r="E66" s="24">
        <f t="shared" si="44"/>
        <v>0.0001426916593</v>
      </c>
      <c r="F66" s="24">
        <f t="shared" si="44"/>
        <v>0.000282767525</v>
      </c>
      <c r="G66" s="24">
        <f t="shared" si="44"/>
        <v>0.0004228029709</v>
      </c>
      <c r="H66" s="24">
        <f t="shared" si="44"/>
        <v>0.0005628281473</v>
      </c>
      <c r="I66" s="24">
        <f t="shared" si="44"/>
        <v>0.0007028491898</v>
      </c>
      <c r="J66" s="24">
        <f t="shared" si="44"/>
        <v>0.0008428681583</v>
      </c>
      <c r="K66" s="24">
        <f t="shared" si="44"/>
        <v>0.0009828859389</v>
      </c>
      <c r="L66" s="24">
        <f t="shared" si="44"/>
        <v>0.001122902976</v>
      </c>
      <c r="M66" s="24">
        <f t="shared" si="44"/>
        <v>0.001262919517</v>
      </c>
      <c r="N66" s="24">
        <f t="shared" si="44"/>
        <v>0.00140293571</v>
      </c>
      <c r="O66" s="24">
        <f t="shared" si="44"/>
        <v>0.001682967401</v>
      </c>
      <c r="P66" s="24">
        <f t="shared" si="44"/>
        <v>0.001962998494</v>
      </c>
      <c r="Q66" s="24">
        <f t="shared" si="44"/>
        <v>0.002243029215</v>
      </c>
      <c r="R66" s="24">
        <f t="shared" si="44"/>
        <v>0.002523059686</v>
      </c>
      <c r="S66" s="24">
        <f t="shared" si="44"/>
        <v>0.002803089982</v>
      </c>
      <c r="T66" s="24">
        <f t="shared" si="44"/>
        <v>0.003083120152</v>
      </c>
      <c r="U66" s="24">
        <f t="shared" si="44"/>
        <v>0.003363150227</v>
      </c>
    </row>
    <row r="67" ht="15.75" customHeight="1">
      <c r="B67" s="13" t="s">
        <v>134</v>
      </c>
      <c r="C67" t="s">
        <v>135</v>
      </c>
      <c r="D67" s="29" t="str">
        <f t="shared" ref="D67:U67" si="45">D65*(D23/D25)*3600</f>
        <v>#ERROR!</v>
      </c>
      <c r="E67" s="29" t="str">
        <f t="shared" si="45"/>
        <v>#ERROR!</v>
      </c>
      <c r="F67" s="29" t="str">
        <f t="shared" si="45"/>
        <v>#ERROR!</v>
      </c>
      <c r="G67" s="29" t="str">
        <f t="shared" si="45"/>
        <v>#ERROR!</v>
      </c>
      <c r="H67" s="29" t="str">
        <f t="shared" si="45"/>
        <v>#ERROR!</v>
      </c>
      <c r="I67" s="29" t="str">
        <f t="shared" si="45"/>
        <v>#ERROR!</v>
      </c>
      <c r="J67" s="29" t="str">
        <f t="shared" si="45"/>
        <v>#ERROR!</v>
      </c>
      <c r="K67" s="29" t="str">
        <f t="shared" si="45"/>
        <v>#ERROR!</v>
      </c>
      <c r="L67" s="29" t="str">
        <f t="shared" si="45"/>
        <v>#ERROR!</v>
      </c>
      <c r="M67" s="29" t="str">
        <f t="shared" si="45"/>
        <v>#ERROR!</v>
      </c>
      <c r="N67" s="29" t="str">
        <f t="shared" si="45"/>
        <v>#ERROR!</v>
      </c>
      <c r="O67" s="29" t="str">
        <f t="shared" si="45"/>
        <v>#ERROR!</v>
      </c>
      <c r="P67" s="29" t="str">
        <f t="shared" si="45"/>
        <v>#ERROR!</v>
      </c>
      <c r="Q67" s="29" t="str">
        <f t="shared" si="45"/>
        <v>#ERROR!</v>
      </c>
      <c r="R67" s="29" t="str">
        <f t="shared" si="45"/>
        <v>#ERROR!</v>
      </c>
      <c r="S67" s="29" t="str">
        <f t="shared" si="45"/>
        <v>#ERROR!</v>
      </c>
      <c r="T67" s="29" t="str">
        <f t="shared" si="45"/>
        <v>#ERROR!</v>
      </c>
      <c r="U67" s="29" t="str">
        <f t="shared" si="45"/>
        <v>#ERROR!</v>
      </c>
    </row>
    <row r="68" ht="15.75" customHeight="1">
      <c r="B68" s="13" t="s">
        <v>137</v>
      </c>
      <c r="C68" t="s">
        <v>135</v>
      </c>
      <c r="D68" s="29" t="str">
        <f t="shared" ref="D68:U68" si="46">D66*(D24/D26)*3600</f>
        <v>#ERROR!</v>
      </c>
      <c r="E68" s="29" t="str">
        <f t="shared" si="46"/>
        <v>#ERROR!</v>
      </c>
      <c r="F68" s="29" t="str">
        <f t="shared" si="46"/>
        <v>#ERROR!</v>
      </c>
      <c r="G68" s="29" t="str">
        <f t="shared" si="46"/>
        <v>#ERROR!</v>
      </c>
      <c r="H68" s="29" t="str">
        <f t="shared" si="46"/>
        <v>#ERROR!</v>
      </c>
      <c r="I68" s="29" t="str">
        <f t="shared" si="46"/>
        <v>#ERROR!</v>
      </c>
      <c r="J68" s="29" t="str">
        <f t="shared" si="46"/>
        <v>#ERROR!</v>
      </c>
      <c r="K68" s="29" t="str">
        <f t="shared" si="46"/>
        <v>#ERROR!</v>
      </c>
      <c r="L68" s="29" t="str">
        <f t="shared" si="46"/>
        <v>#ERROR!</v>
      </c>
      <c r="M68" s="29" t="str">
        <f t="shared" si="46"/>
        <v>#ERROR!</v>
      </c>
      <c r="N68" s="29" t="str">
        <f t="shared" si="46"/>
        <v>#ERROR!</v>
      </c>
      <c r="O68" s="29" t="str">
        <f t="shared" si="46"/>
        <v>#ERROR!</v>
      </c>
      <c r="P68" s="29" t="str">
        <f t="shared" si="46"/>
        <v>#ERROR!</v>
      </c>
      <c r="Q68" s="29" t="str">
        <f t="shared" si="46"/>
        <v>#ERROR!</v>
      </c>
      <c r="R68" s="29" t="str">
        <f t="shared" si="46"/>
        <v>#ERROR!</v>
      </c>
      <c r="S68" s="29" t="str">
        <f t="shared" si="46"/>
        <v>#ERROR!</v>
      </c>
      <c r="T68" s="29" t="str">
        <f t="shared" si="46"/>
        <v>#ERROR!</v>
      </c>
      <c r="U68" s="29" t="str">
        <f t="shared" si="46"/>
        <v>#ERROR!</v>
      </c>
    </row>
    <row r="69" ht="15.75" customHeight="1">
      <c r="B69" s="13" t="s">
        <v>139</v>
      </c>
      <c r="C69" t="s">
        <v>140</v>
      </c>
      <c r="D69" s="24">
        <f t="shared" ref="D69:U69" si="47">D65*D23*3600</f>
        <v>0.00001240746527</v>
      </c>
      <c r="E69" s="24">
        <f t="shared" si="47"/>
        <v>0.002054759894</v>
      </c>
      <c r="F69" s="24">
        <f t="shared" si="47"/>
        <v>0.00407185236</v>
      </c>
      <c r="G69" s="24">
        <f t="shared" si="47"/>
        <v>0.006088362782</v>
      </c>
      <c r="H69" s="24">
        <f t="shared" si="47"/>
        <v>0.008104725321</v>
      </c>
      <c r="I69" s="24">
        <f t="shared" si="47"/>
        <v>0.01012102833</v>
      </c>
      <c r="J69" s="24">
        <f t="shared" si="47"/>
        <v>0.01213730148</v>
      </c>
      <c r="K69" s="24">
        <f t="shared" si="47"/>
        <v>0.01415355752</v>
      </c>
      <c r="L69" s="24">
        <f t="shared" si="47"/>
        <v>0.01616980286</v>
      </c>
      <c r="M69" s="24">
        <f t="shared" si="47"/>
        <v>0.01818604105</v>
      </c>
      <c r="N69" s="24">
        <f t="shared" si="47"/>
        <v>0.02020227423</v>
      </c>
      <c r="O69" s="24">
        <f t="shared" si="47"/>
        <v>0.02423473057</v>
      </c>
      <c r="P69" s="24">
        <f t="shared" si="47"/>
        <v>0.02826717832</v>
      </c>
      <c r="Q69" s="24">
        <f t="shared" si="47"/>
        <v>0.03229962069</v>
      </c>
      <c r="R69" s="24">
        <f t="shared" si="47"/>
        <v>0.03633205947</v>
      </c>
      <c r="S69" s="24">
        <f t="shared" si="47"/>
        <v>0.04036449575</v>
      </c>
      <c r="T69" s="24">
        <f t="shared" si="47"/>
        <v>0.04439693019</v>
      </c>
      <c r="U69" s="24">
        <f t="shared" si="47"/>
        <v>0.04842936326</v>
      </c>
    </row>
    <row r="70" ht="15.75" customHeight="1">
      <c r="B70" s="13" t="s">
        <v>142</v>
      </c>
      <c r="C70" t="s">
        <v>140</v>
      </c>
      <c r="D70" s="24">
        <f t="shared" ref="D70:U70" si="48">D66*D24*3600</f>
        <v>0.00009925972215</v>
      </c>
      <c r="E70" s="24">
        <f t="shared" si="48"/>
        <v>0.01643807915</v>
      </c>
      <c r="F70" s="24">
        <f t="shared" si="48"/>
        <v>0.03257481888</v>
      </c>
      <c r="G70" s="24">
        <f t="shared" si="48"/>
        <v>0.04870690225</v>
      </c>
      <c r="H70" s="24">
        <f t="shared" si="48"/>
        <v>0.06483780257</v>
      </c>
      <c r="I70" s="24">
        <f t="shared" si="48"/>
        <v>0.08096822667</v>
      </c>
      <c r="J70" s="24">
        <f t="shared" si="48"/>
        <v>0.09709841183</v>
      </c>
      <c r="K70" s="24">
        <f t="shared" si="48"/>
        <v>0.1132284602</v>
      </c>
      <c r="L70" s="24">
        <f t="shared" si="48"/>
        <v>0.1293584228</v>
      </c>
      <c r="M70" s="24">
        <f t="shared" si="48"/>
        <v>0.1454883284</v>
      </c>
      <c r="N70" s="24">
        <f t="shared" si="48"/>
        <v>0.1616181938</v>
      </c>
      <c r="O70" s="24">
        <f t="shared" si="48"/>
        <v>0.1938778446</v>
      </c>
      <c r="P70" s="24">
        <f t="shared" si="48"/>
        <v>0.2261374266</v>
      </c>
      <c r="Q70" s="24">
        <f t="shared" si="48"/>
        <v>0.2583969655</v>
      </c>
      <c r="R70" s="24">
        <f t="shared" si="48"/>
        <v>0.2906564758</v>
      </c>
      <c r="S70" s="24">
        <f t="shared" si="48"/>
        <v>0.322915966</v>
      </c>
      <c r="T70" s="24">
        <f t="shared" si="48"/>
        <v>0.3551754415</v>
      </c>
      <c r="U70" s="24">
        <f t="shared" si="48"/>
        <v>0.3874349061</v>
      </c>
    </row>
    <row r="71" ht="15.75" customHeight="1">
      <c r="B71" s="13" t="s">
        <v>144</v>
      </c>
      <c r="C71" t="s">
        <v>145</v>
      </c>
      <c r="D71" s="24" t="str">
        <f>[1]!Rkalht("mmm",1.0325,25,"H2",1)</f>
        <v>#ERROR!</v>
      </c>
      <c r="E71" s="24" t="str">
        <f>[1]!Rkalht("mmm",1.0325,25,"H2",1)</f>
        <v>#ERROR!</v>
      </c>
      <c r="F71" s="24" t="str">
        <f>[1]!Rkalht("mmm",1.0325,25,"H2",1)</f>
        <v>#ERROR!</v>
      </c>
      <c r="G71" s="24" t="str">
        <f>[1]!Rkalht("mmm",1.0325,25,"H2",1)</f>
        <v>#ERROR!</v>
      </c>
      <c r="H71" s="24" t="str">
        <f>[1]!Rkalht("mmm",1.0325,25,"H2",1)</f>
        <v>#ERROR!</v>
      </c>
      <c r="I71" s="24" t="str">
        <f>[1]!Rkalht("mmm",1.0325,25,"H2",1)</f>
        <v>#ERROR!</v>
      </c>
      <c r="J71" s="24" t="str">
        <f>[1]!Rkalht("mmm",1.0325,25,"H2",1)</f>
        <v>#ERROR!</v>
      </c>
      <c r="K71" s="24" t="str">
        <f>[1]!Rkalht("mmm",1.0325,25,"H2",1)</f>
        <v>#ERROR!</v>
      </c>
      <c r="L71" s="24" t="str">
        <f>[1]!Rkalht("mmm",1.0325,25,"H2",1)</f>
        <v>#ERROR!</v>
      </c>
      <c r="M71" s="24" t="str">
        <f>[1]!Rkalht("mmm",1.0325,25,"H2",1)</f>
        <v>#ERROR!</v>
      </c>
      <c r="N71" s="24" t="str">
        <f>[1]!Rkalht("mmm",1.0325,25,"H2",1)</f>
        <v>#ERROR!</v>
      </c>
      <c r="O71" s="24" t="str">
        <f>[1]!Rkalht("mmm",1.0325,25,"H2",1)</f>
        <v>#ERROR!</v>
      </c>
      <c r="P71" s="24" t="str">
        <f>[1]!Rkalht("mmm",1.0325,25,"H2",1)</f>
        <v>#ERROR!</v>
      </c>
      <c r="Q71" s="24" t="str">
        <f>[1]!Rkalht("mmm",1.0325,25,"H2",1)</f>
        <v>#ERROR!</v>
      </c>
      <c r="R71" s="24" t="str">
        <f>[1]!Rkalht("mmm",1.0325,25,"H2",1)</f>
        <v>#ERROR!</v>
      </c>
      <c r="S71" s="24" t="str">
        <f>[1]!Rkalht("mmm",1.0325,25,"H2",1)</f>
        <v>#ERROR!</v>
      </c>
      <c r="T71" s="24" t="str">
        <f>[1]!Rkalht("mmm",1.0325,25,"H2",1)</f>
        <v>#ERROR!</v>
      </c>
      <c r="U71" s="24" t="str">
        <f>[1]!Rkalht("mmm",1.0325,25,"H2",1)</f>
        <v>#ERROR!</v>
      </c>
    </row>
    <row r="72" ht="15.75" customHeight="1">
      <c r="B72" s="13" t="s">
        <v>146</v>
      </c>
      <c r="C72" t="s">
        <v>145</v>
      </c>
      <c r="D72" s="24" t="str">
        <f>[1]!Rkalht("mmm",1.0325,25,"O2",1)</f>
        <v>#ERROR!</v>
      </c>
      <c r="E72" s="24" t="str">
        <f>[1]!Rkalht("mmm",1.0325,25,"O2",1)</f>
        <v>#ERROR!</v>
      </c>
      <c r="F72" s="24" t="str">
        <f>[1]!Rkalht("mmm",1.0325,25,"O2",1)</f>
        <v>#ERROR!</v>
      </c>
      <c r="G72" s="24" t="str">
        <f>[1]!Rkalht("mmm",1.0325,25,"O2",1)</f>
        <v>#ERROR!</v>
      </c>
      <c r="H72" s="24" t="str">
        <f>[1]!Rkalht("mmm",1.0325,25,"O2",1)</f>
        <v>#ERROR!</v>
      </c>
      <c r="I72" s="24" t="str">
        <f>[1]!Rkalht("mmm",1.0325,25,"O2",1)</f>
        <v>#ERROR!</v>
      </c>
      <c r="J72" s="24" t="str">
        <f>[1]!Rkalht("mmm",1.0325,25,"O2",1)</f>
        <v>#ERROR!</v>
      </c>
      <c r="K72" s="24" t="str">
        <f>[1]!Rkalht("mmm",1.0325,25,"O2",1)</f>
        <v>#ERROR!</v>
      </c>
      <c r="L72" s="24" t="str">
        <f>[1]!Rkalht("mmm",1.0325,25,"O2",1)</f>
        <v>#ERROR!</v>
      </c>
      <c r="M72" s="24" t="str">
        <f>[1]!Rkalht("mmm",1.0325,25,"O2",1)</f>
        <v>#ERROR!</v>
      </c>
      <c r="N72" s="24" t="str">
        <f>[1]!Rkalht("mmm",1.0325,25,"O2",1)</f>
        <v>#ERROR!</v>
      </c>
      <c r="O72" s="24" t="str">
        <f>[1]!Rkalht("mmm",1.0325,25,"O2",1)</f>
        <v>#ERROR!</v>
      </c>
      <c r="P72" s="24" t="str">
        <f>[1]!Rkalht("mmm",1.0325,25,"O2",1)</f>
        <v>#ERROR!</v>
      </c>
      <c r="Q72" s="24" t="str">
        <f>[1]!Rkalht("mmm",1.0325,25,"O2",1)</f>
        <v>#ERROR!</v>
      </c>
      <c r="R72" s="24" t="str">
        <f>[1]!Rkalht("mmm",1.0325,25,"O2",1)</f>
        <v>#ERROR!</v>
      </c>
      <c r="S72" s="24" t="str">
        <f>[1]!Rkalht("mmm",1.0325,25,"O2",1)</f>
        <v>#ERROR!</v>
      </c>
      <c r="T72" s="24" t="str">
        <f>[1]!Rkalht("mmm",1.0325,25,"O2",1)</f>
        <v>#ERROR!</v>
      </c>
      <c r="U72" s="24" t="str">
        <f>[1]!Rkalht("mmm",1.0325,25,"O2",1)</f>
        <v>#ERROR!</v>
      </c>
    </row>
    <row r="73" ht="15.75" customHeight="1">
      <c r="B73" s="13" t="s">
        <v>139</v>
      </c>
      <c r="C73" t="s">
        <v>147</v>
      </c>
      <c r="D73" s="24" t="str">
        <f t="shared" ref="D73:U73" si="49">D69/D71</f>
        <v>#ERROR!</v>
      </c>
      <c r="E73" s="24" t="str">
        <f t="shared" si="49"/>
        <v>#ERROR!</v>
      </c>
      <c r="F73" s="24" t="str">
        <f t="shared" si="49"/>
        <v>#ERROR!</v>
      </c>
      <c r="G73" s="24" t="str">
        <f t="shared" si="49"/>
        <v>#ERROR!</v>
      </c>
      <c r="H73" s="24" t="str">
        <f t="shared" si="49"/>
        <v>#ERROR!</v>
      </c>
      <c r="I73" s="24" t="str">
        <f t="shared" si="49"/>
        <v>#ERROR!</v>
      </c>
      <c r="J73" s="24" t="str">
        <f t="shared" si="49"/>
        <v>#ERROR!</v>
      </c>
      <c r="K73" s="24" t="str">
        <f t="shared" si="49"/>
        <v>#ERROR!</v>
      </c>
      <c r="L73" s="24" t="str">
        <f t="shared" si="49"/>
        <v>#ERROR!</v>
      </c>
      <c r="M73" s="24" t="str">
        <f t="shared" si="49"/>
        <v>#ERROR!</v>
      </c>
      <c r="N73" s="24" t="str">
        <f t="shared" si="49"/>
        <v>#ERROR!</v>
      </c>
      <c r="O73" s="24" t="str">
        <f t="shared" si="49"/>
        <v>#ERROR!</v>
      </c>
      <c r="P73" s="24" t="str">
        <f t="shared" si="49"/>
        <v>#ERROR!</v>
      </c>
      <c r="Q73" s="24" t="str">
        <f t="shared" si="49"/>
        <v>#ERROR!</v>
      </c>
      <c r="R73" s="24" t="str">
        <f t="shared" si="49"/>
        <v>#ERROR!</v>
      </c>
      <c r="S73" s="24" t="str">
        <f t="shared" si="49"/>
        <v>#ERROR!</v>
      </c>
      <c r="T73" s="24" t="str">
        <f t="shared" si="49"/>
        <v>#ERROR!</v>
      </c>
      <c r="U73" s="24" t="str">
        <f t="shared" si="49"/>
        <v>#ERROR!</v>
      </c>
    </row>
    <row r="74" ht="15.75" customHeight="1">
      <c r="B74" s="13" t="s">
        <v>142</v>
      </c>
      <c r="C74" t="s">
        <v>147</v>
      </c>
      <c r="D74" s="24" t="str">
        <f t="shared" ref="D74:U74" si="50">D70/D72</f>
        <v>#ERROR!</v>
      </c>
      <c r="E74" s="24" t="str">
        <f t="shared" si="50"/>
        <v>#ERROR!</v>
      </c>
      <c r="F74" s="24" t="str">
        <f t="shared" si="50"/>
        <v>#ERROR!</v>
      </c>
      <c r="G74" s="24" t="str">
        <f t="shared" si="50"/>
        <v>#ERROR!</v>
      </c>
      <c r="H74" s="24" t="str">
        <f t="shared" si="50"/>
        <v>#ERROR!</v>
      </c>
      <c r="I74" s="24" t="str">
        <f t="shared" si="50"/>
        <v>#ERROR!</v>
      </c>
      <c r="J74" s="24" t="str">
        <f t="shared" si="50"/>
        <v>#ERROR!</v>
      </c>
      <c r="K74" s="24" t="str">
        <f t="shared" si="50"/>
        <v>#ERROR!</v>
      </c>
      <c r="L74" s="24" t="str">
        <f t="shared" si="50"/>
        <v>#ERROR!</v>
      </c>
      <c r="M74" s="24" t="str">
        <f t="shared" si="50"/>
        <v>#ERROR!</v>
      </c>
      <c r="N74" s="24" t="str">
        <f t="shared" si="50"/>
        <v>#ERROR!</v>
      </c>
      <c r="O74" s="24" t="str">
        <f t="shared" si="50"/>
        <v>#ERROR!</v>
      </c>
      <c r="P74" s="24" t="str">
        <f t="shared" si="50"/>
        <v>#ERROR!</v>
      </c>
      <c r="Q74" s="24" t="str">
        <f t="shared" si="50"/>
        <v>#ERROR!</v>
      </c>
      <c r="R74" s="24" t="str">
        <f t="shared" si="50"/>
        <v>#ERROR!</v>
      </c>
      <c r="S74" s="24" t="str">
        <f t="shared" si="50"/>
        <v>#ERROR!</v>
      </c>
      <c r="T74" s="24" t="str">
        <f t="shared" si="50"/>
        <v>#ERROR!</v>
      </c>
      <c r="U74" s="24" t="str">
        <f t="shared" si="50"/>
        <v>#ERROR!</v>
      </c>
    </row>
    <row r="75" ht="15.75" customHeight="1">
      <c r="B75" s="38" t="s">
        <v>148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</row>
    <row r="76" ht="15.75" customHeight="1">
      <c r="B76" s="13" t="s">
        <v>149</v>
      </c>
      <c r="C76" t="s">
        <v>130</v>
      </c>
      <c r="D76" s="24">
        <f t="shared" ref="D76:U76" si="51">(1+(1.5*D37/(D4-D37)))*D65</f>
        <v>0.000001767388419</v>
      </c>
      <c r="E76" s="24">
        <f t="shared" si="51"/>
        <v>0.0002926914371</v>
      </c>
      <c r="F76" s="24">
        <f t="shared" si="51"/>
        <v>0.000580017316</v>
      </c>
      <c r="G76" s="24">
        <f t="shared" si="51"/>
        <v>0.0008672602853</v>
      </c>
      <c r="H76" s="24">
        <f t="shared" si="51"/>
        <v>0.001154482189</v>
      </c>
      <c r="I76" s="24">
        <f t="shared" si="51"/>
        <v>0.001441695614</v>
      </c>
      <c r="J76" s="24">
        <f t="shared" si="51"/>
        <v>0.001728904785</v>
      </c>
      <c r="K76" s="24">
        <f t="shared" si="51"/>
        <v>0.002016111519</v>
      </c>
      <c r="L76" s="24">
        <f t="shared" si="51"/>
        <v>0.002303316728</v>
      </c>
      <c r="M76" s="24">
        <f t="shared" si="51"/>
        <v>0.002590520919</v>
      </c>
      <c r="N76" s="24">
        <f t="shared" si="51"/>
        <v>0.002877724396</v>
      </c>
      <c r="O76" s="24">
        <f t="shared" si="51"/>
        <v>0.003452129925</v>
      </c>
      <c r="P76" s="24">
        <f t="shared" si="51"/>
        <v>0.004026534228</v>
      </c>
      <c r="Q76" s="24">
        <f t="shared" si="51"/>
        <v>0.004600937766</v>
      </c>
      <c r="R76" s="24">
        <f t="shared" si="51"/>
        <v>0.005175340793</v>
      </c>
      <c r="S76" s="24">
        <f t="shared" si="51"/>
        <v>0.005749743462</v>
      </c>
      <c r="T76" s="24">
        <f t="shared" si="51"/>
        <v>0.006324145871</v>
      </c>
      <c r="U76" s="24">
        <f t="shared" si="51"/>
        <v>0.006898548084</v>
      </c>
    </row>
    <row r="77" ht="15.75" customHeight="1">
      <c r="B77" s="13" t="s">
        <v>150</v>
      </c>
      <c r="C77" t="s">
        <v>130</v>
      </c>
      <c r="D77" s="24">
        <f t="shared" ref="D77:U77" si="52">D65</f>
        <v>0.000001723259065</v>
      </c>
      <c r="E77" s="24">
        <f t="shared" si="52"/>
        <v>0.0002853833187</v>
      </c>
      <c r="F77" s="24">
        <f t="shared" si="52"/>
        <v>0.00056553505</v>
      </c>
      <c r="G77" s="24">
        <f t="shared" si="52"/>
        <v>0.0008456059419</v>
      </c>
      <c r="H77" s="24">
        <f t="shared" si="52"/>
        <v>0.001125656295</v>
      </c>
      <c r="I77" s="24">
        <f t="shared" si="52"/>
        <v>0.00140569838</v>
      </c>
      <c r="J77" s="24">
        <f t="shared" si="52"/>
        <v>0.001685736317</v>
      </c>
      <c r="K77" s="24">
        <f t="shared" si="52"/>
        <v>0.001965771878</v>
      </c>
      <c r="L77" s="24">
        <f t="shared" si="52"/>
        <v>0.002245805952</v>
      </c>
      <c r="M77" s="24">
        <f t="shared" si="52"/>
        <v>0.002525839034</v>
      </c>
      <c r="N77" s="24">
        <f t="shared" si="52"/>
        <v>0.002805871421</v>
      </c>
      <c r="O77" s="24">
        <f t="shared" si="52"/>
        <v>0.003365934802</v>
      </c>
      <c r="P77" s="24">
        <f t="shared" si="52"/>
        <v>0.003925996989</v>
      </c>
      <c r="Q77" s="24">
        <f t="shared" si="52"/>
        <v>0.004486058429</v>
      </c>
      <c r="R77" s="24">
        <f t="shared" si="52"/>
        <v>0.005046119371</v>
      </c>
      <c r="S77" s="24">
        <f t="shared" si="52"/>
        <v>0.005606179965</v>
      </c>
      <c r="T77" s="24">
        <f t="shared" si="52"/>
        <v>0.006166240304</v>
      </c>
      <c r="U77" s="24">
        <f t="shared" si="52"/>
        <v>0.006726300453</v>
      </c>
    </row>
    <row r="78" ht="15.75" customHeight="1">
      <c r="B78" s="13" t="s">
        <v>151</v>
      </c>
      <c r="C78" t="s">
        <v>130</v>
      </c>
      <c r="D78" s="24">
        <f t="shared" ref="D78:U78" si="53">D76-D77</f>
        <v>0.00000004412935358</v>
      </c>
      <c r="E78" s="24">
        <f t="shared" si="53"/>
        <v>0.000007308118454</v>
      </c>
      <c r="F78" s="24">
        <f t="shared" si="53"/>
        <v>0.00001448226601</v>
      </c>
      <c r="G78" s="24">
        <f t="shared" si="53"/>
        <v>0.00002165434342</v>
      </c>
      <c r="H78" s="24">
        <f t="shared" si="53"/>
        <v>0.00002882589486</v>
      </c>
      <c r="I78" s="24">
        <f t="shared" si="53"/>
        <v>0.00003599723459</v>
      </c>
      <c r="J78" s="24">
        <f t="shared" si="53"/>
        <v>0.00004316846809</v>
      </c>
      <c r="K78" s="24">
        <f t="shared" si="53"/>
        <v>0.00005033964075</v>
      </c>
      <c r="L78" s="24">
        <f t="shared" si="53"/>
        <v>0.00005751077534</v>
      </c>
      <c r="M78" s="24">
        <f t="shared" si="53"/>
        <v>0.00006468188451</v>
      </c>
      <c r="N78" s="24">
        <f t="shared" si="53"/>
        <v>0.00007185297587</v>
      </c>
      <c r="O78" s="24">
        <f t="shared" si="53"/>
        <v>0.00008619512295</v>
      </c>
      <c r="P78" s="24">
        <f t="shared" si="53"/>
        <v>0.0001005372395</v>
      </c>
      <c r="Q78" s="24">
        <f t="shared" si="53"/>
        <v>0.0001148793368</v>
      </c>
      <c r="R78" s="24">
        <f t="shared" si="53"/>
        <v>0.0001292214215</v>
      </c>
      <c r="S78" s="24">
        <f t="shared" si="53"/>
        <v>0.0001435634972</v>
      </c>
      <c r="T78" s="24">
        <f t="shared" si="53"/>
        <v>0.0001579055664</v>
      </c>
      <c r="U78" s="24">
        <f t="shared" si="53"/>
        <v>0.0001722476307</v>
      </c>
    </row>
    <row r="79" ht="15.75" customHeight="1">
      <c r="B79" s="13" t="s">
        <v>152</v>
      </c>
      <c r="D79" s="34">
        <f t="shared" ref="D79:U79" si="54">D77/D76</f>
        <v>0.9750313213</v>
      </c>
      <c r="E79" s="34">
        <f t="shared" si="54"/>
        <v>0.9750313213</v>
      </c>
      <c r="F79" s="34">
        <f t="shared" si="54"/>
        <v>0.9750313213</v>
      </c>
      <c r="G79" s="34">
        <f t="shared" si="54"/>
        <v>0.9750313213</v>
      </c>
      <c r="H79" s="34">
        <f t="shared" si="54"/>
        <v>0.9750313213</v>
      </c>
      <c r="I79" s="34">
        <f t="shared" si="54"/>
        <v>0.9750313213</v>
      </c>
      <c r="J79" s="34">
        <f t="shared" si="54"/>
        <v>0.9750313213</v>
      </c>
      <c r="K79" s="34">
        <f t="shared" si="54"/>
        <v>0.9750313213</v>
      </c>
      <c r="L79" s="34">
        <f t="shared" si="54"/>
        <v>0.9750313213</v>
      </c>
      <c r="M79" s="34">
        <f t="shared" si="54"/>
        <v>0.9750313213</v>
      </c>
      <c r="N79" s="34">
        <f t="shared" si="54"/>
        <v>0.9750313213</v>
      </c>
      <c r="O79" s="34">
        <f t="shared" si="54"/>
        <v>0.9750313213</v>
      </c>
      <c r="P79" s="34">
        <f t="shared" si="54"/>
        <v>0.9750313213</v>
      </c>
      <c r="Q79" s="34">
        <f t="shared" si="54"/>
        <v>0.9750313213</v>
      </c>
      <c r="R79" s="34">
        <f t="shared" si="54"/>
        <v>0.9750313213</v>
      </c>
      <c r="S79" s="34">
        <f t="shared" si="54"/>
        <v>0.9750313213</v>
      </c>
      <c r="T79" s="34">
        <f t="shared" si="54"/>
        <v>0.9750313213</v>
      </c>
      <c r="U79" s="34">
        <f t="shared" si="54"/>
        <v>0.9750313213</v>
      </c>
    </row>
    <row r="80" ht="15.75" customHeight="1">
      <c r="B80" s="13" t="s">
        <v>153</v>
      </c>
      <c r="C80" t="s">
        <v>154</v>
      </c>
      <c r="D80" s="24">
        <v>18.01528</v>
      </c>
      <c r="E80" s="24">
        <v>18.01528</v>
      </c>
      <c r="F80" s="24">
        <v>19.01528</v>
      </c>
      <c r="G80" s="24">
        <v>20.01528</v>
      </c>
      <c r="H80" s="24">
        <v>21.01528</v>
      </c>
      <c r="I80" s="24">
        <v>22.01528</v>
      </c>
      <c r="J80" s="24">
        <v>23.01528</v>
      </c>
      <c r="K80" s="24">
        <v>24.01528</v>
      </c>
      <c r="L80" s="24">
        <v>25.01528</v>
      </c>
      <c r="M80" s="24">
        <v>26.01528</v>
      </c>
      <c r="N80" s="24">
        <v>27.01528</v>
      </c>
      <c r="O80" s="24">
        <v>27.01528</v>
      </c>
      <c r="P80" s="24">
        <v>28.01528</v>
      </c>
      <c r="Q80" s="24">
        <v>29.01528</v>
      </c>
      <c r="R80" s="24">
        <v>30.01528</v>
      </c>
      <c r="S80" s="24">
        <v>31.01528</v>
      </c>
      <c r="T80" s="24">
        <v>32.01528</v>
      </c>
      <c r="U80" s="24">
        <v>33.01528</v>
      </c>
    </row>
    <row r="81" ht="15.75" customHeight="1">
      <c r="B81" s="13" t="s">
        <v>149</v>
      </c>
      <c r="C81" t="s">
        <v>140</v>
      </c>
      <c r="D81" s="28">
        <f t="shared" ref="D81:U81" si="55">D76*D80*3600/1000</f>
        <v>0.00011462399</v>
      </c>
      <c r="E81" s="28">
        <f t="shared" si="55"/>
        <v>0.01898250549</v>
      </c>
      <c r="F81" s="28">
        <f t="shared" si="55"/>
        <v>0.03970509</v>
      </c>
      <c r="G81" s="28">
        <f t="shared" si="55"/>
        <v>0.0624904468</v>
      </c>
      <c r="H81" s="28">
        <f t="shared" si="55"/>
        <v>0.08734235928</v>
      </c>
      <c r="I81" s="28">
        <f t="shared" si="55"/>
        <v>0.1142615974</v>
      </c>
      <c r="J81" s="28">
        <f t="shared" si="55"/>
        <v>0.1432484198</v>
      </c>
      <c r="K81" s="28">
        <f t="shared" si="55"/>
        <v>0.1743029375</v>
      </c>
      <c r="L81" s="28">
        <f t="shared" si="55"/>
        <v>0.2074252063</v>
      </c>
      <c r="M81" s="28">
        <f t="shared" si="55"/>
        <v>0.2426152574</v>
      </c>
      <c r="N81" s="28">
        <f t="shared" si="55"/>
        <v>0.2798731092</v>
      </c>
      <c r="O81" s="28">
        <f t="shared" si="55"/>
        <v>0.3357369234</v>
      </c>
      <c r="P81" s="28">
        <f t="shared" si="55"/>
        <v>0.4060961418</v>
      </c>
      <c r="Q81" s="28">
        <f t="shared" si="55"/>
        <v>0.4805909912</v>
      </c>
      <c r="R81" s="28">
        <f t="shared" si="55"/>
        <v>0.5592214908</v>
      </c>
      <c r="S81" s="28">
        <f t="shared" si="55"/>
        <v>0.6419876522</v>
      </c>
      <c r="T81" s="28">
        <f t="shared" si="55"/>
        <v>0.7288894829</v>
      </c>
      <c r="U81" s="28">
        <f t="shared" si="55"/>
        <v>0.8199269877</v>
      </c>
    </row>
    <row r="82" ht="15.75" customHeight="1">
      <c r="B82" s="13" t="s">
        <v>155</v>
      </c>
      <c r="C82" t="s">
        <v>156</v>
      </c>
      <c r="D82" s="28">
        <f t="shared" ref="D82:U82" si="56">D84-D83</f>
        <v>0.8623542855</v>
      </c>
      <c r="E82" s="28">
        <f t="shared" si="56"/>
        <v>7.125787121</v>
      </c>
      <c r="F82" s="28">
        <f t="shared" si="56"/>
        <v>21.61362657</v>
      </c>
      <c r="G82" s="28">
        <f t="shared" si="56"/>
        <v>39.41691945</v>
      </c>
      <c r="H82" s="28">
        <f t="shared" si="56"/>
        <v>59.62075439</v>
      </c>
      <c r="I82" s="28">
        <f t="shared" si="56"/>
        <v>81.79731399</v>
      </c>
      <c r="J82" s="28">
        <f t="shared" si="56"/>
        <v>105.6985208</v>
      </c>
      <c r="K82" s="28">
        <f t="shared" si="56"/>
        <v>131.1634503</v>
      </c>
      <c r="L82" s="28">
        <f t="shared" si="56"/>
        <v>158.0801748</v>
      </c>
      <c r="M82" s="28">
        <f t="shared" si="56"/>
        <v>186.367064</v>
      </c>
      <c r="N82" s="28">
        <f t="shared" si="56"/>
        <v>215.9625215</v>
      </c>
      <c r="O82" s="28">
        <f t="shared" si="56"/>
        <v>278.8985268</v>
      </c>
      <c r="P82" s="28">
        <f t="shared" si="56"/>
        <v>346.6130229</v>
      </c>
      <c r="Q82" s="28">
        <f t="shared" si="56"/>
        <v>418.926802</v>
      </c>
      <c r="R82" s="28">
        <f t="shared" si="56"/>
        <v>495.7195258</v>
      </c>
      <c r="S82" s="28">
        <f t="shared" si="56"/>
        <v>576.9094475</v>
      </c>
      <c r="T82" s="28">
        <f t="shared" si="56"/>
        <v>662.441401</v>
      </c>
      <c r="U82" s="28">
        <f t="shared" si="56"/>
        <v>752.279244</v>
      </c>
    </row>
    <row r="83" ht="15.75" customHeight="1">
      <c r="B83" s="13" t="s">
        <v>158</v>
      </c>
      <c r="C83" t="s">
        <v>156</v>
      </c>
      <c r="D83" s="28">
        <f t="shared" ref="D83:U83" si="57">(D38*D9*D22)*D65</f>
        <v>0.498093323</v>
      </c>
      <c r="E83" s="28">
        <f t="shared" si="57"/>
        <v>82.48761223</v>
      </c>
      <c r="F83" s="28">
        <f t="shared" si="57"/>
        <v>163.4630788</v>
      </c>
      <c r="G83" s="28">
        <f t="shared" si="57"/>
        <v>244.4151794</v>
      </c>
      <c r="H83" s="28">
        <f t="shared" si="57"/>
        <v>325.3613434</v>
      </c>
      <c r="I83" s="28">
        <f t="shared" si="57"/>
        <v>406.3051176</v>
      </c>
      <c r="J83" s="28">
        <f t="shared" si="57"/>
        <v>487.2476929</v>
      </c>
      <c r="K83" s="28">
        <f t="shared" si="57"/>
        <v>568.1895815</v>
      </c>
      <c r="L83" s="28">
        <f t="shared" si="57"/>
        <v>649.1310403</v>
      </c>
      <c r="M83" s="28">
        <f t="shared" si="57"/>
        <v>730.0722123</v>
      </c>
      <c r="N83" s="28">
        <f t="shared" si="57"/>
        <v>811.0131832</v>
      </c>
      <c r="O83" s="28">
        <f t="shared" si="57"/>
        <v>972.8947229</v>
      </c>
      <c r="P83" s="28">
        <f t="shared" si="57"/>
        <v>1134.775917</v>
      </c>
      <c r="Q83" s="28">
        <f t="shared" si="57"/>
        <v>1296.656896</v>
      </c>
      <c r="R83" s="28">
        <f t="shared" si="57"/>
        <v>1458.537731</v>
      </c>
      <c r="S83" s="28">
        <f t="shared" si="57"/>
        <v>1620.418465</v>
      </c>
      <c r="T83" s="28">
        <f t="shared" si="57"/>
        <v>1782.299125</v>
      </c>
      <c r="U83" s="28">
        <f t="shared" si="57"/>
        <v>1944.17973</v>
      </c>
    </row>
    <row r="84" ht="15.75" customHeight="1">
      <c r="B84" s="13" t="s">
        <v>160</v>
      </c>
      <c r="C84" t="s">
        <v>156</v>
      </c>
      <c r="D84" s="28">
        <f t="shared" ref="D84:U84" si="58">D53*D13</f>
        <v>1.360447609</v>
      </c>
      <c r="E84" s="28">
        <f t="shared" si="58"/>
        <v>89.61339935</v>
      </c>
      <c r="F84" s="28">
        <f t="shared" si="58"/>
        <v>185.0767054</v>
      </c>
      <c r="G84" s="28">
        <f t="shared" si="58"/>
        <v>283.8320989</v>
      </c>
      <c r="H84" s="28">
        <f t="shared" si="58"/>
        <v>384.9820977</v>
      </c>
      <c r="I84" s="28">
        <f t="shared" si="58"/>
        <v>488.1024316</v>
      </c>
      <c r="J84" s="28">
        <f t="shared" si="58"/>
        <v>592.9462137</v>
      </c>
      <c r="K84" s="28">
        <f t="shared" si="58"/>
        <v>699.3530318</v>
      </c>
      <c r="L84" s="28">
        <f t="shared" si="58"/>
        <v>807.2112152</v>
      </c>
      <c r="M84" s="28">
        <f t="shared" si="58"/>
        <v>916.4392762</v>
      </c>
      <c r="N84" s="28">
        <f t="shared" si="58"/>
        <v>1026.975705</v>
      </c>
      <c r="O84" s="28">
        <f t="shared" si="58"/>
        <v>1251.79325</v>
      </c>
      <c r="P84" s="28">
        <f t="shared" si="58"/>
        <v>1481.38894</v>
      </c>
      <c r="Q84" s="28">
        <f t="shared" si="58"/>
        <v>1715.583698</v>
      </c>
      <c r="R84" s="28">
        <f t="shared" si="58"/>
        <v>1954.257257</v>
      </c>
      <c r="S84" s="28">
        <f t="shared" si="58"/>
        <v>2197.327912</v>
      </c>
      <c r="T84" s="28">
        <f t="shared" si="58"/>
        <v>2444.740526</v>
      </c>
      <c r="U84" s="28">
        <f t="shared" si="58"/>
        <v>2696.458974</v>
      </c>
    </row>
    <row r="85" ht="15.75" customHeight="1">
      <c r="B85" s="13" t="s">
        <v>223</v>
      </c>
      <c r="D85" s="34">
        <f t="shared" ref="D85:U85" si="59">(D65*D28)/D84</f>
        <v>0.3602950887</v>
      </c>
      <c r="E85" s="34">
        <f t="shared" si="59"/>
        <v>0.9058269217</v>
      </c>
      <c r="F85" s="34">
        <f t="shared" si="59"/>
        <v>0.8691552512</v>
      </c>
      <c r="G85" s="34">
        <f t="shared" si="59"/>
        <v>0.8474149262</v>
      </c>
      <c r="H85" s="34">
        <f t="shared" si="59"/>
        <v>0.8316773263</v>
      </c>
      <c r="I85" s="34">
        <f t="shared" si="59"/>
        <v>0.8191638246</v>
      </c>
      <c r="J85" s="34">
        <f t="shared" si="59"/>
        <v>0.8086562267</v>
      </c>
      <c r="K85" s="34">
        <f t="shared" si="59"/>
        <v>0.7995143221</v>
      </c>
      <c r="L85" s="34">
        <f t="shared" si="59"/>
        <v>0.7913609815</v>
      </c>
      <c r="M85" s="34">
        <f t="shared" si="59"/>
        <v>0.7839557843</v>
      </c>
      <c r="N85" s="34">
        <f t="shared" si="59"/>
        <v>0.7771362869</v>
      </c>
      <c r="O85" s="34">
        <f t="shared" si="59"/>
        <v>0.7648260756</v>
      </c>
      <c r="P85" s="34">
        <f t="shared" si="59"/>
        <v>0.7538248609</v>
      </c>
      <c r="Q85" s="34">
        <f t="shared" si="59"/>
        <v>0.7437767647</v>
      </c>
      <c r="R85" s="34">
        <f t="shared" si="59"/>
        <v>0.7344553163</v>
      </c>
      <c r="S85" s="34">
        <f t="shared" si="59"/>
        <v>0.7257077392</v>
      </c>
      <c r="T85" s="34">
        <f t="shared" si="59"/>
        <v>0.7174262545</v>
      </c>
      <c r="U85" s="34">
        <f t="shared" si="59"/>
        <v>0.7095320828</v>
      </c>
    </row>
    <row r="86" ht="15.75" customHeight="1">
      <c r="B86" s="13" t="s">
        <v>224</v>
      </c>
      <c r="D86" s="34">
        <f t="shared" ref="D86:U86" si="60">(D38/(D38+D53-D29))</f>
        <v>1.009445587</v>
      </c>
      <c r="E86" s="34">
        <f t="shared" si="60"/>
        <v>0.812084845</v>
      </c>
      <c r="F86" s="34">
        <f t="shared" si="60"/>
        <v>0.7830175087</v>
      </c>
      <c r="G86" s="34">
        <f t="shared" si="60"/>
        <v>0.7658245557</v>
      </c>
      <c r="H86" s="34">
        <f t="shared" si="60"/>
        <v>0.7533411884</v>
      </c>
      <c r="I86" s="34">
        <f t="shared" si="60"/>
        <v>0.743383197</v>
      </c>
      <c r="J86" s="34">
        <f t="shared" si="60"/>
        <v>0.7349966817</v>
      </c>
      <c r="K86" s="34">
        <f t="shared" si="60"/>
        <v>0.7276806381</v>
      </c>
      <c r="L86" s="34">
        <f t="shared" si="60"/>
        <v>0.7211398376</v>
      </c>
      <c r="M86" s="34">
        <f t="shared" si="60"/>
        <v>0.7151859478</v>
      </c>
      <c r="N86" s="34">
        <f t="shared" si="60"/>
        <v>0.7096916248</v>
      </c>
      <c r="O86" s="34">
        <f t="shared" si="60"/>
        <v>0.6997456218</v>
      </c>
      <c r="P86" s="34">
        <f t="shared" si="60"/>
        <v>0.6908264247</v>
      </c>
      <c r="Q86" s="34">
        <f t="shared" si="60"/>
        <v>0.6826542918</v>
      </c>
      <c r="R86" s="34">
        <f t="shared" si="60"/>
        <v>0.6750510498</v>
      </c>
      <c r="S86" s="34">
        <f t="shared" si="60"/>
        <v>0.6678964331</v>
      </c>
      <c r="T86" s="34">
        <f t="shared" si="60"/>
        <v>0.6611055701</v>
      </c>
      <c r="U86" s="34">
        <f t="shared" si="60"/>
        <v>0.6546164193</v>
      </c>
    </row>
    <row r="87" ht="15.75" customHeight="1">
      <c r="B87" s="13" t="s">
        <v>225</v>
      </c>
      <c r="D87" s="34">
        <f t="shared" ref="D87:U87" si="61">D29/D53</f>
        <v>1.0113325</v>
      </c>
      <c r="E87" s="34">
        <f t="shared" si="61"/>
        <v>0.7830202788</v>
      </c>
      <c r="F87" s="34">
        <f t="shared" si="61"/>
        <v>0.7508365395</v>
      </c>
      <c r="G87" s="34">
        <f t="shared" si="61"/>
        <v>0.7319665319</v>
      </c>
      <c r="H87" s="34">
        <f t="shared" si="61"/>
        <v>0.7183420807</v>
      </c>
      <c r="I87" s="34">
        <f t="shared" si="61"/>
        <v>0.7075196984</v>
      </c>
      <c r="J87" s="34">
        <f t="shared" si="61"/>
        <v>0.6984365861</v>
      </c>
      <c r="K87" s="34">
        <f t="shared" si="61"/>
        <v>0.6905361832</v>
      </c>
      <c r="L87" s="34">
        <f t="shared" si="61"/>
        <v>0.6834912684</v>
      </c>
      <c r="M87" s="34">
        <f t="shared" si="61"/>
        <v>0.6770934829</v>
      </c>
      <c r="N87" s="34">
        <f t="shared" si="61"/>
        <v>0.6712021543</v>
      </c>
      <c r="O87" s="34">
        <f t="shared" si="61"/>
        <v>0.6605681839</v>
      </c>
      <c r="P87" s="34">
        <f t="shared" si="61"/>
        <v>0.6510655342</v>
      </c>
      <c r="Q87" s="34">
        <f t="shared" si="61"/>
        <v>0.6423864782</v>
      </c>
      <c r="R87" s="34">
        <f t="shared" si="61"/>
        <v>0.6343352462</v>
      </c>
      <c r="S87" s="34">
        <f t="shared" si="61"/>
        <v>0.6267797986</v>
      </c>
      <c r="T87" s="34">
        <f t="shared" si="61"/>
        <v>0.6196269985</v>
      </c>
      <c r="U87" s="34">
        <f t="shared" si="61"/>
        <v>0.6128087755</v>
      </c>
    </row>
    <row r="88" ht="15.75" customHeight="1">
      <c r="B88" s="13" t="s">
        <v>226</v>
      </c>
      <c r="D88" s="34">
        <f t="shared" ref="D88:U88" si="62">D38/D53</f>
        <v>1.211099153</v>
      </c>
      <c r="E88" s="34">
        <f t="shared" si="62"/>
        <v>0.9376888376</v>
      </c>
      <c r="F88" s="34">
        <f t="shared" si="62"/>
        <v>0.8991479034</v>
      </c>
      <c r="G88" s="34">
        <f t="shared" si="62"/>
        <v>0.8765505378</v>
      </c>
      <c r="H88" s="34">
        <f t="shared" si="62"/>
        <v>0.8602348737</v>
      </c>
      <c r="I88" s="34">
        <f t="shared" si="62"/>
        <v>0.8472747661</v>
      </c>
      <c r="J88" s="34">
        <f t="shared" si="62"/>
        <v>0.8363974834</v>
      </c>
      <c r="K88" s="34">
        <f t="shared" si="62"/>
        <v>0.8269365283</v>
      </c>
      <c r="L88" s="34">
        <f t="shared" si="62"/>
        <v>0.8185000445</v>
      </c>
      <c r="M88" s="34">
        <f t="shared" si="62"/>
        <v>0.8108385161</v>
      </c>
      <c r="N88" s="34">
        <f t="shared" si="62"/>
        <v>0.8037834842</v>
      </c>
      <c r="O88" s="34">
        <f t="shared" si="62"/>
        <v>0.7910490052</v>
      </c>
      <c r="P88" s="34">
        <f t="shared" si="62"/>
        <v>0.7796693144</v>
      </c>
      <c r="Q88" s="34">
        <f t="shared" si="62"/>
        <v>0.7692759004</v>
      </c>
      <c r="R88" s="34">
        <f t="shared" si="62"/>
        <v>0.7596343234</v>
      </c>
      <c r="S88" s="34">
        <f t="shared" si="62"/>
        <v>0.750586462</v>
      </c>
      <c r="T88" s="34">
        <f t="shared" si="62"/>
        <v>0.7420207825</v>
      </c>
      <c r="U88" s="34">
        <f t="shared" si="62"/>
        <v>0.7338557684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