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trlProps/ctrlProp7.xml" ContentType="application/vnd.ms-excel.controlproperties+xml"/>
  <Override PartName="/xl/comments4.xml" ContentType="application/vnd.openxmlformats-officedocument.spreadsheetml.comments+xml"/>
  <Override PartName="/xl/drawings/drawing9.xml" ContentType="application/vnd.openxmlformats-officedocument.drawing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bounthavong\Dropbox\Projects\CUA Academic Detailing and Naloxone\Markov model\Model v7\"/>
    </mc:Choice>
  </mc:AlternateContent>
  <xr:revisionPtr revIDLastSave="0" documentId="13_ncr:1_{D7301D75-642F-4369-8E69-CBAC59BDC2D2}" xr6:coauthVersionLast="47" xr6:coauthVersionMax="47" xr10:uidLastSave="{00000000-0000-0000-0000-000000000000}"/>
  <bookViews>
    <workbookView xWindow="3180" yWindow="2415" windowWidth="22830" windowHeight="17400" activeTab="1" xr2:uid="{00000000-000D-0000-FFFF-FFFF00000000}"/>
  </bookViews>
  <sheets>
    <sheet name="(1)_Summary_Data" sheetId="1" r:id="rId1"/>
    <sheet name="(2a)_Curve_Data" sheetId="3" r:id="rId2"/>
    <sheet name="(2b)_Curve_Copy" sheetId="4" r:id="rId3"/>
    <sheet name="(3a)_Curve_Data_with_n(risk)" sheetId="5" r:id="rId4"/>
    <sheet name="(3b)_Curve_Copy" sheetId="6" r:id="rId5"/>
    <sheet name="(4)_Output_Information" sheetId="2" r:id="rId6"/>
    <sheet name="WorkSummary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R7" i="1"/>
  <c r="S7" i="1"/>
  <c r="T7" i="1"/>
  <c r="W22" i="1"/>
  <c r="X22" i="1"/>
  <c r="E10" i="1"/>
  <c r="T18" i="1"/>
  <c r="R18" i="1"/>
  <c r="W18" i="1" s="1"/>
  <c r="S18" i="1"/>
  <c r="S19" i="1"/>
  <c r="R19" i="1"/>
  <c r="R16" i="1"/>
  <c r="S16" i="1"/>
  <c r="I33" i="1"/>
  <c r="I25" i="1"/>
  <c r="R17" i="1"/>
  <c r="W19" i="1" s="1"/>
  <c r="S17" i="1"/>
  <c r="S10" i="1"/>
  <c r="I34" i="1"/>
  <c r="D7" i="1"/>
  <c r="D8" i="1"/>
  <c r="D9" i="1"/>
  <c r="S15" i="1"/>
  <c r="R15" i="1"/>
  <c r="T15" i="1"/>
  <c r="T10" i="1"/>
  <c r="Q7" i="1"/>
  <c r="Q8" i="1"/>
  <c r="Q9" i="1"/>
  <c r="W11" i="1"/>
  <c r="X11" i="1"/>
  <c r="G7" i="2"/>
  <c r="H2" i="1"/>
  <c r="I31" i="1"/>
  <c r="X20" i="1"/>
  <c r="W13" i="1"/>
  <c r="X13" i="1"/>
  <c r="W10" i="1"/>
  <c r="X10" i="1"/>
  <c r="W9" i="1"/>
  <c r="X9" i="1"/>
  <c r="I26" i="1"/>
  <c r="I24" i="1"/>
  <c r="T11" i="1"/>
  <c r="Y9" i="1"/>
  <c r="Y10" i="1"/>
  <c r="Y11" i="1"/>
  <c r="Y12" i="1"/>
  <c r="Y13" i="1"/>
  <c r="Y20" i="1"/>
  <c r="Y19" i="1"/>
  <c r="Y18" i="1"/>
  <c r="Y17" i="1"/>
  <c r="Y16" i="1"/>
  <c r="Y15" i="1"/>
  <c r="Y14" i="1"/>
  <c r="I16" i="3"/>
  <c r="D16" i="3"/>
  <c r="M6" i="3"/>
  <c r="H20" i="3"/>
  <c r="F20" i="3"/>
  <c r="H28" i="3"/>
  <c r="H29" i="3"/>
  <c r="H30" i="3"/>
  <c r="H31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M20" i="3"/>
  <c r="K20" i="3" s="1"/>
  <c r="L20" i="3"/>
  <c r="J21" i="3"/>
  <c r="M21" i="3"/>
  <c r="L21" i="3"/>
  <c r="J22" i="3"/>
  <c r="M22" i="3"/>
  <c r="L22" i="3"/>
  <c r="J23" i="3"/>
  <c r="M23" i="3"/>
  <c r="L23" i="3"/>
  <c r="J24" i="3"/>
  <c r="M24" i="3"/>
  <c r="L24" i="3"/>
  <c r="J25" i="3"/>
  <c r="M25" i="3"/>
  <c r="L25" i="3"/>
  <c r="J26" i="3"/>
  <c r="M26" i="3"/>
  <c r="L26" i="3"/>
  <c r="J27" i="3"/>
  <c r="M27" i="3"/>
  <c r="L27" i="3"/>
  <c r="J28" i="3"/>
  <c r="M28" i="3"/>
  <c r="L28" i="3"/>
  <c r="J29" i="3"/>
  <c r="M29" i="3"/>
  <c r="L29" i="3"/>
  <c r="J30" i="3"/>
  <c r="M30" i="3"/>
  <c r="L30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5" i="3"/>
  <c r="G34" i="3"/>
  <c r="L2" i="3"/>
  <c r="F6" i="3"/>
  <c r="A38" i="3"/>
  <c r="J31" i="3"/>
  <c r="M31" i="3"/>
  <c r="J32" i="3"/>
  <c r="M32" i="3"/>
  <c r="J33" i="3"/>
  <c r="M33" i="3"/>
  <c r="J34" i="3"/>
  <c r="M34" i="3"/>
  <c r="J35" i="3"/>
  <c r="M35" i="3"/>
  <c r="J36" i="3"/>
  <c r="M36" i="3"/>
  <c r="J37" i="3"/>
  <c r="M37" i="3"/>
  <c r="J38" i="3"/>
  <c r="M38" i="3"/>
  <c r="J39" i="3"/>
  <c r="M39" i="3"/>
  <c r="J40" i="3"/>
  <c r="M40" i="3"/>
  <c r="J41" i="3"/>
  <c r="M41" i="3"/>
  <c r="K41" i="3" s="1"/>
  <c r="J42" i="3"/>
  <c r="M42" i="3"/>
  <c r="J43" i="3"/>
  <c r="M43" i="3"/>
  <c r="J44" i="3"/>
  <c r="M44" i="3"/>
  <c r="J45" i="3"/>
  <c r="M45" i="3"/>
  <c r="J46" i="3"/>
  <c r="M46" i="3"/>
  <c r="K46" i="3" s="1"/>
  <c r="J47" i="3"/>
  <c r="M47" i="3"/>
  <c r="J48" i="3"/>
  <c r="M48" i="3"/>
  <c r="J49" i="3"/>
  <c r="M49" i="3"/>
  <c r="J50" i="3"/>
  <c r="M50" i="3"/>
  <c r="J51" i="3"/>
  <c r="M51" i="3"/>
  <c r="J52" i="3"/>
  <c r="M52" i="3"/>
  <c r="M53" i="3"/>
  <c r="H53" i="3"/>
  <c r="H32" i="3"/>
  <c r="H33" i="3"/>
  <c r="H34" i="3"/>
  <c r="H35" i="3"/>
  <c r="H36" i="3"/>
  <c r="H37" i="3"/>
  <c r="E38" i="3"/>
  <c r="H38" i="3"/>
  <c r="E39" i="3"/>
  <c r="H39" i="3"/>
  <c r="E40" i="3"/>
  <c r="H40" i="3"/>
  <c r="E41" i="3"/>
  <c r="H41" i="3"/>
  <c r="E42" i="3"/>
  <c r="H42" i="3"/>
  <c r="E43" i="3"/>
  <c r="H43" i="3"/>
  <c r="E44" i="3"/>
  <c r="H44" i="3"/>
  <c r="E45" i="3"/>
  <c r="H45" i="3"/>
  <c r="E46" i="3"/>
  <c r="H46" i="3"/>
  <c r="F46" i="3" s="1"/>
  <c r="E47" i="3"/>
  <c r="H47" i="3"/>
  <c r="E48" i="3"/>
  <c r="H48" i="3"/>
  <c r="E49" i="3"/>
  <c r="H49" i="3"/>
  <c r="E50" i="3"/>
  <c r="H50" i="3"/>
  <c r="E51" i="3"/>
  <c r="H51" i="3"/>
  <c r="E52" i="3"/>
  <c r="H52" i="3"/>
  <c r="J53" i="3"/>
  <c r="K53" i="3" s="1"/>
  <c r="E53" i="3"/>
  <c r="F53" i="3" s="1"/>
  <c r="AC53" i="3" s="1"/>
  <c r="B20" i="3"/>
  <c r="B2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7" i="3"/>
  <c r="A35" i="3"/>
  <c r="A34" i="3"/>
  <c r="A33" i="3"/>
  <c r="A32" i="3"/>
  <c r="A31" i="3"/>
  <c r="A30" i="3"/>
  <c r="A29" i="3"/>
  <c r="A36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34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20" i="3"/>
  <c r="AA16" i="5"/>
  <c r="AA17" i="5"/>
  <c r="AA40" i="5"/>
  <c r="AA39" i="5"/>
  <c r="AA38" i="5"/>
  <c r="AA37" i="5"/>
  <c r="AA36" i="5"/>
  <c r="AA35" i="5"/>
  <c r="AA34" i="5"/>
  <c r="AA33" i="5"/>
  <c r="AA32" i="5"/>
  <c r="AA31" i="5"/>
  <c r="AA30" i="5"/>
  <c r="AA29" i="5"/>
  <c r="AA28" i="5"/>
  <c r="AA27" i="5"/>
  <c r="AA26" i="5"/>
  <c r="AA25" i="5"/>
  <c r="AA24" i="5"/>
  <c r="AA23" i="5"/>
  <c r="AA22" i="5"/>
  <c r="AA21" i="5"/>
  <c r="AA20" i="5"/>
  <c r="AA19" i="5"/>
  <c r="AA18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0" i="5"/>
  <c r="A19" i="5"/>
  <c r="A18" i="5"/>
  <c r="A17" i="5"/>
  <c r="A21" i="5"/>
  <c r="I12" i="5"/>
  <c r="D12" i="5"/>
  <c r="B2" i="5"/>
  <c r="G40" i="5"/>
  <c r="H40" i="5"/>
  <c r="Y40" i="5"/>
  <c r="L40" i="5"/>
  <c r="K40" i="5"/>
  <c r="F40" i="5"/>
  <c r="X40" i="5"/>
  <c r="M40" i="5"/>
  <c r="B40" i="5"/>
  <c r="L16" i="5"/>
  <c r="K16" i="5"/>
  <c r="G16" i="5"/>
  <c r="F16" i="5"/>
  <c r="L17" i="5"/>
  <c r="K17" i="5"/>
  <c r="G17" i="5"/>
  <c r="H17" i="5"/>
  <c r="Y17" i="5"/>
  <c r="F17" i="5"/>
  <c r="L18" i="5"/>
  <c r="K18" i="5"/>
  <c r="G18" i="5"/>
  <c r="F18" i="5"/>
  <c r="W18" i="5"/>
  <c r="L19" i="5"/>
  <c r="K19" i="5"/>
  <c r="G19" i="5"/>
  <c r="F19" i="5"/>
  <c r="W19" i="5"/>
  <c r="N19" i="5"/>
  <c r="R19" i="5"/>
  <c r="L20" i="5"/>
  <c r="G20" i="5"/>
  <c r="X20" i="5"/>
  <c r="K20" i="5"/>
  <c r="F20" i="5"/>
  <c r="L21" i="5"/>
  <c r="K21" i="5"/>
  <c r="G21" i="5"/>
  <c r="F21" i="5"/>
  <c r="L22" i="5"/>
  <c r="K22" i="5"/>
  <c r="G22" i="5"/>
  <c r="F22" i="5"/>
  <c r="L23" i="5"/>
  <c r="K23" i="5"/>
  <c r="G23" i="5"/>
  <c r="F23" i="5"/>
  <c r="L24" i="5"/>
  <c r="K24" i="5"/>
  <c r="G24" i="5"/>
  <c r="F24" i="5"/>
  <c r="L25" i="5"/>
  <c r="K25" i="5"/>
  <c r="G25" i="5"/>
  <c r="F25" i="5"/>
  <c r="W25" i="5"/>
  <c r="L26" i="5"/>
  <c r="K26" i="5"/>
  <c r="G26" i="5"/>
  <c r="F26" i="5"/>
  <c r="W26" i="5"/>
  <c r="L27" i="5"/>
  <c r="K27" i="5"/>
  <c r="G27" i="5"/>
  <c r="F27" i="5"/>
  <c r="W27" i="5"/>
  <c r="O27" i="5"/>
  <c r="L28" i="5"/>
  <c r="G28" i="5"/>
  <c r="K28" i="5"/>
  <c r="F28" i="5"/>
  <c r="W28" i="5"/>
  <c r="N28" i="5"/>
  <c r="X28" i="5"/>
  <c r="O28" i="5"/>
  <c r="G29" i="5"/>
  <c r="L29" i="5"/>
  <c r="K29" i="5"/>
  <c r="F29" i="5"/>
  <c r="G30" i="5"/>
  <c r="L30" i="5"/>
  <c r="K30" i="5"/>
  <c r="F30" i="5"/>
  <c r="G31" i="5"/>
  <c r="L31" i="5"/>
  <c r="K31" i="5"/>
  <c r="F31" i="5"/>
  <c r="W31" i="5"/>
  <c r="N31" i="5"/>
  <c r="R31" i="5"/>
  <c r="O31" i="5"/>
  <c r="G32" i="5"/>
  <c r="L32" i="5"/>
  <c r="K32" i="5"/>
  <c r="F32" i="5"/>
  <c r="G33" i="5"/>
  <c r="L33" i="5"/>
  <c r="M33" i="5"/>
  <c r="Z33" i="5"/>
  <c r="K33" i="5"/>
  <c r="F33" i="5"/>
  <c r="G34" i="5"/>
  <c r="L34" i="5"/>
  <c r="K34" i="5"/>
  <c r="F34" i="5"/>
  <c r="G35" i="5"/>
  <c r="L35" i="5"/>
  <c r="M35" i="5"/>
  <c r="Z35" i="5"/>
  <c r="K35" i="5"/>
  <c r="F35" i="5"/>
  <c r="W35" i="5"/>
  <c r="O35" i="5"/>
  <c r="G36" i="5"/>
  <c r="L36" i="5"/>
  <c r="X36" i="5"/>
  <c r="K36" i="5"/>
  <c r="F36" i="5"/>
  <c r="G37" i="5"/>
  <c r="L37" i="5"/>
  <c r="K37" i="5"/>
  <c r="F37" i="5"/>
  <c r="G38" i="5"/>
  <c r="L38" i="5"/>
  <c r="X38" i="5"/>
  <c r="K38" i="5"/>
  <c r="F38" i="5"/>
  <c r="W38" i="5"/>
  <c r="G39" i="5"/>
  <c r="L39" i="5"/>
  <c r="K39" i="5"/>
  <c r="F39" i="5"/>
  <c r="W39" i="5"/>
  <c r="P28" i="5"/>
  <c r="P31" i="5"/>
  <c r="X16" i="5"/>
  <c r="X18" i="5"/>
  <c r="X19" i="5"/>
  <c r="X24" i="5"/>
  <c r="X25" i="5"/>
  <c r="X26" i="5"/>
  <c r="X27" i="5"/>
  <c r="X31" i="5"/>
  <c r="X32" i="5"/>
  <c r="X33" i="5"/>
  <c r="X34" i="5"/>
  <c r="X35" i="5"/>
  <c r="X39" i="5"/>
  <c r="M16" i="5"/>
  <c r="M17" i="5"/>
  <c r="Z17" i="5"/>
  <c r="M18" i="5"/>
  <c r="Z18" i="5"/>
  <c r="M19" i="5"/>
  <c r="Z19" i="5"/>
  <c r="M20" i="5"/>
  <c r="M21" i="5"/>
  <c r="M22" i="5"/>
  <c r="M23" i="5"/>
  <c r="M24" i="5"/>
  <c r="Z24" i="5"/>
  <c r="M25" i="5"/>
  <c r="Z25" i="5"/>
  <c r="M26" i="5"/>
  <c r="Z26" i="5"/>
  <c r="M27" i="5"/>
  <c r="Z27" i="5"/>
  <c r="M28" i="5"/>
  <c r="M29" i="5"/>
  <c r="M30" i="5"/>
  <c r="M31" i="5"/>
  <c r="M32" i="5"/>
  <c r="Z32" i="5"/>
  <c r="M34" i="5"/>
  <c r="M36" i="5"/>
  <c r="M37" i="5"/>
  <c r="M38" i="5"/>
  <c r="M39" i="5"/>
  <c r="H16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Y31" i="5"/>
  <c r="H32" i="5"/>
  <c r="H33" i="5"/>
  <c r="H34" i="5"/>
  <c r="H35" i="5"/>
  <c r="H36" i="5"/>
  <c r="H37" i="5"/>
  <c r="H38" i="5"/>
  <c r="H39" i="5"/>
  <c r="Y39" i="5"/>
  <c r="H13" i="5"/>
  <c r="N35" i="5"/>
  <c r="R35" i="5"/>
  <c r="Q31" i="5"/>
  <c r="Q28" i="5"/>
  <c r="Z39" i="5"/>
  <c r="Z38" i="5"/>
  <c r="Z37" i="5"/>
  <c r="Z36" i="5"/>
  <c r="Z31" i="5"/>
  <c r="Z29" i="5"/>
  <c r="Z28" i="5"/>
  <c r="Z23" i="5"/>
  <c r="Z22" i="5"/>
  <c r="Z21" i="5"/>
  <c r="Z20" i="5"/>
  <c r="Y38" i="5"/>
  <c r="Y36" i="5"/>
  <c r="Y35" i="5"/>
  <c r="Y34" i="5"/>
  <c r="Y30" i="5"/>
  <c r="Y29" i="5"/>
  <c r="Y28" i="5"/>
  <c r="Y27" i="5"/>
  <c r="Y26" i="5"/>
  <c r="Y22" i="5"/>
  <c r="Y21" i="5"/>
  <c r="Y20" i="5"/>
  <c r="Y19" i="5"/>
  <c r="Y18" i="5"/>
  <c r="R28" i="5"/>
  <c r="J2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C11" i="2"/>
  <c r="C10" i="2"/>
  <c r="H9" i="2"/>
  <c r="H12" i="2"/>
  <c r="G9" i="2"/>
  <c r="G12" i="2"/>
  <c r="F9" i="2"/>
  <c r="F12" i="2"/>
  <c r="E9" i="2"/>
  <c r="E12" i="2"/>
  <c r="C9" i="2"/>
  <c r="C12" i="2"/>
  <c r="E14" i="2"/>
  <c r="H18" i="2"/>
  <c r="H17" i="2"/>
  <c r="H13" i="2"/>
  <c r="G14" i="2"/>
  <c r="G13" i="2"/>
  <c r="G10" i="2"/>
  <c r="F14" i="2"/>
  <c r="F13" i="2"/>
  <c r="F11" i="2"/>
  <c r="E13" i="2"/>
  <c r="E11" i="2"/>
  <c r="C15" i="2"/>
  <c r="E15" i="2"/>
  <c r="F15" i="2"/>
  <c r="G15" i="2"/>
  <c r="H14" i="2"/>
  <c r="H15" i="2"/>
  <c r="C14" i="2"/>
  <c r="C27" i="2"/>
  <c r="B18" i="2"/>
  <c r="Q18" i="2"/>
  <c r="B17" i="2"/>
  <c r="C26" i="2"/>
  <c r="Q13" i="2"/>
  <c r="B2" i="2"/>
  <c r="P2" i="2"/>
  <c r="Q25" i="2"/>
  <c r="Q24" i="2"/>
  <c r="Q23" i="2"/>
  <c r="Q22" i="2"/>
  <c r="Q21" i="2"/>
  <c r="Q20" i="2"/>
  <c r="Q19" i="2"/>
  <c r="Q17" i="2"/>
  <c r="Q15" i="2"/>
  <c r="Q14" i="2"/>
  <c r="Q9" i="2"/>
  <c r="C25" i="2"/>
  <c r="C24" i="2"/>
  <c r="C22" i="2"/>
  <c r="C23" i="2"/>
  <c r="C21" i="2"/>
  <c r="C20" i="2"/>
  <c r="C19" i="2"/>
  <c r="C18" i="2"/>
  <c r="C17" i="2"/>
  <c r="F7" i="2"/>
  <c r="H7" i="2"/>
  <c r="E7" i="2"/>
  <c r="I32" i="1"/>
  <c r="O38" i="5"/>
  <c r="N38" i="5"/>
  <c r="R38" i="5"/>
  <c r="P38" i="5"/>
  <c r="N39" i="5"/>
  <c r="R39" i="5"/>
  <c r="P39" i="5"/>
  <c r="O39" i="5"/>
  <c r="O18" i="5"/>
  <c r="N18" i="5"/>
  <c r="Q18" i="5"/>
  <c r="P18" i="5"/>
  <c r="R18" i="5"/>
  <c r="O26" i="5"/>
  <c r="P26" i="5"/>
  <c r="G11" i="2"/>
  <c r="M13" i="5"/>
  <c r="W34" i="5"/>
  <c r="Z34" i="5"/>
  <c r="W29" i="5"/>
  <c r="X29" i="5"/>
  <c r="P27" i="5"/>
  <c r="X21" i="5"/>
  <c r="W21" i="5"/>
  <c r="F10" i="2"/>
  <c r="E10" i="2"/>
  <c r="Q35" i="5"/>
  <c r="P35" i="5"/>
  <c r="W24" i="5"/>
  <c r="Y24" i="5"/>
  <c r="W22" i="5"/>
  <c r="Q19" i="5"/>
  <c r="P19" i="5"/>
  <c r="W17" i="1"/>
  <c r="W14" i="1"/>
  <c r="W37" i="5"/>
  <c r="X37" i="5"/>
  <c r="Y32" i="5"/>
  <c r="W16" i="5"/>
  <c r="H10" i="2"/>
  <c r="H11" i="2"/>
  <c r="W30" i="5"/>
  <c r="X30" i="5"/>
  <c r="N25" i="5"/>
  <c r="R25" i="5"/>
  <c r="O25" i="5"/>
  <c r="P25" i="5"/>
  <c r="Q25" i="5"/>
  <c r="W17" i="5"/>
  <c r="W40" i="5"/>
  <c r="Z40" i="5"/>
  <c r="G13" i="5"/>
  <c r="X17" i="5"/>
  <c r="W33" i="5"/>
  <c r="Y33" i="5"/>
  <c r="N26" i="5"/>
  <c r="R26" i="5"/>
  <c r="Y25" i="5"/>
  <c r="W23" i="5"/>
  <c r="X23" i="5"/>
  <c r="Y23" i="5"/>
  <c r="Y37" i="5"/>
  <c r="Z30" i="5"/>
  <c r="L13" i="5"/>
  <c r="N27" i="5"/>
  <c r="R27" i="5"/>
  <c r="O19" i="5"/>
  <c r="I29" i="1"/>
  <c r="I30" i="1"/>
  <c r="W12" i="1"/>
  <c r="D9" i="2" s="1"/>
  <c r="W36" i="5"/>
  <c r="W32" i="5"/>
  <c r="W20" i="5"/>
  <c r="X22" i="5"/>
  <c r="W16" i="1"/>
  <c r="K25" i="2" s="1"/>
  <c r="N37" i="5"/>
  <c r="R37" i="5"/>
  <c r="O37" i="5"/>
  <c r="P37" i="5"/>
  <c r="N22" i="5"/>
  <c r="R22" i="5"/>
  <c r="O22" i="5"/>
  <c r="Q22" i="5"/>
  <c r="P22" i="5"/>
  <c r="Q27" i="5"/>
  <c r="Q26" i="5"/>
  <c r="P33" i="5"/>
  <c r="O33" i="5"/>
  <c r="N33" i="5"/>
  <c r="Q33" i="5"/>
  <c r="R33" i="5"/>
  <c r="N40" i="5"/>
  <c r="R40" i="5"/>
  <c r="Q40" i="5"/>
  <c r="P40" i="5"/>
  <c r="O40" i="5"/>
  <c r="J14" i="2"/>
  <c r="J13" i="2"/>
  <c r="J9" i="2"/>
  <c r="X14" i="1"/>
  <c r="J7" i="2"/>
  <c r="J15" i="2"/>
  <c r="J25" i="2"/>
  <c r="Q38" i="5"/>
  <c r="N17" i="5"/>
  <c r="R17" i="5"/>
  <c r="O17" i="5"/>
  <c r="P17" i="5"/>
  <c r="Q17" i="5"/>
  <c r="N24" i="5"/>
  <c r="R24" i="5"/>
  <c r="P24" i="5"/>
  <c r="O24" i="5"/>
  <c r="Q24" i="5"/>
  <c r="N29" i="5"/>
  <c r="R29" i="5"/>
  <c r="O29" i="5"/>
  <c r="P29" i="5"/>
  <c r="Q29" i="5"/>
  <c r="N20" i="5"/>
  <c r="Q20" i="5"/>
  <c r="R20" i="5"/>
  <c r="P20" i="5"/>
  <c r="O20" i="5"/>
  <c r="O30" i="5"/>
  <c r="N30" i="5"/>
  <c r="R30" i="5"/>
  <c r="P30" i="5"/>
  <c r="Q30" i="5"/>
  <c r="X17" i="1"/>
  <c r="M7" i="2"/>
  <c r="M14" i="2"/>
  <c r="M13" i="2"/>
  <c r="M9" i="2"/>
  <c r="M19" i="2"/>
  <c r="M20" i="2"/>
  <c r="M15" i="2"/>
  <c r="M25" i="2"/>
  <c r="Q39" i="5"/>
  <c r="P32" i="5"/>
  <c r="O32" i="5"/>
  <c r="N32" i="5"/>
  <c r="R32" i="5"/>
  <c r="O34" i="5"/>
  <c r="N34" i="5"/>
  <c r="Q34" i="5"/>
  <c r="P34" i="5"/>
  <c r="R34" i="5"/>
  <c r="N36" i="5"/>
  <c r="R36" i="5"/>
  <c r="Q36" i="5"/>
  <c r="O36" i="5"/>
  <c r="P36" i="5"/>
  <c r="N23" i="5"/>
  <c r="R23" i="5"/>
  <c r="O23" i="5"/>
  <c r="P23" i="5"/>
  <c r="N16" i="5"/>
  <c r="R16" i="5"/>
  <c r="P16" i="5"/>
  <c r="O16" i="5"/>
  <c r="Q16" i="5"/>
  <c r="N21" i="5"/>
  <c r="R21" i="5"/>
  <c r="Q21" i="5"/>
  <c r="O21" i="5"/>
  <c r="P21" i="5"/>
  <c r="I27" i="1"/>
  <c r="X12" i="1"/>
  <c r="D7" i="2"/>
  <c r="D21" i="2"/>
  <c r="D15" i="2"/>
  <c r="D22" i="2"/>
  <c r="D23" i="2"/>
  <c r="D14" i="2"/>
  <c r="D13" i="2" s="1"/>
  <c r="Q32" i="5"/>
  <c r="Q37" i="5"/>
  <c r="P13" i="5"/>
  <c r="R7" i="5"/>
  <c r="M10" i="2"/>
  <c r="M12" i="2"/>
  <c r="M11" i="2"/>
  <c r="J10" i="2"/>
  <c r="J11" i="2"/>
  <c r="J12" i="2"/>
  <c r="O13" i="5"/>
  <c r="R6" i="5"/>
  <c r="R5" i="5"/>
  <c r="Q23" i="5"/>
  <c r="P9" i="2"/>
  <c r="P14" i="2"/>
  <c r="P13" i="2"/>
  <c r="P7" i="2"/>
  <c r="P15" i="2"/>
  <c r="P12" i="2"/>
  <c r="P10" i="2"/>
  <c r="P11" i="2"/>
  <c r="E33" i="3"/>
  <c r="F33" i="3" s="1"/>
  <c r="G33" i="3"/>
  <c r="E34" i="3"/>
  <c r="E35" i="3"/>
  <c r="F35" i="3" s="1"/>
  <c r="F34" i="3"/>
  <c r="E36" i="3"/>
  <c r="G36" i="3"/>
  <c r="E37" i="3"/>
  <c r="G37" i="3"/>
  <c r="D11" i="2" l="1"/>
  <c r="D12" i="2"/>
  <c r="D10" i="2"/>
  <c r="L14" i="2"/>
  <c r="L13" i="2" s="1"/>
  <c r="X18" i="1"/>
  <c r="L7" i="2" s="1"/>
  <c r="L20" i="2"/>
  <c r="L21" i="2"/>
  <c r="L9" i="2"/>
  <c r="L25" i="2"/>
  <c r="L19" i="2"/>
  <c r="L22" i="2"/>
  <c r="L15" i="2"/>
  <c r="I28" i="1"/>
  <c r="D24" i="2"/>
  <c r="W15" i="1"/>
  <c r="N25" i="2"/>
  <c r="N9" i="2"/>
  <c r="N12" i="2" s="1"/>
  <c r="N27" i="2"/>
  <c r="N26" i="2"/>
  <c r="B27" i="2"/>
  <c r="Q27" i="2" s="1"/>
  <c r="N15" i="2"/>
  <c r="B26" i="2"/>
  <c r="Q26" i="2" s="1"/>
  <c r="X19" i="1"/>
  <c r="N7" i="2" s="1"/>
  <c r="K27" i="2"/>
  <c r="X16" i="1"/>
  <c r="K7" i="2" s="1"/>
  <c r="K15" i="2"/>
  <c r="K9" i="2"/>
  <c r="K26" i="2"/>
  <c r="N14" i="2"/>
  <c r="N13" i="2" s="1"/>
  <c r="N11" i="2" s="1"/>
  <c r="N20" i="2"/>
  <c r="K14" i="2"/>
  <c r="K13" i="2" s="1"/>
  <c r="N19" i="2"/>
  <c r="K24" i="3"/>
  <c r="K23" i="3"/>
  <c r="AC20" i="3"/>
  <c r="F45" i="3"/>
  <c r="K40" i="3"/>
  <c r="K28" i="3"/>
  <c r="F44" i="3"/>
  <c r="K51" i="3"/>
  <c r="K39" i="3"/>
  <c r="K52" i="3"/>
  <c r="AB26" i="3"/>
  <c r="H26" i="3"/>
  <c r="A26" i="3"/>
  <c r="AB27" i="3"/>
  <c r="A27" i="3"/>
  <c r="A25" i="3" s="1"/>
  <c r="A28" i="3"/>
  <c r="H27" i="3"/>
  <c r="H25" i="3"/>
  <c r="AB25" i="3"/>
  <c r="K27" i="3"/>
  <c r="K29" i="3"/>
  <c r="K21" i="3"/>
  <c r="F36" i="3"/>
  <c r="K43" i="3"/>
  <c r="K30" i="3"/>
  <c r="K50" i="3"/>
  <c r="K31" i="3"/>
  <c r="K22" i="3"/>
  <c r="K32" i="3"/>
  <c r="F43" i="3"/>
  <c r="K38" i="3"/>
  <c r="K34" i="3"/>
  <c r="AC34" i="3" s="1"/>
  <c r="O34" i="3" s="1"/>
  <c r="F42" i="3"/>
  <c r="F47" i="3"/>
  <c r="K42" i="3"/>
  <c r="K37" i="3"/>
  <c r="K36" i="3"/>
  <c r="F40" i="3"/>
  <c r="AC40" i="3" s="1"/>
  <c r="N40" i="3" s="1"/>
  <c r="F37" i="3"/>
  <c r="K26" i="3"/>
  <c r="K33" i="3"/>
  <c r="AC33" i="3" s="1"/>
  <c r="F41" i="3"/>
  <c r="AC41" i="3" s="1"/>
  <c r="O41" i="3" s="1"/>
  <c r="F38" i="3"/>
  <c r="K25" i="3"/>
  <c r="K35" i="3"/>
  <c r="AC35" i="3" s="1"/>
  <c r="Q35" i="3" s="1"/>
  <c r="F39" i="3"/>
  <c r="AC39" i="3" s="1"/>
  <c r="O39" i="3" s="1"/>
  <c r="K48" i="3"/>
  <c r="F51" i="3"/>
  <c r="AC51" i="3" s="1"/>
  <c r="F49" i="3"/>
  <c r="K47" i="3"/>
  <c r="F52" i="3"/>
  <c r="AC52" i="3" s="1"/>
  <c r="N52" i="3" s="1"/>
  <c r="F50" i="3"/>
  <c r="L17" i="3"/>
  <c r="F48" i="3"/>
  <c r="AC46" i="3"/>
  <c r="Q46" i="3" s="1"/>
  <c r="K45" i="3"/>
  <c r="AC45" i="3" s="1"/>
  <c r="N45" i="3" s="1"/>
  <c r="K49" i="3"/>
  <c r="M17" i="3"/>
  <c r="Q53" i="3"/>
  <c r="N53" i="3"/>
  <c r="O53" i="3"/>
  <c r="K44" i="3"/>
  <c r="AC44" i="3" s="1"/>
  <c r="X15" i="1" l="1"/>
  <c r="I7" i="2" s="1"/>
  <c r="I14" i="2"/>
  <c r="I13" i="2" s="1"/>
  <c r="I15" i="2"/>
  <c r="I9" i="2"/>
  <c r="I22" i="2"/>
  <c r="I21" i="2"/>
  <c r="I25" i="2"/>
  <c r="L11" i="2"/>
  <c r="L12" i="2"/>
  <c r="L10" i="2"/>
  <c r="N10" i="2"/>
  <c r="K10" i="2"/>
  <c r="K11" i="2"/>
  <c r="K12" i="2"/>
  <c r="AC37" i="3"/>
  <c r="AC43" i="3"/>
  <c r="Q43" i="3" s="1"/>
  <c r="AB23" i="3"/>
  <c r="H23" i="3"/>
  <c r="AC36" i="3"/>
  <c r="H24" i="3"/>
  <c r="A24" i="3"/>
  <c r="AB24" i="3"/>
  <c r="Q34" i="3"/>
  <c r="AC47" i="3"/>
  <c r="Q47" i="3" s="1"/>
  <c r="AC50" i="3"/>
  <c r="Q50" i="3" s="1"/>
  <c r="N34" i="3"/>
  <c r="AD34" i="3" s="1"/>
  <c r="P34" i="3" s="1"/>
  <c r="AC49" i="3"/>
  <c r="N49" i="3" s="1"/>
  <c r="O40" i="3"/>
  <c r="AD40" i="3" s="1"/>
  <c r="P40" i="3" s="1"/>
  <c r="O46" i="3"/>
  <c r="Q40" i="3"/>
  <c r="N46" i="3"/>
  <c r="AD46" i="3" s="1"/>
  <c r="P46" i="3" s="1"/>
  <c r="O52" i="3"/>
  <c r="AD52" i="3" s="1"/>
  <c r="P52" i="3" s="1"/>
  <c r="Q52" i="3"/>
  <c r="AC38" i="3"/>
  <c r="N38" i="3" s="1"/>
  <c r="O35" i="3"/>
  <c r="N35" i="3"/>
  <c r="AD35" i="3" s="1"/>
  <c r="P35" i="3" s="1"/>
  <c r="N41" i="3"/>
  <c r="AD41" i="3" s="1"/>
  <c r="P41" i="3" s="1"/>
  <c r="Q39" i="3"/>
  <c r="N39" i="3"/>
  <c r="AD39" i="3" s="1"/>
  <c r="P39" i="3" s="1"/>
  <c r="Q41" i="3"/>
  <c r="AC42" i="3"/>
  <c r="AC48" i="3"/>
  <c r="N48" i="3" s="1"/>
  <c r="N51" i="3"/>
  <c r="O51" i="3"/>
  <c r="Q51" i="3"/>
  <c r="O43" i="3"/>
  <c r="N37" i="3"/>
  <c r="O37" i="3"/>
  <c r="Q37" i="3"/>
  <c r="O36" i="3"/>
  <c r="Q36" i="3"/>
  <c r="N36" i="3"/>
  <c r="AD36" i="3" s="1"/>
  <c r="P36" i="3" s="1"/>
  <c r="N33" i="3"/>
  <c r="Q33" i="3"/>
  <c r="O33" i="3"/>
  <c r="N43" i="3"/>
  <c r="O45" i="3"/>
  <c r="AD45" i="3" s="1"/>
  <c r="P45" i="3" s="1"/>
  <c r="Q45" i="3"/>
  <c r="O44" i="3"/>
  <c r="N44" i="3"/>
  <c r="Q44" i="3"/>
  <c r="AD53" i="3"/>
  <c r="P53" i="3" s="1"/>
  <c r="I11" i="2" l="1"/>
  <c r="I12" i="2"/>
  <c r="I10" i="2"/>
  <c r="O50" i="3"/>
  <c r="N50" i="3"/>
  <c r="O49" i="3"/>
  <c r="AD49" i="3" s="1"/>
  <c r="P49" i="3" s="1"/>
  <c r="Q49" i="3"/>
  <c r="N47" i="3"/>
  <c r="O47" i="3"/>
  <c r="AD44" i="3"/>
  <c r="P44" i="3" s="1"/>
  <c r="Q38" i="3"/>
  <c r="AD43" i="3"/>
  <c r="P43" i="3" s="1"/>
  <c r="O48" i="3"/>
  <c r="AD48" i="3" s="1"/>
  <c r="P48" i="3" s="1"/>
  <c r="AD51" i="3"/>
  <c r="P51" i="3" s="1"/>
  <c r="O38" i="3"/>
  <c r="AD38" i="3" s="1"/>
  <c r="P38" i="3" s="1"/>
  <c r="AD50" i="3"/>
  <c r="P50" i="3" s="1"/>
  <c r="O42" i="3"/>
  <c r="N42" i="3"/>
  <c r="Q42" i="3"/>
  <c r="Q48" i="3"/>
  <c r="AD37" i="3"/>
  <c r="P37" i="3" s="1"/>
  <c r="AD33" i="3"/>
  <c r="P33" i="3" s="1"/>
  <c r="AD47" i="3" l="1"/>
  <c r="P47" i="3" s="1"/>
  <c r="AD42" i="3"/>
  <c r="P42" i="3" s="1"/>
  <c r="H21" i="3" l="1"/>
  <c r="H22" i="3"/>
  <c r="AB22" i="3"/>
  <c r="A23" i="3"/>
  <c r="A22" i="3"/>
  <c r="AB21" i="3"/>
  <c r="A21" i="3"/>
  <c r="M5" i="3"/>
  <c r="H17" i="3" l="1"/>
  <c r="G32" i="3"/>
  <c r="G20" i="3"/>
  <c r="O20" i="3" s="1"/>
  <c r="Q20" i="3" s="1"/>
  <c r="Q17" i="3" s="1"/>
  <c r="E21" i="3"/>
  <c r="N20" i="3" l="1"/>
  <c r="AD20" i="3" s="1"/>
  <c r="P20" i="3" s="1"/>
  <c r="P17" i="3" s="1"/>
  <c r="Q14" i="3" s="1"/>
  <c r="O7" i="2" s="1"/>
  <c r="F21" i="3"/>
  <c r="O15" i="2" l="1"/>
  <c r="O14" i="2"/>
  <c r="O9" i="2"/>
  <c r="AC21" i="3"/>
  <c r="G21" i="3"/>
  <c r="P38" i="2"/>
  <c r="O38" i="2"/>
  <c r="O13" i="2"/>
  <c r="O10" i="2" s="1"/>
  <c r="O37" i="2"/>
  <c r="P37" i="2"/>
  <c r="Q37" i="2" s="1"/>
  <c r="O36" i="2"/>
  <c r="P36" i="2"/>
  <c r="O12" i="2"/>
  <c r="O11" i="2"/>
  <c r="Q38" i="2" l="1"/>
  <c r="Q36" i="2"/>
  <c r="E22" i="3"/>
  <c r="O21" i="3"/>
  <c r="Q21" i="3" s="1"/>
  <c r="N21" i="3"/>
  <c r="AD21" i="3" l="1"/>
  <c r="P21" i="3" s="1"/>
  <c r="F22" i="3"/>
  <c r="AC22" i="3" l="1"/>
  <c r="G22" i="3"/>
  <c r="E23" i="3" l="1"/>
  <c r="O22" i="3"/>
  <c r="Q22" i="3" s="1"/>
  <c r="N22" i="3"/>
  <c r="AD22" i="3" l="1"/>
  <c r="P22" i="3" s="1"/>
  <c r="F23" i="3"/>
  <c r="AC23" i="3" l="1"/>
  <c r="G23" i="3"/>
  <c r="E24" i="3" l="1"/>
  <c r="O23" i="3"/>
  <c r="Q23" i="3" s="1"/>
  <c r="N23" i="3"/>
  <c r="AD23" i="3" l="1"/>
  <c r="P23" i="3" s="1"/>
  <c r="F24" i="3"/>
  <c r="AC24" i="3" l="1"/>
  <c r="G24" i="3"/>
  <c r="E25" i="3" l="1"/>
  <c r="O24" i="3"/>
  <c r="Q24" i="3" s="1"/>
  <c r="N24" i="3"/>
  <c r="AD24" i="3" l="1"/>
  <c r="P24" i="3" s="1"/>
  <c r="F25" i="3"/>
  <c r="AC25" i="3" l="1"/>
  <c r="G25" i="3"/>
  <c r="E26" i="3" l="1"/>
  <c r="O25" i="3"/>
  <c r="Q25" i="3" s="1"/>
  <c r="N25" i="3"/>
  <c r="AD25" i="3" s="1"/>
  <c r="P25" i="3" s="1"/>
  <c r="F26" i="3" l="1"/>
  <c r="AC26" i="3" l="1"/>
  <c r="G26" i="3"/>
  <c r="E27" i="3" l="1"/>
  <c r="N26" i="3"/>
  <c r="O26" i="3"/>
  <c r="AD26" i="3" l="1"/>
  <c r="P26" i="3" s="1"/>
  <c r="Q26" i="3"/>
  <c r="F27" i="3"/>
  <c r="AC27" i="3" l="1"/>
  <c r="G27" i="3"/>
  <c r="E28" i="3" l="1"/>
  <c r="O27" i="3"/>
  <c r="N27" i="3"/>
  <c r="AD27" i="3" s="1"/>
  <c r="P27" i="3" s="1"/>
  <c r="Q27" i="3"/>
  <c r="F28" i="3" l="1"/>
  <c r="AC28" i="3" l="1"/>
  <c r="G28" i="3"/>
  <c r="E29" i="3" s="1"/>
  <c r="F29" i="3" l="1"/>
  <c r="O28" i="3"/>
  <c r="Q28" i="3" s="1"/>
  <c r="N28" i="3"/>
  <c r="AD28" i="3" l="1"/>
  <c r="P28" i="3" s="1"/>
  <c r="AC29" i="3"/>
  <c r="G29" i="3"/>
  <c r="E30" i="3" s="1"/>
  <c r="F30" i="3" l="1"/>
  <c r="O29" i="3"/>
  <c r="Q29" i="3" s="1"/>
  <c r="N29" i="3"/>
  <c r="AD29" i="3" l="1"/>
  <c r="P29" i="3" s="1"/>
  <c r="AC30" i="3"/>
  <c r="G30" i="3"/>
  <c r="E31" i="3" s="1"/>
  <c r="N30" i="3" l="1"/>
  <c r="O30" i="3"/>
  <c r="Q30" i="3" s="1"/>
  <c r="F31" i="3"/>
  <c r="AC31" i="3" l="1"/>
  <c r="G31" i="3"/>
  <c r="AD30" i="3"/>
  <c r="P30" i="3" s="1"/>
  <c r="G17" i="3" l="1"/>
  <c r="E32" i="3"/>
  <c r="F32" i="3" s="1"/>
  <c r="AC32" i="3" s="1"/>
  <c r="N31" i="3"/>
  <c r="O31" i="3"/>
  <c r="Q31" i="3" s="1"/>
  <c r="AD31" i="3" l="1"/>
  <c r="P31" i="3" s="1"/>
  <c r="O32" i="3"/>
  <c r="Q32" i="3" s="1"/>
  <c r="N32" i="3"/>
  <c r="AD32" i="3" l="1"/>
  <c r="P3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 Sydes</author>
  </authors>
  <commentList>
    <comment ref="A7" authorId="0" shapeId="0" xr:uid="{00000000-0006-0000-0000-000001000000}">
      <text>
        <r>
          <rPr>
            <sz val="8"/>
            <color indexed="81"/>
            <rFont val="Tahoma"/>
            <family val="2"/>
          </rPr>
          <t>Allocation ratio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8" authorId="0" shapeId="0" xr:uid="{00000000-0006-0000-0000-000002000000}">
      <text>
        <r>
          <rPr>
            <sz val="8"/>
            <color indexed="81"/>
            <rFont val="Tahoma"/>
            <family val="2"/>
          </rPr>
          <t>i.e. patients randomised, allocated or grouped into arm</t>
        </r>
      </text>
    </comment>
    <comment ref="Q15" authorId="0" shapeId="0" xr:uid="{00000000-0006-0000-0000-000003000000}">
      <text>
        <r>
          <rPr>
            <sz val="8"/>
            <color indexed="81"/>
            <rFont val="Tahoma"/>
            <family val="2"/>
          </rPr>
          <t>Allocation ratio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 Sydes</author>
  </authors>
  <commentList>
    <comment ref="D4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Censoring is assumed to be constant between time zero and the final survival point unless you specify a minimum survival time for patients on follow-up and a maximum time (censoring is then assumed to be constant between these two points)
</t>
        </r>
      </text>
    </comment>
    <comment ref="L4" authorId="0" shapeId="0" xr:uid="{00000000-0006-0000-0100-000002000000}">
      <text>
        <r>
          <rPr>
            <sz val="8"/>
            <color indexed="81"/>
            <rFont val="Tahoma"/>
            <family val="2"/>
          </rPr>
          <t>ie proportion event-free at the latest timepoint data is available</t>
        </r>
      </text>
    </comment>
    <comment ref="G17" authorId="0" shapeId="0" xr:uid="{00000000-0006-0000-0100-000003000000}">
      <text>
        <r>
          <rPr>
            <sz val="8"/>
            <color indexed="81"/>
            <rFont val="Tahoma"/>
            <family val="2"/>
          </rPr>
          <t>Total number of deaths (events) on research arm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17" authorId="0" shapeId="0" xr:uid="{00000000-0006-0000-0100-000004000000}">
      <text>
        <r>
          <rPr>
            <sz val="8"/>
            <color indexed="81"/>
            <rFont val="Tahoma"/>
            <family val="2"/>
          </rPr>
          <t>Total number censored on research arm</t>
        </r>
      </text>
    </comment>
    <comment ref="L17" authorId="0" shapeId="0" xr:uid="{00000000-0006-0000-0100-000005000000}">
      <text>
        <r>
          <rPr>
            <sz val="8"/>
            <color indexed="81"/>
            <rFont val="Tahoma"/>
            <family val="2"/>
          </rPr>
          <t>Total number of deaths (events) on control arm</t>
        </r>
      </text>
    </comment>
    <comment ref="M17" authorId="0" shapeId="0" xr:uid="{00000000-0006-0000-0100-000006000000}">
      <text>
        <r>
          <rPr>
            <sz val="8"/>
            <color indexed="81"/>
            <rFont val="Tahoma"/>
            <family val="2"/>
          </rPr>
          <t>Total censored on control arm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P17" authorId="0" shapeId="0" xr:uid="{00000000-0006-0000-0100-000007000000}">
      <text>
        <r>
          <rPr>
            <sz val="8"/>
            <color indexed="81"/>
            <rFont val="Tahoma"/>
            <family val="2"/>
          </rPr>
          <t xml:space="preserve">O-E
</t>
        </r>
      </text>
    </comment>
    <comment ref="Q17" authorId="0" shapeId="0" xr:uid="{00000000-0006-0000-0100-000008000000}">
      <text>
        <r>
          <rPr>
            <b/>
            <sz val="8"/>
            <color indexed="81"/>
            <rFont val="Tahoma"/>
            <family val="2"/>
          </rPr>
          <t>Matt Sydes: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8" authorId="0" shapeId="0" xr:uid="{00000000-0006-0000-0100-000009000000}">
      <text>
        <r>
          <rPr>
            <sz val="8"/>
            <color indexed="81"/>
            <rFont val="Tahoma"/>
            <family val="2"/>
          </rPr>
          <t>Time interval: preferably in months</t>
        </r>
      </text>
    </comment>
    <comment ref="C18" authorId="0" shapeId="0" xr:uid="{00000000-0006-0000-0100-00000A000000}">
      <text>
        <r>
          <rPr>
            <sz val="8"/>
            <color indexed="81"/>
            <rFont val="Tahoma"/>
            <family val="2"/>
          </rPr>
          <t>Start of interval (t)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8" authorId="0" shapeId="0" xr:uid="{00000000-0006-0000-0100-00000B000000}">
      <text>
        <r>
          <rPr>
            <sz val="8"/>
            <color indexed="81"/>
            <rFont val="Tahoma"/>
            <family val="2"/>
          </rPr>
          <t>Survival probability at start of t (%)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18" authorId="0" shapeId="0" xr:uid="{00000000-0006-0000-0100-00000C000000}">
      <text>
        <r>
          <rPr>
            <sz val="8"/>
            <color indexed="81"/>
            <rFont val="Tahoma"/>
            <family val="2"/>
          </rPr>
          <t>Effective number alive at start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18" authorId="0" shapeId="0" xr:uid="{00000000-0006-0000-0100-00000D000000}">
      <text>
        <r>
          <rPr>
            <sz val="8"/>
            <color indexed="81"/>
            <rFont val="Tahoma"/>
            <family val="2"/>
          </rPr>
          <t>Effective number at risk in 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18" authorId="0" shapeId="0" xr:uid="{00000000-0006-0000-0100-00000E000000}">
      <text>
        <r>
          <rPr>
            <sz val="8"/>
            <color indexed="81"/>
            <rFont val="Tahoma"/>
            <family val="2"/>
          </rPr>
          <t>Effective number of deaths in 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18" authorId="0" shapeId="0" xr:uid="{00000000-0006-0000-0100-00000F000000}">
      <text>
        <r>
          <rPr>
            <sz val="8"/>
            <color indexed="81"/>
            <rFont val="Tahoma"/>
            <family val="2"/>
          </rPr>
          <t>Effective number censored in 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8" authorId="0" shapeId="0" xr:uid="{00000000-0006-0000-0100-000010000000}">
      <text>
        <r>
          <rPr>
            <sz val="8"/>
            <color indexed="81"/>
            <rFont val="Tahoma"/>
            <family val="2"/>
          </rPr>
          <t>Survival probability at start of t (%)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8" authorId="0" shapeId="0" xr:uid="{00000000-0006-0000-0100-000011000000}">
      <text>
        <r>
          <rPr>
            <sz val="8"/>
            <color indexed="81"/>
            <rFont val="Tahoma"/>
            <family val="2"/>
          </rPr>
          <t>Effective number alive at start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K18" authorId="0" shapeId="0" xr:uid="{00000000-0006-0000-0100-000012000000}">
      <text>
        <r>
          <rPr>
            <sz val="8"/>
            <color indexed="81"/>
            <rFont val="Tahoma"/>
            <family val="2"/>
          </rPr>
          <t>Effective number at risk in t</t>
        </r>
      </text>
    </comment>
    <comment ref="L18" authorId="0" shapeId="0" xr:uid="{00000000-0006-0000-0100-000013000000}">
      <text>
        <r>
          <rPr>
            <sz val="8"/>
            <color indexed="81"/>
            <rFont val="Tahoma"/>
            <family val="2"/>
          </rPr>
          <t>Effective number of deaths in t</t>
        </r>
      </text>
    </comment>
    <comment ref="M18" authorId="0" shapeId="0" xr:uid="{00000000-0006-0000-0100-000014000000}">
      <text>
        <r>
          <rPr>
            <sz val="8"/>
            <color indexed="81"/>
            <rFont val="Tahoma"/>
            <family val="2"/>
          </rPr>
          <t>Effective number censored in t</t>
        </r>
      </text>
    </comment>
    <comment ref="N18" authorId="0" shapeId="0" xr:uid="{00000000-0006-0000-0100-000015000000}">
      <text>
        <r>
          <rPr>
            <sz val="8"/>
            <color indexed="81"/>
            <rFont val="Tahoma"/>
            <family val="2"/>
          </rPr>
          <t>Log hazard ratio for 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O18" authorId="0" shapeId="0" xr:uid="{00000000-0006-0000-0100-000016000000}">
      <text>
        <r>
          <rPr>
            <sz val="8"/>
            <color indexed="81"/>
            <rFont val="Tahoma"/>
            <family val="2"/>
          </rPr>
          <t>Variance of log hazard ratio for 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P18" authorId="0" shapeId="0" xr:uid="{00000000-0006-0000-0100-000017000000}">
      <text>
        <r>
          <rPr>
            <sz val="8"/>
            <color indexed="81"/>
            <rFont val="Tahoma"/>
            <family val="2"/>
          </rPr>
          <t>Log hazard ratio divided by its variance for 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Q18" authorId="0" shapeId="0" xr:uid="{00000000-0006-0000-0100-000018000000}">
      <text>
        <r>
          <rPr>
            <sz val="8"/>
            <color indexed="81"/>
            <rFont val="Tahoma"/>
            <family val="2"/>
          </rPr>
          <t>Reciprocal of the variance of the log hazard ratio for t</t>
        </r>
      </text>
    </comment>
    <comment ref="A19" authorId="0" shapeId="0" xr:uid="{00000000-0006-0000-0100-000019000000}">
      <text>
        <r>
          <rPr>
            <sz val="8"/>
            <color indexed="81"/>
            <rFont val="Tahoma"/>
            <family val="2"/>
          </rPr>
          <t>Checks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 Sydes</author>
  </authors>
  <commentList>
    <comment ref="M8" authorId="0" shapeId="0" xr:uid="{00000000-0006-0000-0300-000001000000}">
      <text>
        <r>
          <rPr>
            <sz val="8"/>
            <color indexed="81"/>
            <rFont val="Tahoma"/>
            <family val="2"/>
          </rPr>
          <t>P uses equation 7, S uses equation 8</t>
        </r>
      </text>
    </comment>
    <comment ref="M9" authorId="0" shapeId="0" xr:uid="{00000000-0006-0000-0300-000002000000}">
      <text>
        <r>
          <rPr>
            <sz val="8"/>
            <color indexed="81"/>
            <rFont val="Tahoma"/>
            <family val="2"/>
          </rPr>
          <t>Q uses equation 7, T uses equation 8</t>
        </r>
      </text>
    </comment>
    <comment ref="M10" authorId="0" shapeId="0" xr:uid="{00000000-0006-0000-0300-000003000000}">
      <text>
        <r>
          <rPr>
            <sz val="8"/>
            <color indexed="81"/>
            <rFont val="Tahoma"/>
            <family val="2"/>
          </rPr>
          <t>R uses equation 7, U uses equation 8</t>
        </r>
      </text>
    </comment>
    <comment ref="G13" authorId="0" shapeId="0" xr:uid="{00000000-0006-0000-0300-000004000000}">
      <text>
        <r>
          <rPr>
            <sz val="8"/>
            <color indexed="81"/>
            <rFont val="Tahoma"/>
            <family val="2"/>
          </rPr>
          <t>Total deaths (events) on research arm</t>
        </r>
      </text>
    </comment>
    <comment ref="H13" authorId="0" shapeId="0" xr:uid="{00000000-0006-0000-0300-000005000000}">
      <text>
        <r>
          <rPr>
            <sz val="8"/>
            <color indexed="81"/>
            <rFont val="Tahoma"/>
            <family val="2"/>
          </rPr>
          <t>Total censored on research arm</t>
        </r>
      </text>
    </comment>
    <comment ref="L13" authorId="0" shapeId="0" xr:uid="{00000000-0006-0000-0300-000006000000}">
      <text>
        <r>
          <rPr>
            <sz val="8"/>
            <color indexed="81"/>
            <rFont val="Tahoma"/>
            <family val="2"/>
          </rPr>
          <t>Total deaths (events) on control arm</t>
        </r>
      </text>
    </comment>
    <comment ref="M13" authorId="0" shapeId="0" xr:uid="{00000000-0006-0000-0300-000007000000}">
      <text>
        <r>
          <rPr>
            <sz val="8"/>
            <color indexed="81"/>
            <rFont val="Tahoma"/>
            <family val="2"/>
          </rPr>
          <t>Total censored on control arm</t>
        </r>
      </text>
    </comment>
    <comment ref="O13" authorId="0" shapeId="0" xr:uid="{00000000-0006-0000-0300-000008000000}">
      <text>
        <r>
          <rPr>
            <sz val="8"/>
            <color indexed="81"/>
            <rFont val="Tahoma"/>
            <family val="2"/>
          </rPr>
          <t>O-E</t>
        </r>
      </text>
    </comment>
    <comment ref="P13" authorId="0" shapeId="0" xr:uid="{00000000-0006-0000-0300-000009000000}">
      <text>
        <r>
          <rPr>
            <sz val="8"/>
            <color indexed="81"/>
            <rFont val="Tahoma"/>
            <family val="2"/>
          </rPr>
          <t>Log-rank variance</t>
        </r>
      </text>
    </comment>
    <comment ref="B14" authorId="0" shapeId="0" xr:uid="{00000000-0006-0000-0300-00000A000000}">
      <text>
        <r>
          <rPr>
            <sz val="8"/>
            <color indexed="81"/>
            <rFont val="Tahoma"/>
            <family val="2"/>
          </rPr>
          <t>Time interval (preferably in months)</t>
        </r>
      </text>
    </comment>
    <comment ref="C14" authorId="0" shapeId="0" xr:uid="{00000000-0006-0000-0300-00000B000000}">
      <text>
        <r>
          <rPr>
            <sz val="8"/>
            <color indexed="81"/>
            <rFont val="Tahoma"/>
            <family val="2"/>
          </rPr>
          <t>Start of interval (t)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14" authorId="0" shapeId="0" xr:uid="{00000000-0006-0000-0300-00000C000000}">
      <text>
        <r>
          <rPr>
            <sz val="8"/>
            <color indexed="81"/>
            <rFont val="Tahoma"/>
            <family val="2"/>
          </rPr>
          <t>Survival prob at t(i-1) (%)</t>
        </r>
      </text>
    </comment>
    <comment ref="E14" authorId="0" shapeId="0" xr:uid="{00000000-0006-0000-0300-00000D000000}">
      <text>
        <r>
          <rPr>
            <sz val="8"/>
            <color indexed="81"/>
            <rFont val="Tahoma"/>
            <family val="2"/>
          </rPr>
          <t xml:space="preserve">Number alive at t(I-1)
</t>
        </r>
      </text>
    </comment>
    <comment ref="F14" authorId="0" shapeId="0" xr:uid="{00000000-0006-0000-0300-00000E000000}">
      <text>
        <r>
          <rPr>
            <sz val="8"/>
            <color indexed="81"/>
            <rFont val="Tahoma"/>
            <family val="2"/>
          </rPr>
          <t>Effective number at risk in t(i-1),t(i)</t>
        </r>
      </text>
    </comment>
    <comment ref="G14" authorId="0" shapeId="0" xr:uid="{00000000-0006-0000-0300-00000F000000}">
      <text>
        <r>
          <rPr>
            <sz val="8"/>
            <color indexed="81"/>
            <rFont val="Tahoma"/>
            <family val="2"/>
          </rPr>
          <t>Effective number of deaths in t(i-1),t(i)</t>
        </r>
      </text>
    </comment>
    <comment ref="H14" authorId="0" shapeId="0" xr:uid="{00000000-0006-0000-0300-000010000000}">
      <text>
        <r>
          <rPr>
            <sz val="8"/>
            <color indexed="81"/>
            <rFont val="Tahoma"/>
            <family val="2"/>
          </rPr>
          <t>Effective number of censored in t(i-1),t(i)</t>
        </r>
      </text>
    </comment>
    <comment ref="I14" authorId="0" shapeId="0" xr:uid="{00000000-0006-0000-0300-000011000000}">
      <text>
        <r>
          <rPr>
            <sz val="8"/>
            <color indexed="81"/>
            <rFont val="Tahoma"/>
            <family val="2"/>
          </rPr>
          <t>Survival prob at t(i-1) (%)</t>
        </r>
      </text>
    </comment>
    <comment ref="J14" authorId="0" shapeId="0" xr:uid="{00000000-0006-0000-0300-000012000000}">
      <text>
        <r>
          <rPr>
            <sz val="8"/>
            <color indexed="81"/>
            <rFont val="Tahoma"/>
            <family val="2"/>
          </rPr>
          <t>Number alive at t(i-1)</t>
        </r>
      </text>
    </comment>
    <comment ref="K14" authorId="0" shapeId="0" xr:uid="{00000000-0006-0000-0300-000013000000}">
      <text>
        <r>
          <rPr>
            <sz val="8"/>
            <color indexed="81"/>
            <rFont val="Tahoma"/>
            <family val="2"/>
          </rPr>
          <t>Effective number at risk in t(i-1),t(i)</t>
        </r>
      </text>
    </comment>
    <comment ref="L14" authorId="0" shapeId="0" xr:uid="{00000000-0006-0000-0300-000014000000}">
      <text>
        <r>
          <rPr>
            <sz val="8"/>
            <color indexed="81"/>
            <rFont val="Tahoma"/>
            <family val="2"/>
          </rPr>
          <t>Effective number of deaths in t(i-1),t(i)</t>
        </r>
      </text>
    </comment>
    <comment ref="M14" authorId="0" shapeId="0" xr:uid="{00000000-0006-0000-0300-000015000000}">
      <text>
        <r>
          <rPr>
            <sz val="8"/>
            <color indexed="81"/>
            <rFont val="Tahoma"/>
            <family val="2"/>
          </rPr>
          <t>Effective number of deaths in t(i-1),t(i)</t>
        </r>
      </text>
    </comment>
    <comment ref="N14" authorId="0" shapeId="0" xr:uid="{00000000-0006-0000-0300-000016000000}">
      <text>
        <r>
          <rPr>
            <sz val="8"/>
            <color indexed="81"/>
            <rFont val="Tahoma"/>
            <family val="2"/>
          </rPr>
          <t>Proportion of events in research arm</t>
        </r>
      </text>
    </comment>
    <comment ref="O14" authorId="0" shapeId="0" xr:uid="{00000000-0006-0000-0300-000017000000}">
      <text>
        <r>
          <rPr>
            <sz val="8"/>
            <color indexed="81"/>
            <rFont val="Tahoma"/>
            <family val="2"/>
          </rPr>
          <t>Difference in events in t(k)</t>
        </r>
      </text>
    </comment>
    <comment ref="P14" authorId="0" shapeId="0" xr:uid="{00000000-0006-0000-0300-000018000000}">
      <text>
        <r>
          <rPr>
            <sz val="8"/>
            <color indexed="81"/>
            <rFont val="Tahoma"/>
            <family val="2"/>
          </rPr>
          <t>Variance of ln(HR)(k)</t>
        </r>
      </text>
    </comment>
    <comment ref="Q14" authorId="0" shapeId="0" xr:uid="{00000000-0006-0000-0300-000019000000}">
      <text>
        <r>
          <rPr>
            <sz val="8"/>
            <color indexed="81"/>
            <rFont val="Tahoma"/>
            <family val="2"/>
          </rPr>
          <t>ln(HR)(k)</t>
        </r>
      </text>
    </comment>
    <comment ref="R14" authorId="0" shapeId="0" xr:uid="{00000000-0006-0000-0300-00001A000000}">
      <text>
        <r>
          <rPr>
            <sz val="8"/>
            <color indexed="81"/>
            <rFont val="Tahoma"/>
            <family val="2"/>
          </rPr>
          <t>se(ln(HR)(k))</t>
        </r>
      </text>
    </comment>
    <comment ref="A15" authorId="0" shapeId="0" xr:uid="{00000000-0006-0000-0300-00001B000000}">
      <text>
        <r>
          <rPr>
            <sz val="8"/>
            <color indexed="81"/>
            <rFont val="Tahoma"/>
            <family val="2"/>
          </rPr>
          <t>Checks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 Sydes</author>
  </authors>
  <commentList>
    <comment ref="A1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Note that the labelling of methods 4 and 5, and of 7 and 8 has swapped from version 1.0
</t>
        </r>
      </text>
    </comment>
    <comment ref="D6" authorId="0" shapeId="0" xr:uid="{00000000-0006-0000-0500-000002000000}">
      <text>
        <r>
          <rPr>
            <sz val="8"/>
            <color indexed="81"/>
            <rFont val="Tahoma"/>
            <family val="2"/>
          </rPr>
          <t>Report presents observed and expected events on research and control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6" authorId="0" shapeId="0" xr:uid="{00000000-0006-0000-0500-000003000000}">
      <text>
        <r>
          <rPr>
            <sz val="8"/>
            <color indexed="81"/>
            <rFont val="Tahoma"/>
            <family val="2"/>
          </rPr>
          <t>Report presents HR and V</t>
        </r>
      </text>
    </comment>
    <comment ref="F6" authorId="0" shapeId="0" xr:uid="{00000000-0006-0000-0500-000004000000}">
      <text>
        <r>
          <rPr>
            <sz val="8"/>
            <color indexed="81"/>
            <rFont val="Tahoma"/>
            <family val="2"/>
          </rPr>
          <t>Report presents HR and O-E</t>
        </r>
      </text>
    </comment>
    <comment ref="G6" authorId="0" shapeId="0" xr:uid="{00000000-0006-0000-0500-000005000000}">
      <text>
        <r>
          <rPr>
            <sz val="8"/>
            <color indexed="81"/>
            <rFont val="Tahoma"/>
            <family val="2"/>
          </rPr>
          <t>Report presents O-E and V</t>
        </r>
      </text>
    </comment>
    <comment ref="H6" authorId="0" shapeId="0" xr:uid="{00000000-0006-0000-0500-000006000000}">
      <text>
        <r>
          <rPr>
            <sz val="8"/>
            <color indexed="81"/>
            <rFont val="Tahoma"/>
            <family val="2"/>
          </rPr>
          <t xml:space="preserve">Report presents HR and CIs </t>
        </r>
      </text>
    </comment>
    <comment ref="I6" authorId="0" shapeId="0" xr:uid="{00000000-0006-0000-0500-000007000000}">
      <text>
        <r>
          <rPr>
            <sz val="8"/>
            <color indexed="81"/>
            <rFont val="Tahoma"/>
            <family val="2"/>
          </rPr>
          <t>Report presents HR and events in each arm and randomisation ratio is 1:1</t>
        </r>
      </text>
    </comment>
    <comment ref="J6" authorId="0" shapeId="0" xr:uid="{00000000-0006-0000-0500-000008000000}">
      <text>
        <r>
          <rPr>
            <sz val="8"/>
            <color indexed="81"/>
            <rFont val="Tahoma"/>
            <family val="2"/>
          </rPr>
          <t>Report presents HR and total events and randomisation ratio is 1:1</t>
        </r>
      </text>
    </comment>
    <comment ref="K6" authorId="0" shapeId="0" xr:uid="{00000000-0006-0000-0500-000009000000}">
      <text>
        <r>
          <rPr>
            <sz val="8"/>
            <color indexed="81"/>
            <rFont val="Tahoma"/>
            <family val="2"/>
          </rPr>
          <t>Report presents HR, total events and the no.s randomised on each arm and randomisation ratio need not be 1:1</t>
        </r>
      </text>
    </comment>
    <comment ref="L6" authorId="0" shapeId="0" xr:uid="{00000000-0006-0000-0500-00000A000000}">
      <text>
        <r>
          <rPr>
            <sz val="8"/>
            <color indexed="81"/>
            <rFont val="Tahoma"/>
            <family val="2"/>
          </rPr>
          <t>Report presents p-value and events on each arm and randomisation ratio is 1:1</t>
        </r>
      </text>
    </comment>
    <comment ref="M6" authorId="0" shapeId="0" xr:uid="{00000000-0006-0000-0500-00000B000000}">
      <text>
        <r>
          <rPr>
            <sz val="8"/>
            <color indexed="81"/>
            <rFont val="Tahoma"/>
            <family val="2"/>
          </rPr>
          <t>Report presents p-value and total events and randomisation ratio is 1:1</t>
        </r>
      </text>
    </comment>
    <comment ref="N6" authorId="0" shapeId="0" xr:uid="{00000000-0006-0000-0500-00000C000000}">
      <text>
        <r>
          <rPr>
            <sz val="8"/>
            <color indexed="81"/>
            <rFont val="Tahoma"/>
            <family val="2"/>
          </rPr>
          <t>Report presents p-value, total events &amp; no.s randomised on each arm and randomisation ratio need not be 1:1</t>
        </r>
      </text>
    </comment>
    <comment ref="O6" authorId="0" shapeId="0" xr:uid="{00000000-0006-0000-0500-00000D000000}">
      <text>
        <r>
          <rPr>
            <sz val="8"/>
            <color indexed="81"/>
            <rFont val="Tahoma"/>
            <family val="2"/>
          </rPr>
          <t xml:space="preserve">Data from curve
</t>
        </r>
      </text>
    </comment>
    <comment ref="P6" authorId="0" shapeId="0" xr:uid="{00000000-0006-0000-0500-00000E000000}">
      <text>
        <r>
          <rPr>
            <sz val="8"/>
            <color indexed="81"/>
            <rFont val="Tahoma"/>
            <family val="2"/>
          </rPr>
          <t xml:space="preserve">Data from curve
</t>
        </r>
      </text>
    </comment>
    <comment ref="C7" authorId="0" shapeId="0" xr:uid="{00000000-0006-0000-0500-00000F000000}">
      <text>
        <r>
          <rPr>
            <sz val="8"/>
            <color indexed="81"/>
            <rFont val="Tahoma"/>
            <family val="2"/>
          </rPr>
          <t>Data available for method?</t>
        </r>
      </text>
    </comment>
    <comment ref="B26" authorId="0" shapeId="0" xr:uid="{00000000-0006-0000-0500-000010000000}">
      <text>
        <r>
          <rPr>
            <sz val="8"/>
            <color indexed="81"/>
            <rFont val="Tahoma"/>
            <family val="2"/>
          </rPr>
          <t xml:space="preserve">Number entered is substituted if in number analysed is not available
</t>
        </r>
      </text>
    </comment>
    <comment ref="B27" authorId="0" shapeId="0" xr:uid="{00000000-0006-0000-0500-000011000000}">
      <text>
        <r>
          <rPr>
            <sz val="8"/>
            <color indexed="81"/>
            <rFont val="Tahoma"/>
            <family val="2"/>
          </rPr>
          <t>Number entered is substituted if in number analysed is not available</t>
        </r>
      </text>
    </comment>
    <comment ref="B35" authorId="0" shapeId="0" xr:uid="{00000000-0006-0000-0500-000012000000}">
      <text>
        <r>
          <rPr>
            <sz val="8"/>
            <color indexed="81"/>
            <rFont val="Tahoma"/>
            <family val="2"/>
          </rPr>
          <t xml:space="preserve">Spreadsheet substitutes in numbers randomised for numbers analysed if numbers analysed are not provided (ie assumes all patients randomised are analysed)
</t>
        </r>
      </text>
    </comment>
    <comment ref="B36" authorId="0" shapeId="0" xr:uid="{00000000-0006-0000-0500-000013000000}">
      <text>
        <r>
          <rPr>
            <sz val="8"/>
            <color indexed="81"/>
            <rFont val="Tahoma"/>
            <family val="2"/>
          </rPr>
          <t xml:space="preserve">Spreadsheet substitutes in numbers randomised for numbers analysed if numbers analysed are not provided (ie assumes all patients randomised are analysed)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37" authorId="0" shapeId="0" xr:uid="{00000000-0006-0000-0500-000014000000}">
      <text>
        <r>
          <rPr>
            <sz val="8"/>
            <color indexed="81"/>
            <rFont val="Tahoma"/>
            <family val="2"/>
          </rPr>
          <t>Spreadsheet substitutes in numbers randomised for numbers analysed if numbers analysed are not provided (ie assumes all patients randomised are analysed)</t>
        </r>
      </text>
    </comment>
    <comment ref="B38" authorId="0" shapeId="0" xr:uid="{00000000-0006-0000-0500-000015000000}">
      <text>
        <r>
          <rPr>
            <sz val="8"/>
            <color indexed="81"/>
            <rFont val="Tahoma"/>
            <family val="2"/>
          </rPr>
          <t xml:space="preserve">Spreadsheet substitutes in numbers randomised for numbers analysed if numbers analysed are not provided (ie assumes all patients randomised are analysed)
</t>
        </r>
      </text>
    </comment>
    <comment ref="B39" authorId="0" shapeId="0" xr:uid="{00000000-0006-0000-0500-000016000000}">
      <text>
        <r>
          <rPr>
            <sz val="8"/>
            <color indexed="81"/>
            <rFont val="Tahoma"/>
            <family val="2"/>
          </rPr>
          <t xml:space="preserve">Spreadsheet substitutes in numbers randomised for numbers analysed if numbers analysed are not provided (ie assumes all patients randomised are analysed)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40" authorId="0" shapeId="0" xr:uid="{00000000-0006-0000-0500-000017000000}">
      <text>
        <r>
          <rPr>
            <sz val="8"/>
            <color indexed="81"/>
            <rFont val="Tahoma"/>
            <family val="2"/>
          </rPr>
          <t xml:space="preserve">Spreadsheet substitutes in numbers randomised for numbers analysed if numbers analysed are not provided (ie assumes all patients randomised are analysed)
</t>
        </r>
      </text>
    </comment>
  </commentList>
</comments>
</file>

<file path=xl/sharedStrings.xml><?xml version="1.0" encoding="utf-8"?>
<sst xmlns="http://schemas.openxmlformats.org/spreadsheetml/2006/main" count="285" uniqueCount="214">
  <si>
    <t>HR</t>
  </si>
  <si>
    <t>V</t>
  </si>
  <si>
    <t>O-E</t>
  </si>
  <si>
    <t>Method</t>
  </si>
  <si>
    <t>Avail</t>
  </si>
  <si>
    <t>Level</t>
  </si>
  <si>
    <t>YN avail</t>
  </si>
  <si>
    <t>p-value</t>
  </si>
  <si>
    <t>Total events</t>
  </si>
  <si>
    <t>Total</t>
  </si>
  <si>
    <t>Data</t>
  </si>
  <si>
    <t>R</t>
  </si>
  <si>
    <t>C</t>
  </si>
  <si>
    <t>Report presents O-E and V</t>
  </si>
  <si>
    <t xml:space="preserve">Report presents HR and CIs </t>
  </si>
  <si>
    <t>Report presents HR and V</t>
  </si>
  <si>
    <t>Report presents HR and O-E</t>
  </si>
  <si>
    <t>Advantage to R or C</t>
  </si>
  <si>
    <t>Min</t>
  </si>
  <si>
    <t>months</t>
  </si>
  <si>
    <t>Max</t>
  </si>
  <si>
    <t>Control</t>
  </si>
  <si>
    <t>Research</t>
  </si>
  <si>
    <t>t</t>
  </si>
  <si>
    <r>
      <t>R</t>
    </r>
    <r>
      <rPr>
        <b/>
        <vertAlign val="subscript"/>
        <sz val="8"/>
        <rFont val="TAHOMA"/>
        <family val="2"/>
      </rPr>
      <t>r</t>
    </r>
    <r>
      <rPr>
        <b/>
        <sz val="8"/>
        <rFont val="Tahoma"/>
        <family val="2"/>
      </rPr>
      <t>(t</t>
    </r>
    <r>
      <rPr>
        <b/>
        <vertAlign val="subscript"/>
        <sz val="8"/>
        <rFont val="TAHOMA"/>
        <family val="2"/>
      </rPr>
      <t>s</t>
    </r>
    <r>
      <rPr>
        <b/>
        <sz val="8"/>
        <rFont val="Tahoma"/>
        <family val="2"/>
      </rPr>
      <t>)</t>
    </r>
  </si>
  <si>
    <r>
      <t>C</t>
    </r>
    <r>
      <rPr>
        <b/>
        <vertAlign val="subscript"/>
        <sz val="8"/>
        <rFont val="TAHOMA"/>
        <family val="2"/>
      </rPr>
      <t>r</t>
    </r>
    <r>
      <rPr>
        <b/>
        <sz val="8"/>
        <rFont val="Tahoma"/>
        <family val="2"/>
      </rPr>
      <t>(t)</t>
    </r>
  </si>
  <si>
    <r>
      <t>R</t>
    </r>
    <r>
      <rPr>
        <b/>
        <vertAlign val="subscript"/>
        <sz val="8"/>
        <rFont val="TAHOMA"/>
        <family val="2"/>
      </rPr>
      <t>r</t>
    </r>
    <r>
      <rPr>
        <b/>
        <sz val="8"/>
        <rFont val="Tahoma"/>
        <family val="2"/>
      </rPr>
      <t>(t)</t>
    </r>
  </si>
  <si>
    <r>
      <t>D</t>
    </r>
    <r>
      <rPr>
        <b/>
        <vertAlign val="subscript"/>
        <sz val="8"/>
        <rFont val="TAHOMA"/>
        <family val="2"/>
      </rPr>
      <t>r</t>
    </r>
    <r>
      <rPr>
        <b/>
        <sz val="8"/>
        <rFont val="Tahoma"/>
        <family val="2"/>
      </rPr>
      <t>(t)</t>
    </r>
  </si>
  <si>
    <r>
      <t>R</t>
    </r>
    <r>
      <rPr>
        <b/>
        <vertAlign val="subscript"/>
        <sz val="8"/>
        <rFont val="TAHOMA"/>
        <family val="2"/>
      </rPr>
      <t>c</t>
    </r>
    <r>
      <rPr>
        <b/>
        <sz val="8"/>
        <rFont val="Tahoma"/>
        <family val="2"/>
      </rPr>
      <t>(t</t>
    </r>
    <r>
      <rPr>
        <b/>
        <vertAlign val="subscript"/>
        <sz val="8"/>
        <rFont val="TAHOMA"/>
        <family val="2"/>
      </rPr>
      <t>s</t>
    </r>
    <r>
      <rPr>
        <b/>
        <sz val="8"/>
        <rFont val="Tahoma"/>
        <family val="2"/>
      </rPr>
      <t>)</t>
    </r>
  </si>
  <si>
    <r>
      <t>C</t>
    </r>
    <r>
      <rPr>
        <b/>
        <vertAlign val="subscript"/>
        <sz val="8"/>
        <rFont val="TAHOMA"/>
        <family val="2"/>
      </rPr>
      <t>c</t>
    </r>
    <r>
      <rPr>
        <b/>
        <sz val="8"/>
        <rFont val="Tahoma"/>
        <family val="2"/>
      </rPr>
      <t>(t)</t>
    </r>
  </si>
  <si>
    <r>
      <t>R</t>
    </r>
    <r>
      <rPr>
        <b/>
        <vertAlign val="subscript"/>
        <sz val="8"/>
        <rFont val="TAHOMA"/>
        <family val="2"/>
      </rPr>
      <t>c</t>
    </r>
    <r>
      <rPr>
        <b/>
        <sz val="8"/>
        <rFont val="Tahoma"/>
        <family val="2"/>
      </rPr>
      <t>(t)</t>
    </r>
  </si>
  <si>
    <r>
      <t>D</t>
    </r>
    <r>
      <rPr>
        <b/>
        <vertAlign val="subscript"/>
        <sz val="8"/>
        <rFont val="TAHOMA"/>
        <family val="2"/>
      </rPr>
      <t>c</t>
    </r>
    <r>
      <rPr>
        <b/>
        <sz val="8"/>
        <rFont val="Tahoma"/>
        <family val="2"/>
      </rPr>
      <t>(t)</t>
    </r>
  </si>
  <si>
    <r>
      <t>ln(HR</t>
    </r>
    <r>
      <rPr>
        <b/>
        <vertAlign val="subscript"/>
        <sz val="8"/>
        <rFont val="TAHOMA"/>
        <family val="2"/>
      </rPr>
      <t>t</t>
    </r>
    <r>
      <rPr>
        <b/>
        <sz val="8"/>
        <rFont val="Tahoma"/>
        <family val="2"/>
      </rPr>
      <t>)</t>
    </r>
  </si>
  <si>
    <r>
      <t>1/V</t>
    </r>
    <r>
      <rPr>
        <b/>
        <vertAlign val="subscript"/>
        <sz val="8"/>
        <rFont val="TAHOMA"/>
        <family val="2"/>
      </rPr>
      <t>t</t>
    </r>
  </si>
  <si>
    <r>
      <t>O</t>
    </r>
    <r>
      <rPr>
        <b/>
        <vertAlign val="subscript"/>
        <sz val="8"/>
        <rFont val="TAHOMA"/>
        <family val="2"/>
      </rPr>
      <t>t</t>
    </r>
    <r>
      <rPr>
        <b/>
        <sz val="8"/>
        <rFont val="Tahoma"/>
        <family val="2"/>
      </rPr>
      <t>-E</t>
    </r>
    <r>
      <rPr>
        <b/>
        <vertAlign val="subscript"/>
        <sz val="8"/>
        <rFont val="TAHOMA"/>
        <family val="2"/>
      </rPr>
      <t>t</t>
    </r>
  </si>
  <si>
    <r>
      <t>V</t>
    </r>
    <r>
      <rPr>
        <b/>
        <vertAlign val="subscript"/>
        <sz val="8"/>
        <rFont val="TAHOMA"/>
        <family val="2"/>
      </rPr>
      <t>t</t>
    </r>
  </si>
  <si>
    <t>A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</si>
  <si>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</si>
  <si>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</si>
  <si>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</si>
  <si>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</si>
  <si>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</si>
  <si>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</si>
  <si>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</si>
  <si>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</si>
  <si>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</si>
  <si>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</si>
  <si>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</si>
  <si>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</si>
  <si>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</si>
  <si>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</si>
  <si>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Key</t>
  </si>
  <si>
    <t>Follow-up:</t>
  </si>
  <si>
    <t>Checks</t>
  </si>
  <si>
    <t>Calcs</t>
  </si>
  <si>
    <t>Q</t>
  </si>
  <si>
    <t>P avail</t>
  </si>
  <si>
    <t>h</t>
  </si>
  <si>
    <t>g</t>
  </si>
  <si>
    <t>l</t>
  </si>
  <si>
    <t>m</t>
  </si>
  <si>
    <t>N&amp;O avail</t>
  </si>
  <si>
    <t>Lower CI</t>
  </si>
  <si>
    <t>Upper CI</t>
  </si>
  <si>
    <t>CI level (e.g. 95%)</t>
  </si>
  <si>
    <t>Range</t>
  </si>
  <si>
    <t>Variance</t>
  </si>
  <si>
    <t>R: Research</t>
  </si>
  <si>
    <t>Adv</t>
  </si>
  <si>
    <t>Advantage to R or C?</t>
  </si>
  <si>
    <t>Report presents observed and expected events on research and control</t>
  </si>
  <si>
    <t>Report presents HR and total events and randomisation ratio is 1:1</t>
  </si>
  <si>
    <t>Report presents HR and events in each arm and randomisation ratio is 1:1</t>
  </si>
  <si>
    <t>Report presents p-value and total events and randomisation ratio is 1:1</t>
  </si>
  <si>
    <t>Report presents p-value and events on each arm and randomisation ratio is 1:1</t>
  </si>
  <si>
    <t>Output based on data available</t>
  </si>
  <si>
    <t>-</t>
  </si>
  <si>
    <t>x</t>
  </si>
  <si>
    <t>to</t>
  </si>
  <si>
    <t>2a</t>
  </si>
  <si>
    <t>2b</t>
  </si>
  <si>
    <t>2c</t>
  </si>
  <si>
    <t>Data Entered</t>
  </si>
  <si>
    <t>Data fields calculated from inputted data</t>
  </si>
  <si>
    <t>Key to table cells</t>
  </si>
  <si>
    <t>Key to methods</t>
  </si>
  <si>
    <t>HR: Hazard Ratio</t>
  </si>
  <si>
    <t>V: Variance</t>
  </si>
  <si>
    <t>Expected events are  logrank expected events</t>
  </si>
  <si>
    <t>Note:</t>
  </si>
  <si>
    <t>Trial ID:</t>
  </si>
  <si>
    <t>P value</t>
  </si>
  <si>
    <t>Randomisation ratio</t>
  </si>
  <si>
    <t>ratio</t>
  </si>
  <si>
    <r>
      <t>t</t>
    </r>
    <r>
      <rPr>
        <b/>
        <vertAlign val="subscript"/>
        <sz val="8"/>
        <rFont val="TAHOMA"/>
        <family val="2"/>
      </rPr>
      <t>s</t>
    </r>
  </si>
  <si>
    <r>
      <t>S</t>
    </r>
    <r>
      <rPr>
        <b/>
        <vertAlign val="subscript"/>
        <sz val="8"/>
        <rFont val="TAHOMA"/>
        <family val="2"/>
      </rPr>
      <t>r</t>
    </r>
    <r>
      <rPr>
        <b/>
        <sz val="8"/>
        <rFont val="Tahoma"/>
        <family val="2"/>
      </rPr>
      <t>(t</t>
    </r>
    <r>
      <rPr>
        <b/>
        <vertAlign val="subscript"/>
        <sz val="8"/>
        <rFont val="TAHOMA"/>
        <family val="2"/>
      </rPr>
      <t>s</t>
    </r>
    <r>
      <rPr>
        <b/>
        <sz val="8"/>
        <rFont val="Tahoma"/>
        <family val="2"/>
      </rPr>
      <t>)</t>
    </r>
  </si>
  <si>
    <r>
      <t>S</t>
    </r>
    <r>
      <rPr>
        <b/>
        <vertAlign val="subscript"/>
        <sz val="8"/>
        <rFont val="TAHOMA"/>
        <family val="2"/>
      </rPr>
      <t>c</t>
    </r>
    <r>
      <rPr>
        <b/>
        <sz val="8"/>
        <rFont val="Tahoma"/>
        <family val="2"/>
      </rPr>
      <t>(t</t>
    </r>
    <r>
      <rPr>
        <b/>
        <vertAlign val="subscript"/>
        <sz val="8"/>
        <rFont val="TAHOMA"/>
        <family val="2"/>
      </rPr>
      <t>s</t>
    </r>
    <r>
      <rPr>
        <b/>
        <sz val="8"/>
        <rFont val="Tahoma"/>
        <family val="2"/>
      </rPr>
      <t>)</t>
    </r>
  </si>
  <si>
    <t>Final survival proportions</t>
  </si>
  <si>
    <r>
      <t>S</t>
    </r>
    <r>
      <rPr>
        <b/>
        <vertAlign val="subscript"/>
        <sz val="8"/>
        <color indexed="23"/>
        <rFont val="TAHOMA"/>
        <family val="2"/>
      </rPr>
      <t>r</t>
    </r>
    <r>
      <rPr>
        <b/>
        <sz val="8"/>
        <color indexed="23"/>
        <rFont val="TAHOMA"/>
        <family val="2"/>
      </rPr>
      <t>(t</t>
    </r>
    <r>
      <rPr>
        <b/>
        <vertAlign val="subscript"/>
        <sz val="8"/>
        <color indexed="23"/>
        <rFont val="TAHOMA"/>
        <family val="2"/>
      </rPr>
      <t>s</t>
    </r>
    <r>
      <rPr>
        <b/>
        <sz val="8"/>
        <color indexed="23"/>
        <rFont val="TAHOMA"/>
        <family val="2"/>
      </rPr>
      <t>)</t>
    </r>
  </si>
  <si>
    <r>
      <t>S</t>
    </r>
    <r>
      <rPr>
        <b/>
        <vertAlign val="subscript"/>
        <sz val="8"/>
        <color indexed="23"/>
        <rFont val="TAHOMA"/>
        <family val="2"/>
      </rPr>
      <t>c</t>
    </r>
    <r>
      <rPr>
        <b/>
        <sz val="8"/>
        <color indexed="23"/>
        <rFont val="TAHOMA"/>
        <family val="2"/>
      </rPr>
      <t>(t</t>
    </r>
    <r>
      <rPr>
        <b/>
        <vertAlign val="subscript"/>
        <sz val="8"/>
        <color indexed="23"/>
        <rFont val="TAHOMA"/>
        <family val="2"/>
      </rPr>
      <t>s</t>
    </r>
    <r>
      <rPr>
        <b/>
        <sz val="8"/>
        <color indexed="23"/>
        <rFont val="TAHOMA"/>
        <family val="2"/>
      </rPr>
      <t>)</t>
    </r>
  </si>
  <si>
    <t>Note: "survival" is taken to mean event-free, regardless of the event in question</t>
  </si>
  <si>
    <t>na</t>
  </si>
  <si>
    <t>Calculations rely on HR&lt;1 denoting advantage to R and HR&gt;1 denoting advantage to C</t>
  </si>
  <si>
    <t>Report presents HR, total events and the no.s analysed on each arm and randomisation ratio need not be 1:1</t>
  </si>
  <si>
    <t xml:space="preserve">Enter in the white boxes any information </t>
  </si>
  <si>
    <t>The trial ID (title) will propagate to the</t>
  </si>
  <si>
    <t xml:space="preserve">Data read from the curve can be entered </t>
  </si>
  <si>
    <t xml:space="preserve">   on the second sheet</t>
  </si>
  <si>
    <t xml:space="preserve">   other trial pages</t>
  </si>
  <si>
    <t xml:space="preserve">   that can be extracted from the paper</t>
  </si>
  <si>
    <t xml:space="preserve">Calculations and results are found in </t>
  </si>
  <si>
    <t xml:space="preserve">   the final page</t>
  </si>
  <si>
    <t>Data read from curve where wished</t>
  </si>
  <si>
    <t>Pts analysed</t>
  </si>
  <si>
    <t>Observed events</t>
  </si>
  <si>
    <t>Expected events</t>
  </si>
  <si>
    <t>Obs events Research</t>
  </si>
  <si>
    <t xml:space="preserve">Obs events Control </t>
  </si>
  <si>
    <t>Expt events Research</t>
  </si>
  <si>
    <t>Expt events Control</t>
  </si>
  <si>
    <t>Pts randomised</t>
  </si>
  <si>
    <t>Data Checks</t>
  </si>
  <si>
    <t>Outcomes</t>
  </si>
  <si>
    <t>Data from curve read where wished and assuming constant censoring</t>
  </si>
  <si>
    <t>Data from curve with numbers at risk given (1)</t>
  </si>
  <si>
    <t>Data from curve with numbers at risk given (2)</t>
  </si>
  <si>
    <t>Data from curve and numbers of risk at set times</t>
  </si>
  <si>
    <t>ln(HR)</t>
  </si>
  <si>
    <t>se(ln(HR))</t>
  </si>
  <si>
    <t>e and v(eq8)</t>
  </si>
  <si>
    <t>v(eq7)</t>
  </si>
  <si>
    <t>numbers</t>
  </si>
  <si>
    <t>avail</t>
  </si>
  <si>
    <r>
      <t>t</t>
    </r>
    <r>
      <rPr>
        <b/>
        <vertAlign val="subscript"/>
        <sz val="8"/>
        <rFont val="TAHOMA"/>
        <family val="2"/>
      </rPr>
      <t>i,i-1</t>
    </r>
  </si>
  <si>
    <r>
      <t>t</t>
    </r>
    <r>
      <rPr>
        <b/>
        <vertAlign val="subscript"/>
        <sz val="8"/>
        <rFont val="TAHOMA"/>
        <family val="2"/>
      </rPr>
      <t>i-1</t>
    </r>
  </si>
  <si>
    <r>
      <t>s</t>
    </r>
    <r>
      <rPr>
        <b/>
        <vertAlign val="subscript"/>
        <sz val="8"/>
        <rFont val="TAHOMA"/>
        <family val="2"/>
      </rPr>
      <t>2,i</t>
    </r>
  </si>
  <si>
    <r>
      <t>n</t>
    </r>
    <r>
      <rPr>
        <b/>
        <vertAlign val="subscript"/>
        <sz val="8"/>
        <rFont val="TAHOMA"/>
        <family val="2"/>
      </rPr>
      <t>2,i</t>
    </r>
  </si>
  <si>
    <r>
      <t>s</t>
    </r>
    <r>
      <rPr>
        <b/>
        <vertAlign val="subscript"/>
        <sz val="8"/>
        <rFont val="TAHOMA"/>
        <family val="2"/>
      </rPr>
      <t>1,i</t>
    </r>
  </si>
  <si>
    <r>
      <t>n</t>
    </r>
    <r>
      <rPr>
        <b/>
        <vertAlign val="subscript"/>
        <sz val="8"/>
        <rFont val="TAHOMA"/>
        <family val="2"/>
      </rPr>
      <t>1,i</t>
    </r>
  </si>
  <si>
    <r>
      <t>n</t>
    </r>
    <r>
      <rPr>
        <b/>
        <vertAlign val="superscript"/>
        <sz val="8"/>
        <rFont val="Tahoma"/>
        <family val="2"/>
      </rPr>
      <t>*</t>
    </r>
    <r>
      <rPr>
        <b/>
        <vertAlign val="subscript"/>
        <sz val="8"/>
        <rFont val="TAHOMA"/>
        <family val="2"/>
      </rPr>
      <t>1,i</t>
    </r>
  </si>
  <si>
    <r>
      <t>d</t>
    </r>
    <r>
      <rPr>
        <b/>
        <vertAlign val="superscript"/>
        <sz val="8"/>
        <rFont val="Tahoma"/>
        <family val="2"/>
      </rPr>
      <t>*</t>
    </r>
    <r>
      <rPr>
        <b/>
        <vertAlign val="subscript"/>
        <sz val="8"/>
        <rFont val="TAHOMA"/>
        <family val="2"/>
      </rPr>
      <t>2,i</t>
    </r>
  </si>
  <si>
    <r>
      <t>n</t>
    </r>
    <r>
      <rPr>
        <b/>
        <vertAlign val="superscript"/>
        <sz val="8"/>
        <rFont val="Tahoma"/>
        <family val="2"/>
      </rPr>
      <t>*</t>
    </r>
    <r>
      <rPr>
        <b/>
        <vertAlign val="subscript"/>
        <sz val="8"/>
        <rFont val="TAHOMA"/>
        <family val="2"/>
      </rPr>
      <t>2,</t>
    </r>
    <r>
      <rPr>
        <b/>
        <vertAlign val="subscript"/>
        <sz val="8"/>
        <rFont val="TAHOMA"/>
        <family val="2"/>
      </rPr>
      <t>i</t>
    </r>
  </si>
  <si>
    <r>
      <t>c</t>
    </r>
    <r>
      <rPr>
        <b/>
        <vertAlign val="superscript"/>
        <sz val="8"/>
        <rFont val="Tahoma"/>
        <family val="2"/>
      </rPr>
      <t>*</t>
    </r>
    <r>
      <rPr>
        <b/>
        <vertAlign val="subscript"/>
        <sz val="8"/>
        <rFont val="TAHOMA"/>
        <family val="2"/>
      </rPr>
      <t>2,i</t>
    </r>
  </si>
  <si>
    <r>
      <t>d</t>
    </r>
    <r>
      <rPr>
        <b/>
        <vertAlign val="superscript"/>
        <sz val="8"/>
        <rFont val="Tahoma"/>
        <family val="2"/>
      </rPr>
      <t>*</t>
    </r>
    <r>
      <rPr>
        <b/>
        <vertAlign val="subscript"/>
        <sz val="8"/>
        <rFont val="TAHOMA"/>
        <family val="2"/>
      </rPr>
      <t>1,i</t>
    </r>
  </si>
  <si>
    <r>
      <t>c</t>
    </r>
    <r>
      <rPr>
        <b/>
        <vertAlign val="superscript"/>
        <sz val="8"/>
        <rFont val="Tahoma"/>
        <family val="2"/>
      </rPr>
      <t>*</t>
    </r>
    <r>
      <rPr>
        <b/>
        <vertAlign val="subscript"/>
        <sz val="8"/>
        <rFont val="TAHOMA"/>
        <family val="2"/>
      </rPr>
      <t>1,i</t>
    </r>
  </si>
  <si>
    <t>Short trt name</t>
  </si>
  <si>
    <t>Hazard ratio (CI)</t>
  </si>
  <si>
    <t>Estimate</t>
  </si>
  <si>
    <t>Data fields inputted into (1)_Summary_Data sheet</t>
  </si>
  <si>
    <t>Pts entered</t>
  </si>
  <si>
    <r>
      <t>e</t>
    </r>
    <r>
      <rPr>
        <b/>
        <vertAlign val="superscript"/>
        <sz val="8"/>
        <rFont val="Tahoma"/>
        <family val="2"/>
      </rPr>
      <t>*</t>
    </r>
    <r>
      <rPr>
        <b/>
        <vertAlign val="subscript"/>
        <sz val="8"/>
        <rFont val="TAHOMA"/>
        <family val="2"/>
      </rPr>
      <t>2,k</t>
    </r>
  </si>
  <si>
    <r>
      <t>d</t>
    </r>
    <r>
      <rPr>
        <b/>
        <vertAlign val="superscript"/>
        <sz val="8"/>
        <rFont val="Tahoma"/>
        <family val="2"/>
      </rPr>
      <t>*</t>
    </r>
    <r>
      <rPr>
        <b/>
        <vertAlign val="subscript"/>
        <sz val="8"/>
        <rFont val="TAHOMA"/>
        <family val="2"/>
      </rPr>
      <t>2,k</t>
    </r>
    <r>
      <rPr>
        <b/>
        <sz val="8"/>
        <rFont val="Tahoma"/>
        <family val="2"/>
      </rPr>
      <t>-e</t>
    </r>
    <r>
      <rPr>
        <b/>
        <vertAlign val="superscript"/>
        <sz val="8"/>
        <rFont val="Tahoma"/>
        <family val="2"/>
      </rPr>
      <t>*</t>
    </r>
    <r>
      <rPr>
        <b/>
        <vertAlign val="subscript"/>
        <sz val="8"/>
        <rFont val="TAHOMA"/>
        <family val="2"/>
      </rPr>
      <t>2,k</t>
    </r>
  </si>
  <si>
    <r>
      <t>v</t>
    </r>
    <r>
      <rPr>
        <b/>
        <vertAlign val="subscript"/>
        <sz val="8"/>
        <rFont val="TAHOMA"/>
        <family val="2"/>
      </rPr>
      <t>k</t>
    </r>
  </si>
  <si>
    <r>
      <t>ln(HR)</t>
    </r>
    <r>
      <rPr>
        <b/>
        <vertAlign val="subscript"/>
        <sz val="8"/>
        <rFont val="TAHOMA"/>
        <family val="2"/>
      </rPr>
      <t>k</t>
    </r>
  </si>
  <si>
    <r>
      <t>1/v</t>
    </r>
    <r>
      <rPr>
        <b/>
        <vertAlign val="subscript"/>
        <sz val="8"/>
        <rFont val="TAHOMA"/>
        <family val="2"/>
      </rPr>
      <t>k</t>
    </r>
  </si>
  <si>
    <t>C: Control</t>
  </si>
  <si>
    <t>CI: Confidence interval</t>
  </si>
  <si>
    <t>Report presents p-value, total events &amp; no.s analysed on each arm and randomisation ratio need not be 1:1</t>
  </si>
  <si>
    <t>Data entered by:</t>
  </si>
  <si>
    <t>Institution:</t>
  </si>
  <si>
    <t>Version 3.0, 28 September 2004</t>
  </si>
  <si>
    <t>Spreadsheet developed by:</t>
  </si>
  <si>
    <t>Matthew Sydes</t>
  </si>
  <si>
    <t>Jayne Tierney</t>
  </si>
  <si>
    <t>MRC Clinical Trials Unit, London</t>
  </si>
  <si>
    <t>Based on:</t>
  </si>
  <si>
    <t>Parmar MK, Torri V &amp; Stewart. Extracting summary statistics to perform meta-analyses of the published</t>
  </si>
  <si>
    <t>Williamson P, Tudur Smith C, Hutton JL &amp; Marson AG. Aggregrate data meta-analysis with time-to-event</t>
  </si>
  <si>
    <t>outcomes. Statistics in Medicine 2002; 21:3337-3351</t>
  </si>
  <si>
    <t>literative for survival endpoints.  Statistics in Medicine 1998; 17:2815-34</t>
  </si>
  <si>
    <t>Date:</t>
  </si>
  <si>
    <t>Use Tab to move between white boxes</t>
  </si>
  <si>
    <r>
      <t xml:space="preserve">Calculation method </t>
    </r>
    <r>
      <rPr>
        <sz val="8"/>
        <rFont val="Tahoma"/>
        <family val="2"/>
      </rPr>
      <t>(see key)</t>
    </r>
  </si>
  <si>
    <t>Lower 95% CI</t>
  </si>
  <si>
    <t>Upper 95% CI</t>
  </si>
  <si>
    <t>Diff</t>
  </si>
  <si>
    <r>
      <t xml:space="preserve">D: </t>
    </r>
    <r>
      <rPr>
        <sz val="8"/>
        <rFont val="Tahoma"/>
        <family val="2"/>
      </rPr>
      <t>Survival prob at start of t (%)</t>
    </r>
  </si>
  <si>
    <r>
      <t xml:space="preserve">E: </t>
    </r>
    <r>
      <rPr>
        <sz val="8"/>
        <rFont val="Tahoma"/>
        <family val="2"/>
      </rPr>
      <t>Effective number event-free at start of t</t>
    </r>
  </si>
  <si>
    <r>
      <t xml:space="preserve">A: </t>
    </r>
    <r>
      <rPr>
        <sz val="8"/>
        <rFont val="Tahoma"/>
        <family val="2"/>
      </rPr>
      <t>Checks</t>
    </r>
  </si>
  <si>
    <r>
      <t xml:space="preserve">B: </t>
    </r>
    <r>
      <rPr>
        <sz val="8"/>
        <rFont val="Tahoma"/>
        <family val="2"/>
      </rPr>
      <t>Time interval</t>
    </r>
  </si>
  <si>
    <r>
      <t xml:space="preserve">C: </t>
    </r>
    <r>
      <rPr>
        <sz val="8"/>
        <rFont val="Tahoma"/>
        <family val="2"/>
      </rPr>
      <t>Start of t</t>
    </r>
  </si>
  <si>
    <r>
      <t xml:space="preserve">I: </t>
    </r>
    <r>
      <rPr>
        <sz val="8"/>
        <rFont val="Tahoma"/>
        <family val="2"/>
      </rPr>
      <t>Survival prob at start of t (%)</t>
    </r>
  </si>
  <si>
    <r>
      <t xml:space="preserve">J: </t>
    </r>
    <r>
      <rPr>
        <sz val="8"/>
        <rFont val="Tahoma"/>
        <family val="2"/>
      </rPr>
      <t>Effective number alive at start of t</t>
    </r>
  </si>
  <si>
    <r>
      <t xml:space="preserve">N: </t>
    </r>
    <r>
      <rPr>
        <sz val="8"/>
        <rFont val="Tahoma"/>
        <family val="2"/>
      </rPr>
      <t>Log hazard ratio for t</t>
    </r>
  </si>
  <si>
    <r>
      <t xml:space="preserve">O: </t>
    </r>
    <r>
      <rPr>
        <sz val="8"/>
        <rFont val="Tahoma"/>
        <family val="2"/>
      </rPr>
      <t>Variance of log hazard ratio for t</t>
    </r>
  </si>
  <si>
    <r>
      <t xml:space="preserve">P: </t>
    </r>
    <r>
      <rPr>
        <sz val="8"/>
        <rFont val="Tahoma"/>
        <family val="2"/>
      </rPr>
      <t>ln(HR) divided by its variance for t</t>
    </r>
  </si>
  <si>
    <r>
      <t xml:space="preserve">Q: </t>
    </r>
    <r>
      <rPr>
        <sz val="8"/>
        <rFont val="Tahoma"/>
        <family val="2"/>
      </rPr>
      <t>Reciprocal of the variance of ln (HR) for t</t>
    </r>
  </si>
  <si>
    <r>
      <t xml:space="preserve">D: </t>
    </r>
    <r>
      <rPr>
        <sz val="8"/>
        <rFont val="Tahoma"/>
        <family val="2"/>
      </rPr>
      <t>Survival prob at t</t>
    </r>
    <r>
      <rPr>
        <vertAlign val="subscript"/>
        <sz val="8"/>
        <rFont val="Tahoma"/>
        <family val="2"/>
      </rPr>
      <t>i-1</t>
    </r>
    <r>
      <rPr>
        <sz val="8"/>
        <rFont val="Tahoma"/>
        <family val="2"/>
      </rPr>
      <t xml:space="preserve"> (%)</t>
    </r>
  </si>
  <si>
    <r>
      <t xml:space="preserve">E: </t>
    </r>
    <r>
      <rPr>
        <sz val="8"/>
        <rFont val="Tahoma"/>
        <family val="2"/>
      </rPr>
      <t>Number alive at t</t>
    </r>
    <r>
      <rPr>
        <vertAlign val="subscript"/>
        <sz val="8"/>
        <rFont val="Tahoma"/>
        <family val="2"/>
      </rPr>
      <t>i-1</t>
    </r>
  </si>
  <si>
    <r>
      <t xml:space="preserve">I: </t>
    </r>
    <r>
      <rPr>
        <sz val="8"/>
        <rFont val="Tahoma"/>
        <family val="2"/>
      </rPr>
      <t>Survival prob at t</t>
    </r>
    <r>
      <rPr>
        <vertAlign val="subscript"/>
        <sz val="8"/>
        <rFont val="Tahoma"/>
        <family val="2"/>
      </rPr>
      <t>i-1</t>
    </r>
    <r>
      <rPr>
        <sz val="8"/>
        <rFont val="Tahoma"/>
        <family val="2"/>
      </rPr>
      <t xml:space="preserve"> (%)</t>
    </r>
  </si>
  <si>
    <r>
      <t xml:space="preserve">J: </t>
    </r>
    <r>
      <rPr>
        <sz val="8"/>
        <rFont val="Tahoma"/>
        <family val="2"/>
      </rPr>
      <t>Number alive at t</t>
    </r>
    <r>
      <rPr>
        <vertAlign val="subscript"/>
        <sz val="8"/>
        <rFont val="Tahoma"/>
        <family val="2"/>
      </rPr>
      <t>i-1</t>
    </r>
  </si>
  <si>
    <r>
      <t xml:space="preserve">N: </t>
    </r>
    <r>
      <rPr>
        <sz val="8"/>
        <rFont val="Tahoma"/>
        <family val="2"/>
      </rPr>
      <t>Proportion of events in research arm</t>
    </r>
  </si>
  <si>
    <r>
      <t xml:space="preserve">F: </t>
    </r>
    <r>
      <rPr>
        <sz val="8"/>
        <rFont val="Tahoma"/>
        <family val="2"/>
      </rPr>
      <t>Effective number at risk during t</t>
    </r>
    <r>
      <rPr>
        <vertAlign val="subscript"/>
        <sz val="8"/>
        <rFont val="Tahoma"/>
        <family val="2"/>
      </rPr>
      <t>i-1</t>
    </r>
    <r>
      <rPr>
        <sz val="8"/>
        <rFont val="Tahoma"/>
        <family val="2"/>
      </rPr>
      <t>,t</t>
    </r>
    <r>
      <rPr>
        <vertAlign val="subscript"/>
        <sz val="8"/>
        <rFont val="Tahoma"/>
        <family val="2"/>
      </rPr>
      <t>i</t>
    </r>
  </si>
  <si>
    <r>
      <t xml:space="preserve">H: </t>
    </r>
    <r>
      <rPr>
        <sz val="8"/>
        <rFont val="Tahoma"/>
        <family val="2"/>
      </rPr>
      <t>Effective number censored during t</t>
    </r>
    <r>
      <rPr>
        <vertAlign val="subscript"/>
        <sz val="8"/>
        <rFont val="Tahoma"/>
        <family val="2"/>
      </rPr>
      <t>i-1</t>
    </r>
    <r>
      <rPr>
        <sz val="8"/>
        <rFont val="Tahoma"/>
        <family val="2"/>
      </rPr>
      <t>,t</t>
    </r>
    <r>
      <rPr>
        <vertAlign val="subscript"/>
        <sz val="8"/>
        <rFont val="Tahoma"/>
        <family val="2"/>
      </rPr>
      <t>i</t>
    </r>
  </si>
  <si>
    <r>
      <t xml:space="preserve">K: </t>
    </r>
    <r>
      <rPr>
        <sz val="8"/>
        <rFont val="Tahoma"/>
        <family val="2"/>
      </rPr>
      <t>Effective number at risk during t</t>
    </r>
    <r>
      <rPr>
        <vertAlign val="subscript"/>
        <sz val="8"/>
        <rFont val="Tahoma"/>
        <family val="2"/>
      </rPr>
      <t>i-1</t>
    </r>
    <r>
      <rPr>
        <sz val="8"/>
        <rFont val="Tahoma"/>
        <family val="2"/>
      </rPr>
      <t>,t</t>
    </r>
    <r>
      <rPr>
        <vertAlign val="subscript"/>
        <sz val="8"/>
        <rFont val="Tahoma"/>
        <family val="2"/>
      </rPr>
      <t>i</t>
    </r>
  </si>
  <si>
    <r>
      <t xml:space="preserve">M: </t>
    </r>
    <r>
      <rPr>
        <sz val="8"/>
        <rFont val="Tahoma"/>
        <family val="2"/>
      </rPr>
      <t>Effective number censored during t</t>
    </r>
    <r>
      <rPr>
        <vertAlign val="subscript"/>
        <sz val="8"/>
        <rFont val="Tahoma"/>
        <family val="2"/>
      </rPr>
      <t>i-1</t>
    </r>
    <r>
      <rPr>
        <sz val="8"/>
        <rFont val="Tahoma"/>
        <family val="2"/>
      </rPr>
      <t>,t</t>
    </r>
    <r>
      <rPr>
        <vertAlign val="subscript"/>
        <sz val="8"/>
        <rFont val="Tahoma"/>
        <family val="2"/>
      </rPr>
      <t>i</t>
    </r>
  </si>
  <si>
    <r>
      <t xml:space="preserve">F: </t>
    </r>
    <r>
      <rPr>
        <sz val="8"/>
        <rFont val="Tahoma"/>
        <family val="2"/>
      </rPr>
      <t>Effective number at risk during t</t>
    </r>
  </si>
  <si>
    <r>
      <t xml:space="preserve">K: </t>
    </r>
    <r>
      <rPr>
        <sz val="8"/>
        <rFont val="Tahoma"/>
        <family val="2"/>
      </rPr>
      <t>Effective number at risk during t</t>
    </r>
  </si>
  <si>
    <r>
      <t xml:space="preserve">G: </t>
    </r>
    <r>
      <rPr>
        <sz val="8"/>
        <rFont val="Tahoma"/>
        <family val="2"/>
      </rPr>
      <t>Effective number events during t</t>
    </r>
    <r>
      <rPr>
        <vertAlign val="subscript"/>
        <sz val="8"/>
        <rFont val="Tahoma"/>
        <family val="2"/>
      </rPr>
      <t>i-1</t>
    </r>
    <r>
      <rPr>
        <sz val="8"/>
        <rFont val="Tahoma"/>
        <family val="2"/>
      </rPr>
      <t>,t</t>
    </r>
    <r>
      <rPr>
        <vertAlign val="subscript"/>
        <sz val="8"/>
        <rFont val="Tahoma"/>
        <family val="2"/>
      </rPr>
      <t>i</t>
    </r>
  </si>
  <si>
    <r>
      <t xml:space="preserve">L: </t>
    </r>
    <r>
      <rPr>
        <sz val="8"/>
        <rFont val="Tahoma"/>
        <family val="2"/>
      </rPr>
      <t>Effective number events during t</t>
    </r>
    <r>
      <rPr>
        <vertAlign val="subscript"/>
        <sz val="8"/>
        <rFont val="Tahoma"/>
        <family val="2"/>
      </rPr>
      <t>i-1</t>
    </r>
    <r>
      <rPr>
        <sz val="8"/>
        <rFont val="Tahoma"/>
        <family val="2"/>
      </rPr>
      <t>,t</t>
    </r>
    <r>
      <rPr>
        <vertAlign val="subscript"/>
        <sz val="8"/>
        <rFont val="Tahoma"/>
        <family val="2"/>
      </rPr>
      <t>i</t>
    </r>
  </si>
  <si>
    <r>
      <t>O:</t>
    </r>
    <r>
      <rPr>
        <b/>
        <sz val="8"/>
        <color indexed="58"/>
        <rFont val="Tahoma"/>
        <family val="2"/>
      </rPr>
      <t xml:space="preserve"> </t>
    </r>
    <r>
      <rPr>
        <sz val="8"/>
        <rFont val="Tahoma"/>
        <family val="2"/>
      </rPr>
      <t>Difference in events</t>
    </r>
  </si>
  <si>
    <t>95%CI info</t>
  </si>
  <si>
    <t>Summary data</t>
  </si>
  <si>
    <t>Data?</t>
  </si>
  <si>
    <r>
      <t xml:space="preserve">L: </t>
    </r>
    <r>
      <rPr>
        <sz val="8"/>
        <rFont val="Tahoma"/>
        <family val="2"/>
      </rPr>
      <t>Effective number of events during t</t>
    </r>
  </si>
  <si>
    <r>
      <t xml:space="preserve">M: </t>
    </r>
    <r>
      <rPr>
        <sz val="8"/>
        <rFont val="Tahoma"/>
        <family val="2"/>
      </rPr>
      <t>Effective number censored during t</t>
    </r>
  </si>
  <si>
    <r>
      <t xml:space="preserve">G: </t>
    </r>
    <r>
      <rPr>
        <sz val="8"/>
        <rFont val="Tahoma"/>
        <family val="2"/>
      </rPr>
      <t>Effective number of events during t</t>
    </r>
  </si>
  <si>
    <r>
      <t xml:space="preserve">H: </t>
    </r>
    <r>
      <rPr>
        <sz val="8"/>
        <rFont val="Tahoma"/>
        <family val="2"/>
      </rPr>
      <t>Effective number censored during t</t>
    </r>
  </si>
  <si>
    <r>
      <t>P:</t>
    </r>
    <r>
      <rPr>
        <b/>
        <sz val="8"/>
        <color indexed="57"/>
        <rFont val="Tahoma"/>
        <family val="2"/>
      </rPr>
      <t xml:space="preserve"> </t>
    </r>
    <r>
      <rPr>
        <sz val="8"/>
        <rFont val="Tahoma"/>
        <family val="2"/>
      </rPr>
      <t>Variance of the log hazard ratio for t</t>
    </r>
    <r>
      <rPr>
        <vertAlign val="subscript"/>
        <sz val="8"/>
        <rFont val="Tahoma"/>
        <family val="2"/>
      </rPr>
      <t>k</t>
    </r>
  </si>
  <si>
    <r>
      <t>Q:</t>
    </r>
    <r>
      <rPr>
        <b/>
        <sz val="8"/>
        <color indexed="57"/>
        <rFont val="Tahoma"/>
        <family val="2"/>
      </rPr>
      <t xml:space="preserve"> </t>
    </r>
    <r>
      <rPr>
        <sz val="8"/>
        <rFont val="Tahoma"/>
        <family val="2"/>
      </rPr>
      <t>Log hazard ratio for t</t>
    </r>
    <r>
      <rPr>
        <vertAlign val="subscript"/>
        <sz val="8"/>
        <rFont val="Tahoma"/>
        <family val="2"/>
      </rPr>
      <t>k</t>
    </r>
  </si>
  <si>
    <r>
      <t>R:</t>
    </r>
    <r>
      <rPr>
        <b/>
        <sz val="8"/>
        <color indexed="57"/>
        <rFont val="Tahoma"/>
        <family val="2"/>
      </rPr>
      <t xml:space="preserve"> </t>
    </r>
    <r>
      <rPr>
        <sz val="8"/>
        <rFont val="Tahoma"/>
        <family val="2"/>
      </rPr>
      <t>Reciprocal of the variance of the log hazard ratio for t</t>
    </r>
    <r>
      <rPr>
        <vertAlign val="subscript"/>
        <sz val="8"/>
        <rFont val="Tahoma"/>
        <family val="2"/>
      </rPr>
      <t>k</t>
    </r>
  </si>
  <si>
    <t xml:space="preserve"> </t>
  </si>
  <si>
    <t>Enabling macros will allow easy clearing of data</t>
  </si>
  <si>
    <t>[Enter trial name]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</si>
</sst>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"/>
    <numFmt numFmtId="166" formatCode="0.0000"/>
    <numFmt numFmtId="167" formatCode="0.000"/>
    <numFmt numFmtId="168" formatCode="dd\ mmm\ yyyy\ \(hh:mm\)"/>
  </numFmts>
  <fonts count="38" x14ac:knownFonts="1">
    <font>
      <sz val="10"/>
      <name val="tahoma"/>
    </font>
    <font>
      <sz val="10"/>
      <name val="Tahoma"/>
      <family val="2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8"/>
      <color indexed="23"/>
      <name val="TAHOMA"/>
      <family val="2"/>
    </font>
    <font>
      <b/>
      <vertAlign val="subscript"/>
      <sz val="8"/>
      <color indexed="23"/>
      <name val="TAHOMA"/>
      <family val="2"/>
    </font>
    <font>
      <b/>
      <i/>
      <sz val="8"/>
      <name val="TAHOMA"/>
      <family val="2"/>
    </font>
    <font>
      <b/>
      <vertAlign val="subscript"/>
      <sz val="8"/>
      <name val="TAHOMA"/>
      <family val="2"/>
    </font>
    <font>
      <b/>
      <sz val="8"/>
      <color indexed="18"/>
      <name val="Tahoma"/>
      <family val="2"/>
    </font>
    <font>
      <b/>
      <u/>
      <sz val="8"/>
      <name val="Tahoma"/>
      <family val="2"/>
    </font>
    <font>
      <b/>
      <sz val="8"/>
      <color indexed="8"/>
      <name val="Tahoma"/>
      <family val="2"/>
    </font>
    <font>
      <b/>
      <sz val="8"/>
      <color indexed="16"/>
      <name val="Tahoma"/>
      <family val="2"/>
    </font>
    <font>
      <sz val="8"/>
      <color indexed="10"/>
      <name val="Tahoma"/>
      <family val="2"/>
    </font>
    <font>
      <b/>
      <sz val="8"/>
      <color indexed="58"/>
      <name val="Tahoma"/>
      <family val="2"/>
    </font>
    <font>
      <b/>
      <sz val="8"/>
      <color indexed="48"/>
      <name val="Tahoma"/>
      <family val="2"/>
    </font>
    <font>
      <u/>
      <sz val="8"/>
      <name val="Tahoma"/>
      <family val="2"/>
    </font>
    <font>
      <sz val="8"/>
      <color indexed="58"/>
      <name val="TAHOMA"/>
      <family val="2"/>
    </font>
    <font>
      <sz val="8"/>
      <color indexed="17"/>
      <name val="TAHOMA"/>
      <family val="2"/>
    </font>
    <font>
      <sz val="8"/>
      <color indexed="8"/>
      <name val="Tahoma"/>
      <family val="2"/>
    </font>
    <font>
      <u/>
      <sz val="8"/>
      <color indexed="23"/>
      <name val="TAHOMA"/>
      <family val="2"/>
    </font>
    <font>
      <sz val="8"/>
      <color indexed="18"/>
      <name val="TAHOMA"/>
      <family val="2"/>
    </font>
    <font>
      <sz val="6"/>
      <color indexed="18"/>
      <name val="Tahoma"/>
      <family val="2"/>
    </font>
    <font>
      <sz val="8"/>
      <color indexed="60"/>
      <name val="TAHOMA"/>
      <family val="2"/>
    </font>
    <font>
      <b/>
      <sz val="8"/>
      <color indexed="60"/>
      <name val="Tahoma"/>
      <family val="2"/>
    </font>
    <font>
      <sz val="8"/>
      <color indexed="81"/>
      <name val="Tahoma"/>
      <family val="2"/>
    </font>
    <font>
      <sz val="8"/>
      <color indexed="22"/>
      <name val="Tahoma"/>
      <family val="2"/>
    </font>
    <font>
      <b/>
      <sz val="8"/>
      <color indexed="17"/>
      <name val="Tahoma"/>
      <family val="2"/>
    </font>
    <font>
      <b/>
      <sz val="8"/>
      <color indexed="57"/>
      <name val="Tahoma"/>
      <family val="2"/>
    </font>
    <font>
      <b/>
      <vertAlign val="superscript"/>
      <sz val="8"/>
      <name val="Tahoma"/>
      <family val="2"/>
    </font>
    <font>
      <vertAlign val="subscript"/>
      <sz val="8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sz val="6"/>
      <color indexed="8"/>
      <name val="Tahoma"/>
      <family val="2"/>
    </font>
    <font>
      <b/>
      <sz val="6"/>
      <name val="Tahoma"/>
      <family val="2"/>
    </font>
    <font>
      <sz val="8"/>
      <color rgb="FF00008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</fills>
  <borders count="1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22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23"/>
      </right>
      <top style="thin">
        <color indexed="55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55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55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/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23"/>
      </left>
      <right/>
      <top style="thin">
        <color indexed="2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23"/>
      </top>
      <bottom style="medium">
        <color indexed="64"/>
      </bottom>
      <diagonal/>
    </border>
    <border>
      <left/>
      <right style="thin">
        <color indexed="23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 style="thin">
        <color indexed="55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55"/>
      </left>
      <right style="thin">
        <color indexed="64"/>
      </right>
      <top style="thin">
        <color indexed="23"/>
      </top>
      <bottom style="medium">
        <color indexed="64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22"/>
      </bottom>
      <diagonal/>
    </border>
    <border>
      <left/>
      <right style="thin">
        <color indexed="64"/>
      </right>
      <top style="medium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 style="thin">
        <color indexed="22"/>
      </bottom>
      <diagonal/>
    </border>
    <border>
      <left style="thin">
        <color indexed="23"/>
      </left>
      <right style="thin">
        <color indexed="55"/>
      </right>
      <top style="thin">
        <color indexed="55"/>
      </top>
      <bottom style="thin">
        <color indexed="23"/>
      </bottom>
      <diagonal/>
    </border>
    <border>
      <left/>
      <right style="thin">
        <color indexed="55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55"/>
      </right>
      <top style="thin">
        <color indexed="23"/>
      </top>
      <bottom style="thin">
        <color indexed="23"/>
      </bottom>
      <diagonal/>
    </border>
    <border>
      <left/>
      <right style="thin">
        <color indexed="55"/>
      </right>
      <top style="thin">
        <color indexed="23"/>
      </top>
      <bottom style="medium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23"/>
      </left>
      <right style="thin">
        <color indexed="55"/>
      </right>
      <top/>
      <bottom style="thin">
        <color indexed="55"/>
      </bottom>
      <diagonal/>
    </border>
    <border>
      <left style="thin">
        <color indexed="23"/>
      </left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medium">
        <color indexed="64"/>
      </top>
      <bottom style="medium">
        <color indexed="64"/>
      </bottom>
      <diagonal/>
    </border>
    <border>
      <left style="thin">
        <color indexed="23"/>
      </left>
      <right/>
      <top/>
      <bottom style="medium">
        <color indexed="64"/>
      </bottom>
      <diagonal/>
    </border>
    <border>
      <left style="thin">
        <color indexed="23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55"/>
      </right>
      <top style="medium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64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9">
    <xf numFmtId="0" fontId="0" fillId="0" borderId="0" xfId="0"/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4" xfId="0" applyFont="1" applyFill="1" applyBorder="1" applyAlignment="1" applyProtection="1">
      <alignment horizontal="center"/>
      <protection locked="0"/>
    </xf>
    <xf numFmtId="0" fontId="2" fillId="3" borderId="0" xfId="0" applyFont="1" applyFill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Alignment="1">
      <alignment horizontal="left"/>
    </xf>
    <xf numFmtId="0" fontId="13" fillId="3" borderId="0" xfId="0" applyFont="1" applyFill="1"/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right"/>
    </xf>
    <xf numFmtId="0" fontId="3" fillId="3" borderId="0" xfId="0" applyFont="1" applyFill="1"/>
    <xf numFmtId="0" fontId="3" fillId="3" borderId="0" xfId="0" applyFont="1" applyFill="1" applyAlignment="1">
      <alignment horizontal="right"/>
    </xf>
    <xf numFmtId="0" fontId="3" fillId="3" borderId="0" xfId="0" applyFont="1" applyFill="1" applyAlignment="1">
      <alignment horizontal="left"/>
    </xf>
    <xf numFmtId="0" fontId="15" fillId="3" borderId="0" xfId="0" applyFont="1" applyFill="1" applyAlignment="1">
      <alignment horizontal="right"/>
    </xf>
    <xf numFmtId="0" fontId="7" fillId="3" borderId="0" xfId="0" applyFont="1" applyFill="1"/>
    <xf numFmtId="0" fontId="11" fillId="4" borderId="5" xfId="0" applyFont="1" applyFill="1" applyBorder="1"/>
    <xf numFmtId="0" fontId="11" fillId="4" borderId="6" xfId="0" applyFont="1" applyFill="1" applyBorder="1"/>
    <xf numFmtId="0" fontId="11" fillId="4" borderId="7" xfId="0" applyFont="1" applyFill="1" applyBorder="1"/>
    <xf numFmtId="49" fontId="3" fillId="3" borderId="7" xfId="0" applyNumberFormat="1" applyFont="1" applyFill="1" applyBorder="1" applyAlignment="1">
      <alignment horizontal="left"/>
    </xf>
    <xf numFmtId="0" fontId="3" fillId="3" borderId="5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3" fillId="3" borderId="7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2" fontId="3" fillId="3" borderId="0" xfId="0" applyNumberFormat="1" applyFont="1" applyFill="1" applyAlignment="1">
      <alignment horizontal="center"/>
    </xf>
    <xf numFmtId="0" fontId="15" fillId="3" borderId="8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4" fillId="3" borderId="0" xfId="0" applyFont="1" applyFill="1" applyAlignment="1">
      <alignment horizontal="center" vertical="center" wrapText="1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2" fontId="3" fillId="3" borderId="15" xfId="0" applyNumberFormat="1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2" fontId="2" fillId="3" borderId="18" xfId="0" applyNumberFormat="1" applyFont="1" applyFill="1" applyBorder="1" applyAlignment="1">
      <alignment horizontal="right"/>
    </xf>
    <xf numFmtId="0" fontId="2" fillId="3" borderId="19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2" fontId="2" fillId="3" borderId="0" xfId="0" applyNumberFormat="1" applyFont="1" applyFill="1" applyAlignment="1">
      <alignment horizontal="center"/>
    </xf>
    <xf numFmtId="2" fontId="2" fillId="3" borderId="21" xfId="0" applyNumberFormat="1" applyFont="1" applyFill="1" applyBorder="1" applyAlignment="1">
      <alignment horizontal="center"/>
    </xf>
    <xf numFmtId="2" fontId="2" fillId="3" borderId="22" xfId="0" applyNumberFormat="1" applyFont="1" applyFill="1" applyBorder="1" applyAlignment="1">
      <alignment horizontal="center"/>
    </xf>
    <xf numFmtId="2" fontId="2" fillId="3" borderId="23" xfId="0" applyNumberFormat="1" applyFont="1" applyFill="1" applyBorder="1" applyAlignment="1">
      <alignment horizontal="center"/>
    </xf>
    <xf numFmtId="2" fontId="2" fillId="3" borderId="24" xfId="0" applyNumberFormat="1" applyFont="1" applyFill="1" applyBorder="1" applyAlignment="1">
      <alignment horizontal="right"/>
    </xf>
    <xf numFmtId="2" fontId="2" fillId="3" borderId="16" xfId="0" applyNumberFormat="1" applyFont="1" applyFill="1" applyBorder="1" applyAlignment="1">
      <alignment horizontal="center"/>
    </xf>
    <xf numFmtId="2" fontId="2" fillId="3" borderId="15" xfId="0" applyNumberFormat="1" applyFont="1" applyFill="1" applyBorder="1" applyAlignment="1">
      <alignment horizontal="center"/>
    </xf>
    <xf numFmtId="2" fontId="2" fillId="3" borderId="17" xfId="0" applyNumberFormat="1" applyFont="1" applyFill="1" applyBorder="1" applyAlignment="1">
      <alignment horizontal="center"/>
    </xf>
    <xf numFmtId="2" fontId="2" fillId="3" borderId="13" xfId="0" applyNumberFormat="1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3" borderId="25" xfId="0" applyFont="1" applyFill="1" applyBorder="1"/>
    <xf numFmtId="0" fontId="9" fillId="3" borderId="0" xfId="0" applyFont="1" applyFill="1"/>
    <xf numFmtId="0" fontId="9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1" fontId="2" fillId="0" borderId="26" xfId="0" applyNumberFormat="1" applyFont="1" applyBorder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2" fillId="3" borderId="11" xfId="0" applyFont="1" applyFill="1" applyBorder="1"/>
    <xf numFmtId="1" fontId="2" fillId="3" borderId="0" xfId="0" applyNumberFormat="1" applyFont="1" applyFill="1" applyAlignment="1">
      <alignment horizontal="center"/>
    </xf>
    <xf numFmtId="0" fontId="2" fillId="3" borderId="16" xfId="0" applyFont="1" applyFill="1" applyBorder="1"/>
    <xf numFmtId="0" fontId="2" fillId="3" borderId="17" xfId="0" applyFont="1" applyFill="1" applyBorder="1"/>
    <xf numFmtId="1" fontId="2" fillId="3" borderId="0" xfId="0" applyNumberFormat="1" applyFont="1" applyFill="1" applyAlignment="1">
      <alignment horizontal="right"/>
    </xf>
    <xf numFmtId="1" fontId="2" fillId="3" borderId="0" xfId="0" applyNumberFormat="1" applyFont="1" applyFill="1"/>
    <xf numFmtId="164" fontId="13" fillId="3" borderId="0" xfId="0" applyNumberFormat="1" applyFont="1" applyFill="1" applyAlignment="1">
      <alignment horizontal="left"/>
    </xf>
    <xf numFmtId="0" fontId="10" fillId="3" borderId="0" xfId="0" applyFont="1" applyFill="1" applyAlignment="1">
      <alignment horizontal="center"/>
    </xf>
    <xf numFmtId="2" fontId="17" fillId="6" borderId="26" xfId="0" applyNumberFormat="1" applyFont="1" applyFill="1" applyBorder="1" applyAlignment="1">
      <alignment horizontal="center"/>
    </xf>
    <xf numFmtId="2" fontId="18" fillId="3" borderId="27" xfId="0" applyNumberFormat="1" applyFont="1" applyFill="1" applyBorder="1" applyAlignment="1">
      <alignment horizontal="center"/>
    </xf>
    <xf numFmtId="2" fontId="18" fillId="3" borderId="28" xfId="0" applyNumberFormat="1" applyFont="1" applyFill="1" applyBorder="1" applyAlignment="1">
      <alignment horizontal="center"/>
    </xf>
    <xf numFmtId="2" fontId="18" fillId="3" borderId="29" xfId="0" applyNumberFormat="1" applyFont="1" applyFill="1" applyBorder="1" applyAlignment="1">
      <alignment horizontal="center"/>
    </xf>
    <xf numFmtId="167" fontId="18" fillId="3" borderId="1" xfId="0" applyNumberFormat="1" applyFont="1" applyFill="1" applyBorder="1" applyAlignment="1">
      <alignment horizontal="center"/>
    </xf>
    <xf numFmtId="167" fontId="18" fillId="3" borderId="30" xfId="0" applyNumberFormat="1" applyFont="1" applyFill="1" applyBorder="1" applyAlignment="1">
      <alignment horizontal="center"/>
    </xf>
    <xf numFmtId="167" fontId="18" fillId="3" borderId="31" xfId="0" applyNumberFormat="1" applyFont="1" applyFill="1" applyBorder="1" applyAlignment="1">
      <alignment horizontal="center"/>
    </xf>
    <xf numFmtId="167" fontId="18" fillId="3" borderId="32" xfId="0" applyNumberFormat="1" applyFont="1" applyFill="1" applyBorder="1" applyAlignment="1">
      <alignment horizontal="center"/>
    </xf>
    <xf numFmtId="167" fontId="17" fillId="6" borderId="26" xfId="0" applyNumberFormat="1" applyFont="1" applyFill="1" applyBorder="1" applyAlignment="1">
      <alignment horizontal="center"/>
    </xf>
    <xf numFmtId="1" fontId="17" fillId="3" borderId="33" xfId="0" applyNumberFormat="1" applyFont="1" applyFill="1" applyBorder="1" applyAlignment="1">
      <alignment horizontal="center"/>
    </xf>
    <xf numFmtId="167" fontId="18" fillId="3" borderId="34" xfId="0" applyNumberFormat="1" applyFont="1" applyFill="1" applyBorder="1" applyAlignment="1">
      <alignment horizontal="center"/>
    </xf>
    <xf numFmtId="167" fontId="17" fillId="6" borderId="35" xfId="0" applyNumberFormat="1" applyFont="1" applyFill="1" applyBorder="1" applyAlignment="1">
      <alignment horizontal="center"/>
    </xf>
    <xf numFmtId="1" fontId="17" fillId="3" borderId="1" xfId="0" applyNumberFormat="1" applyFont="1" applyFill="1" applyBorder="1" applyAlignment="1">
      <alignment horizontal="center"/>
    </xf>
    <xf numFmtId="1" fontId="17" fillId="3" borderId="30" xfId="0" applyNumberFormat="1" applyFont="1" applyFill="1" applyBorder="1" applyAlignment="1">
      <alignment horizontal="center"/>
    </xf>
    <xf numFmtId="1" fontId="17" fillId="6" borderId="26" xfId="0" applyNumberFormat="1" applyFont="1" applyFill="1" applyBorder="1" applyAlignment="1">
      <alignment horizontal="center"/>
    </xf>
    <xf numFmtId="0" fontId="20" fillId="3" borderId="0" xfId="0" applyFont="1" applyFill="1" applyAlignment="1">
      <alignment horizontal="right"/>
    </xf>
    <xf numFmtId="0" fontId="17" fillId="3" borderId="30" xfId="0" applyFont="1" applyFill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1" fontId="17" fillId="3" borderId="36" xfId="0" applyNumberFormat="1" applyFont="1" applyFill="1" applyBorder="1" applyAlignment="1">
      <alignment horizontal="center"/>
    </xf>
    <xf numFmtId="1" fontId="17" fillId="6" borderId="35" xfId="0" applyNumberFormat="1" applyFont="1" applyFill="1" applyBorder="1" applyAlignment="1">
      <alignment horizontal="center"/>
    </xf>
    <xf numFmtId="2" fontId="18" fillId="3" borderId="1" xfId="0" applyNumberFormat="1" applyFont="1" applyFill="1" applyBorder="1" applyAlignment="1">
      <alignment horizontal="center"/>
    </xf>
    <xf numFmtId="2" fontId="18" fillId="3" borderId="30" xfId="0" applyNumberFormat="1" applyFont="1" applyFill="1" applyBorder="1" applyAlignment="1">
      <alignment horizontal="center"/>
    </xf>
    <xf numFmtId="2" fontId="18" fillId="3" borderId="31" xfId="0" applyNumberFormat="1" applyFont="1" applyFill="1" applyBorder="1" applyAlignment="1">
      <alignment horizontal="center"/>
    </xf>
    <xf numFmtId="2" fontId="18" fillId="3" borderId="37" xfId="0" applyNumberFormat="1" applyFont="1" applyFill="1" applyBorder="1" applyAlignment="1">
      <alignment horizontal="center"/>
    </xf>
    <xf numFmtId="2" fontId="18" fillId="3" borderId="36" xfId="0" applyNumberFormat="1" applyFont="1" applyFill="1" applyBorder="1" applyAlignment="1">
      <alignment horizontal="center"/>
    </xf>
    <xf numFmtId="2" fontId="18" fillId="3" borderId="38" xfId="0" applyNumberFormat="1" applyFont="1" applyFill="1" applyBorder="1" applyAlignment="1">
      <alignment horizontal="center"/>
    </xf>
    <xf numFmtId="2" fontId="18" fillId="3" borderId="39" xfId="0" applyNumberFormat="1" applyFont="1" applyFill="1" applyBorder="1" applyAlignment="1">
      <alignment horizontal="center"/>
    </xf>
    <xf numFmtId="2" fontId="18" fillId="3" borderId="40" xfId="0" applyNumberFormat="1" applyFont="1" applyFill="1" applyBorder="1" applyAlignment="1">
      <alignment horizontal="center"/>
    </xf>
    <xf numFmtId="1" fontId="17" fillId="6" borderId="41" xfId="0" applyNumberFormat="1" applyFont="1" applyFill="1" applyBorder="1" applyAlignment="1">
      <alignment horizontal="center"/>
    </xf>
    <xf numFmtId="1" fontId="17" fillId="3" borderId="42" xfId="0" applyNumberFormat="1" applyFont="1" applyFill="1" applyBorder="1" applyAlignment="1">
      <alignment horizontal="center"/>
    </xf>
    <xf numFmtId="0" fontId="19" fillId="3" borderId="0" xfId="0" applyFont="1" applyFill="1" applyAlignment="1">
      <alignment horizontal="right"/>
    </xf>
    <xf numFmtId="2" fontId="18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left"/>
    </xf>
    <xf numFmtId="0" fontId="19" fillId="3" borderId="0" xfId="0" applyFont="1" applyFill="1"/>
    <xf numFmtId="2" fontId="18" fillId="3" borderId="43" xfId="0" applyNumberFormat="1" applyFont="1" applyFill="1" applyBorder="1" applyAlignment="1">
      <alignment horizontal="center"/>
    </xf>
    <xf numFmtId="2" fontId="17" fillId="6" borderId="44" xfId="0" applyNumberFormat="1" applyFont="1" applyFill="1" applyBorder="1" applyAlignment="1">
      <alignment horizontal="center"/>
    </xf>
    <xf numFmtId="2" fontId="18" fillId="3" borderId="45" xfId="0" applyNumberFormat="1" applyFont="1" applyFill="1" applyBorder="1" applyAlignment="1">
      <alignment horizontal="center"/>
    </xf>
    <xf numFmtId="2" fontId="17" fillId="6" borderId="41" xfId="0" applyNumberFormat="1" applyFont="1" applyFill="1" applyBorder="1" applyAlignment="1">
      <alignment horizontal="center"/>
    </xf>
    <xf numFmtId="0" fontId="10" fillId="3" borderId="0" xfId="0" applyFont="1" applyFill="1" applyAlignment="1">
      <alignment horizontal="center" vertical="center"/>
    </xf>
    <xf numFmtId="167" fontId="18" fillId="3" borderId="46" xfId="0" applyNumberFormat="1" applyFont="1" applyFill="1" applyBorder="1" applyAlignment="1">
      <alignment horizontal="center"/>
    </xf>
    <xf numFmtId="1" fontId="17" fillId="6" borderId="47" xfId="0" applyNumberFormat="1" applyFont="1" applyFill="1" applyBorder="1" applyAlignment="1">
      <alignment horizontal="center"/>
    </xf>
    <xf numFmtId="2" fontId="23" fillId="5" borderId="41" xfId="0" applyNumberFormat="1" applyFont="1" applyFill="1" applyBorder="1" applyAlignment="1">
      <alignment horizontal="center"/>
    </xf>
    <xf numFmtId="2" fontId="23" fillId="5" borderId="26" xfId="0" applyNumberFormat="1" applyFont="1" applyFill="1" applyBorder="1" applyAlignment="1">
      <alignment horizontal="center"/>
    </xf>
    <xf numFmtId="2" fontId="23" fillId="5" borderId="44" xfId="0" applyNumberFormat="1" applyFont="1" applyFill="1" applyBorder="1" applyAlignment="1">
      <alignment horizontal="center"/>
    </xf>
    <xf numFmtId="0" fontId="17" fillId="6" borderId="48" xfId="0" applyFont="1" applyFill="1" applyBorder="1" applyAlignment="1">
      <alignment horizontal="center"/>
    </xf>
    <xf numFmtId="0" fontId="21" fillId="3" borderId="0" xfId="0" applyFont="1" applyFill="1"/>
    <xf numFmtId="0" fontId="21" fillId="3" borderId="0" xfId="0" applyFont="1" applyFill="1" applyAlignment="1">
      <alignment horizontal="center"/>
    </xf>
    <xf numFmtId="1" fontId="17" fillId="3" borderId="49" xfId="0" applyNumberFormat="1" applyFont="1" applyFill="1" applyBorder="1" applyAlignment="1">
      <alignment horizontal="center"/>
    </xf>
    <xf numFmtId="1" fontId="17" fillId="3" borderId="50" xfId="0" applyNumberFormat="1" applyFont="1" applyFill="1" applyBorder="1" applyAlignment="1">
      <alignment horizontal="center"/>
    </xf>
    <xf numFmtId="1" fontId="17" fillId="3" borderId="51" xfId="0" applyNumberFormat="1" applyFont="1" applyFill="1" applyBorder="1" applyAlignment="1">
      <alignment horizontal="center"/>
    </xf>
    <xf numFmtId="0" fontId="17" fillId="3" borderId="52" xfId="0" applyFont="1" applyFill="1" applyBorder="1" applyAlignment="1">
      <alignment horizontal="center"/>
    </xf>
    <xf numFmtId="2" fontId="17" fillId="6" borderId="53" xfId="0" applyNumberFormat="1" applyFont="1" applyFill="1" applyBorder="1" applyAlignment="1">
      <alignment horizontal="center"/>
    </xf>
    <xf numFmtId="2" fontId="17" fillId="6" borderId="54" xfId="0" applyNumberFormat="1" applyFont="1" applyFill="1" applyBorder="1" applyAlignment="1">
      <alignment horizontal="center"/>
    </xf>
    <xf numFmtId="2" fontId="17" fillId="6" borderId="48" xfId="0" applyNumberFormat="1" applyFont="1" applyFill="1" applyBorder="1" applyAlignment="1">
      <alignment horizontal="center"/>
    </xf>
    <xf numFmtId="167" fontId="17" fillId="6" borderId="54" xfId="0" applyNumberFormat="1" applyFont="1" applyFill="1" applyBorder="1" applyAlignment="1">
      <alignment horizontal="center"/>
    </xf>
    <xf numFmtId="1" fontId="17" fillId="6" borderId="54" xfId="0" applyNumberFormat="1" applyFont="1" applyFill="1" applyBorder="1" applyAlignment="1">
      <alignment horizontal="center"/>
    </xf>
    <xf numFmtId="0" fontId="17" fillId="6" borderId="54" xfId="0" applyFont="1" applyFill="1" applyBorder="1" applyAlignment="1">
      <alignment horizontal="center"/>
    </xf>
    <xf numFmtId="1" fontId="17" fillId="6" borderId="55" xfId="0" applyNumberFormat="1" applyFont="1" applyFill="1" applyBorder="1" applyAlignment="1">
      <alignment horizontal="center"/>
    </xf>
    <xf numFmtId="2" fontId="24" fillId="5" borderId="48" xfId="0" applyNumberFormat="1" applyFont="1" applyFill="1" applyBorder="1" applyAlignment="1">
      <alignment horizontal="center"/>
    </xf>
    <xf numFmtId="0" fontId="10" fillId="3" borderId="0" xfId="0" applyFont="1" applyFill="1"/>
    <xf numFmtId="0" fontId="19" fillId="2" borderId="26" xfId="0" applyFont="1" applyFill="1" applyBorder="1" applyAlignment="1">
      <alignment horizontal="center"/>
    </xf>
    <xf numFmtId="0" fontId="19" fillId="5" borderId="26" xfId="0" applyFont="1" applyFill="1" applyBorder="1" applyAlignment="1">
      <alignment horizontal="center"/>
    </xf>
    <xf numFmtId="0" fontId="5" fillId="3" borderId="0" xfId="0" applyFont="1" applyFill="1" applyAlignment="1">
      <alignment horizontal="right"/>
    </xf>
    <xf numFmtId="166" fontId="17" fillId="6" borderId="54" xfId="0" applyNumberFormat="1" applyFont="1" applyFill="1" applyBorder="1" applyAlignment="1">
      <alignment horizontal="center"/>
    </xf>
    <xf numFmtId="0" fontId="15" fillId="3" borderId="0" xfId="0" applyFont="1" applyFill="1" applyAlignment="1">
      <alignment horizontal="center"/>
    </xf>
    <xf numFmtId="2" fontId="23" fillId="5" borderId="56" xfId="0" applyNumberFormat="1" applyFont="1" applyFill="1" applyBorder="1" applyAlignment="1">
      <alignment horizontal="center"/>
    </xf>
    <xf numFmtId="2" fontId="23" fillId="5" borderId="57" xfId="0" applyNumberFormat="1" applyFont="1" applyFill="1" applyBorder="1" applyAlignment="1">
      <alignment horizontal="center"/>
    </xf>
    <xf numFmtId="2" fontId="18" fillId="3" borderId="58" xfId="0" applyNumberFormat="1" applyFont="1" applyFill="1" applyBorder="1" applyAlignment="1">
      <alignment horizontal="center"/>
    </xf>
    <xf numFmtId="2" fontId="18" fillId="3" borderId="59" xfId="0" applyNumberFormat="1" applyFont="1" applyFill="1" applyBorder="1" applyAlignment="1">
      <alignment horizontal="center"/>
    </xf>
    <xf numFmtId="0" fontId="17" fillId="3" borderId="33" xfId="0" applyFont="1" applyFill="1" applyBorder="1" applyAlignment="1">
      <alignment horizontal="center"/>
    </xf>
    <xf numFmtId="0" fontId="2" fillId="7" borderId="60" xfId="0" applyFont="1" applyFill="1" applyBorder="1"/>
    <xf numFmtId="0" fontId="10" fillId="7" borderId="61" xfId="0" applyFont="1" applyFill="1" applyBorder="1"/>
    <xf numFmtId="0" fontId="2" fillId="7" borderId="61" xfId="0" applyFont="1" applyFill="1" applyBorder="1"/>
    <xf numFmtId="167" fontId="2" fillId="3" borderId="0" xfId="0" applyNumberFormat="1" applyFont="1" applyFill="1"/>
    <xf numFmtId="0" fontId="2" fillId="7" borderId="62" xfId="0" applyFont="1" applyFill="1" applyBorder="1"/>
    <xf numFmtId="0" fontId="2" fillId="7" borderId="19" xfId="0" applyFont="1" applyFill="1" applyBorder="1"/>
    <xf numFmtId="0" fontId="13" fillId="7" borderId="0" xfId="0" applyFont="1" applyFill="1"/>
    <xf numFmtId="0" fontId="2" fillId="7" borderId="0" xfId="0" applyFont="1" applyFill="1"/>
    <xf numFmtId="0" fontId="2" fillId="7" borderId="63" xfId="0" applyFont="1" applyFill="1" applyBorder="1"/>
    <xf numFmtId="0" fontId="13" fillId="7" borderId="0" xfId="0" applyFont="1" applyFill="1" applyAlignment="1">
      <alignment horizontal="left"/>
    </xf>
    <xf numFmtId="0" fontId="13" fillId="7" borderId="0" xfId="0" applyFont="1" applyFill="1" applyAlignment="1">
      <alignment horizontal="center"/>
    </xf>
    <xf numFmtId="164" fontId="13" fillId="7" borderId="0" xfId="0" applyNumberFormat="1" applyFont="1" applyFill="1" applyAlignment="1">
      <alignment horizontal="left"/>
    </xf>
    <xf numFmtId="0" fontId="2" fillId="7" borderId="64" xfId="0" applyFont="1" applyFill="1" applyBorder="1"/>
    <xf numFmtId="0" fontId="13" fillId="7" borderId="25" xfId="0" applyFont="1" applyFill="1" applyBorder="1"/>
    <xf numFmtId="0" fontId="2" fillId="7" borderId="25" xfId="0" applyFont="1" applyFill="1" applyBorder="1"/>
    <xf numFmtId="1" fontId="26" fillId="7" borderId="25" xfId="0" applyNumberFormat="1" applyFont="1" applyFill="1" applyBorder="1" applyAlignment="1">
      <alignment horizontal="center"/>
    </xf>
    <xf numFmtId="0" fontId="2" fillId="7" borderId="65" xfId="0" applyFont="1" applyFill="1" applyBorder="1"/>
    <xf numFmtId="0" fontId="3" fillId="3" borderId="0" xfId="0" applyFont="1" applyFill="1" applyAlignment="1">
      <alignment horizontal="left" vertical="center"/>
    </xf>
    <xf numFmtId="166" fontId="2" fillId="3" borderId="0" xfId="0" applyNumberFormat="1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  <xf numFmtId="0" fontId="7" fillId="3" borderId="6" xfId="0" applyFont="1" applyFill="1" applyBorder="1" applyAlignment="1">
      <alignment horizontal="center"/>
    </xf>
    <xf numFmtId="164" fontId="3" fillId="5" borderId="2" xfId="0" applyNumberFormat="1" applyFont="1" applyFill="1" applyBorder="1" applyAlignment="1">
      <alignment horizontal="center"/>
    </xf>
    <xf numFmtId="164" fontId="3" fillId="5" borderId="6" xfId="0" applyNumberFormat="1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164" fontId="3" fillId="5" borderId="66" xfId="0" applyNumberFormat="1" applyFont="1" applyFill="1" applyBorder="1" applyAlignment="1">
      <alignment horizontal="center"/>
    </xf>
    <xf numFmtId="0" fontId="15" fillId="3" borderId="67" xfId="0" applyFont="1" applyFill="1" applyBorder="1" applyAlignment="1">
      <alignment horizontal="center" vertical="center" wrapText="1"/>
    </xf>
    <xf numFmtId="0" fontId="9" fillId="3" borderId="68" xfId="0" applyFont="1" applyFill="1" applyBorder="1" applyAlignment="1">
      <alignment horizontal="center" vertical="center" wrapText="1"/>
    </xf>
    <xf numFmtId="0" fontId="9" fillId="3" borderId="67" xfId="0" applyFont="1" applyFill="1" applyBorder="1" applyAlignment="1">
      <alignment horizontal="center" vertical="center" wrapText="1"/>
    </xf>
    <xf numFmtId="0" fontId="12" fillId="3" borderId="68" xfId="0" applyFont="1" applyFill="1" applyBorder="1" applyAlignment="1">
      <alignment horizontal="center" vertical="center" wrapText="1"/>
    </xf>
    <xf numFmtId="0" fontId="12" fillId="3" borderId="67" xfId="0" applyFont="1" applyFill="1" applyBorder="1" applyAlignment="1">
      <alignment horizontal="center" vertical="center" wrapText="1"/>
    </xf>
    <xf numFmtId="0" fontId="27" fillId="3" borderId="10" xfId="0" applyFont="1" applyFill="1" applyBorder="1" applyAlignment="1">
      <alignment horizontal="center" vertical="center" wrapText="1"/>
    </xf>
    <xf numFmtId="0" fontId="27" fillId="3" borderId="67" xfId="0" applyFont="1" applyFill="1" applyBorder="1" applyAlignment="1">
      <alignment horizontal="center" vertical="center" wrapText="1"/>
    </xf>
    <xf numFmtId="0" fontId="3" fillId="3" borderId="69" xfId="0" applyFont="1" applyFill="1" applyBorder="1" applyAlignment="1">
      <alignment horizontal="center"/>
    </xf>
    <xf numFmtId="0" fontId="3" fillId="3" borderId="70" xfId="0" applyFont="1" applyFill="1" applyBorder="1" applyAlignment="1">
      <alignment horizontal="center"/>
    </xf>
    <xf numFmtId="9" fontId="3" fillId="3" borderId="69" xfId="1" applyFont="1" applyFill="1" applyBorder="1" applyAlignment="1" applyProtection="1">
      <alignment horizontal="center"/>
    </xf>
    <xf numFmtId="2" fontId="2" fillId="3" borderId="71" xfId="0" applyNumberFormat="1" applyFont="1" applyFill="1" applyBorder="1" applyAlignment="1">
      <alignment horizontal="right"/>
    </xf>
    <xf numFmtId="0" fontId="9" fillId="4" borderId="72" xfId="0" applyFont="1" applyFill="1" applyBorder="1" applyAlignment="1">
      <alignment horizontal="right"/>
    </xf>
    <xf numFmtId="0" fontId="2" fillId="3" borderId="67" xfId="0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67" xfId="0" applyNumberFormat="1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/>
    </xf>
    <xf numFmtId="2" fontId="2" fillId="3" borderId="10" xfId="0" applyNumberFormat="1" applyFont="1" applyFill="1" applyBorder="1" applyAlignment="1">
      <alignment horizontal="center"/>
    </xf>
    <xf numFmtId="167" fontId="2" fillId="3" borderId="0" xfId="0" applyNumberFormat="1" applyFont="1" applyFill="1" applyAlignment="1">
      <alignment horizontal="center"/>
    </xf>
    <xf numFmtId="164" fontId="2" fillId="3" borderId="21" xfId="0" applyNumberFormat="1" applyFont="1" applyFill="1" applyBorder="1" applyAlignment="1">
      <alignment horizontal="center"/>
    </xf>
    <xf numFmtId="164" fontId="2" fillId="3" borderId="7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15" xfId="0" applyNumberFormat="1" applyFont="1" applyFill="1" applyBorder="1" applyAlignment="1">
      <alignment horizontal="center"/>
    </xf>
    <xf numFmtId="164" fontId="2" fillId="3" borderId="69" xfId="0" applyNumberFormat="1" applyFont="1" applyFill="1" applyBorder="1" applyAlignment="1">
      <alignment horizontal="center"/>
    </xf>
    <xf numFmtId="164" fontId="2" fillId="3" borderId="13" xfId="0" applyNumberFormat="1" applyFont="1" applyFill="1" applyBorder="1" applyAlignment="1">
      <alignment horizontal="center"/>
    </xf>
    <xf numFmtId="2" fontId="23" fillId="5" borderId="74" xfId="0" applyNumberFormat="1" applyFont="1" applyFill="1" applyBorder="1" applyAlignment="1">
      <alignment horizontal="center"/>
    </xf>
    <xf numFmtId="2" fontId="23" fillId="5" borderId="75" xfId="0" applyNumberFormat="1" applyFont="1" applyFill="1" applyBorder="1" applyAlignment="1">
      <alignment horizontal="center"/>
    </xf>
    <xf numFmtId="2" fontId="23" fillId="5" borderId="76" xfId="0" applyNumberFormat="1" applyFont="1" applyFill="1" applyBorder="1" applyAlignment="1">
      <alignment horizontal="center"/>
    </xf>
    <xf numFmtId="2" fontId="23" fillId="5" borderId="69" xfId="0" applyNumberFormat="1" applyFont="1" applyFill="1" applyBorder="1" applyAlignment="1">
      <alignment horizontal="center"/>
    </xf>
    <xf numFmtId="0" fontId="9" fillId="4" borderId="77" xfId="0" applyFont="1" applyFill="1" applyBorder="1" applyAlignment="1">
      <alignment horizontal="center"/>
    </xf>
    <xf numFmtId="0" fontId="9" fillId="4" borderId="78" xfId="0" applyFont="1" applyFill="1" applyBorder="1" applyAlignment="1">
      <alignment horizontal="center"/>
    </xf>
    <xf numFmtId="0" fontId="9" fillId="3" borderId="23" xfId="0" applyFont="1" applyFill="1" applyBorder="1" applyAlignment="1">
      <alignment horizontal="center"/>
    </xf>
    <xf numFmtId="2" fontId="23" fillId="5" borderId="0" xfId="0" applyNumberFormat="1" applyFont="1" applyFill="1" applyAlignment="1">
      <alignment horizontal="center"/>
    </xf>
    <xf numFmtId="2" fontId="23" fillId="5" borderId="22" xfId="0" applyNumberFormat="1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2" fontId="23" fillId="5" borderId="16" xfId="0" applyNumberFormat="1" applyFont="1" applyFill="1" applyBorder="1" applyAlignment="1">
      <alignment horizontal="center"/>
    </xf>
    <xf numFmtId="2" fontId="23" fillId="5" borderId="17" xfId="0" applyNumberFormat="1" applyFont="1" applyFill="1" applyBorder="1" applyAlignment="1">
      <alignment horizontal="center"/>
    </xf>
    <xf numFmtId="2" fontId="18" fillId="3" borderId="79" xfId="0" applyNumberFormat="1" applyFont="1" applyFill="1" applyBorder="1" applyAlignment="1">
      <alignment horizontal="center"/>
    </xf>
    <xf numFmtId="2" fontId="18" fillId="3" borderId="80" xfId="0" applyNumberFormat="1" applyFont="1" applyFill="1" applyBorder="1" applyAlignment="1">
      <alignment horizontal="center"/>
    </xf>
    <xf numFmtId="0" fontId="17" fillId="3" borderId="0" xfId="0" applyFont="1" applyFill="1" applyAlignment="1">
      <alignment horizontal="left"/>
    </xf>
    <xf numFmtId="0" fontId="23" fillId="3" borderId="0" xfId="0" applyFont="1" applyFill="1" applyAlignment="1">
      <alignment horizontal="left"/>
    </xf>
    <xf numFmtId="0" fontId="17" fillId="7" borderId="0" xfId="0" applyFont="1" applyFill="1"/>
    <xf numFmtId="0" fontId="0" fillId="3" borderId="0" xfId="0" applyFill="1"/>
    <xf numFmtId="0" fontId="32" fillId="3" borderId="0" xfId="0" applyFont="1" applyFill="1"/>
    <xf numFmtId="0" fontId="32" fillId="3" borderId="25" xfId="0" applyFont="1" applyFill="1" applyBorder="1"/>
    <xf numFmtId="0" fontId="0" fillId="3" borderId="25" xfId="0" applyFill="1" applyBorder="1"/>
    <xf numFmtId="0" fontId="33" fillId="3" borderId="0" xfId="0" applyFont="1" applyFill="1"/>
    <xf numFmtId="0" fontId="34" fillId="3" borderId="0" xfId="0" applyFont="1" applyFill="1"/>
    <xf numFmtId="1" fontId="2" fillId="2" borderId="2" xfId="0" applyNumberFormat="1" applyFont="1" applyFill="1" applyBorder="1" applyAlignment="1" applyProtection="1">
      <alignment horizontal="center"/>
      <protection locked="0"/>
    </xf>
    <xf numFmtId="1" fontId="2" fillId="2" borderId="6" xfId="0" applyNumberFormat="1" applyFont="1" applyFill="1" applyBorder="1" applyAlignment="1" applyProtection="1">
      <alignment horizontal="center"/>
      <protection locked="0"/>
    </xf>
    <xf numFmtId="164" fontId="2" fillId="2" borderId="2" xfId="0" applyNumberFormat="1" applyFont="1" applyFill="1" applyBorder="1" applyAlignment="1" applyProtection="1">
      <alignment horizontal="center"/>
      <protection locked="0"/>
    </xf>
    <xf numFmtId="2" fontId="2" fillId="2" borderId="2" xfId="0" applyNumberFormat="1" applyFont="1" applyFill="1" applyBorder="1" applyAlignment="1" applyProtection="1">
      <alignment horizontal="center"/>
      <protection locked="0"/>
    </xf>
    <xf numFmtId="2" fontId="2" fillId="2" borderId="81" xfId="0" applyNumberFormat="1" applyFont="1" applyFill="1" applyBorder="1" applyAlignment="1" applyProtection="1">
      <alignment horizontal="center"/>
      <protection locked="0"/>
    </xf>
    <xf numFmtId="2" fontId="2" fillId="2" borderId="82" xfId="0" applyNumberFormat="1" applyFont="1" applyFill="1" applyBorder="1" applyAlignment="1" applyProtection="1">
      <alignment horizontal="center"/>
      <protection locked="0"/>
    </xf>
    <xf numFmtId="9" fontId="2" fillId="2" borderId="2" xfId="1" applyFont="1" applyFill="1" applyBorder="1" applyAlignment="1" applyProtection="1">
      <alignment horizontal="center"/>
      <protection locked="0"/>
    </xf>
    <xf numFmtId="167" fontId="2" fillId="2" borderId="7" xfId="0" applyNumberFormat="1" applyFont="1" applyFill="1" applyBorder="1" applyAlignment="1" applyProtection="1">
      <alignment horizontal="center"/>
      <protection locked="0"/>
    </xf>
    <xf numFmtId="167" fontId="2" fillId="2" borderId="2" xfId="0" applyNumberFormat="1" applyFont="1" applyFill="1" applyBorder="1" applyAlignment="1" applyProtection="1">
      <alignment horizontal="center"/>
      <protection locked="0"/>
    </xf>
    <xf numFmtId="0" fontId="2" fillId="2" borderId="83" xfId="0" applyFont="1" applyFill="1" applyBorder="1" applyAlignment="1" applyProtection="1">
      <alignment horizontal="center"/>
      <protection locked="0"/>
    </xf>
    <xf numFmtId="0" fontId="2" fillId="2" borderId="84" xfId="0" applyFont="1" applyFill="1" applyBorder="1" applyAlignment="1" applyProtection="1">
      <alignment horizontal="center"/>
      <protection locked="0"/>
    </xf>
    <xf numFmtId="0" fontId="2" fillId="2" borderId="85" xfId="0" applyFont="1" applyFill="1" applyBorder="1" applyAlignment="1" applyProtection="1">
      <alignment horizontal="center"/>
      <protection locked="0"/>
    </xf>
    <xf numFmtId="0" fontId="2" fillId="2" borderId="86" xfId="0" applyFont="1" applyFill="1" applyBorder="1" applyAlignment="1" applyProtection="1">
      <alignment horizontal="center"/>
      <protection locked="0"/>
    </xf>
    <xf numFmtId="0" fontId="2" fillId="2" borderId="87" xfId="0" applyFont="1" applyFill="1" applyBorder="1" applyAlignment="1" applyProtection="1">
      <alignment horizontal="center"/>
      <protection locked="0"/>
    </xf>
    <xf numFmtId="0" fontId="2" fillId="2" borderId="88" xfId="0" applyFont="1" applyFill="1" applyBorder="1" applyAlignment="1" applyProtection="1">
      <alignment horizontal="center"/>
      <protection locked="0"/>
    </xf>
    <xf numFmtId="164" fontId="2" fillId="2" borderId="88" xfId="0" applyNumberFormat="1" applyFont="1" applyFill="1" applyBorder="1" applyAlignment="1" applyProtection="1">
      <alignment horizontal="center"/>
      <protection locked="0"/>
    </xf>
    <xf numFmtId="164" fontId="2" fillId="2" borderId="89" xfId="0" applyNumberFormat="1" applyFont="1" applyFill="1" applyBorder="1" applyAlignment="1" applyProtection="1">
      <alignment horizontal="center"/>
      <protection locked="0"/>
    </xf>
    <xf numFmtId="0" fontId="2" fillId="2" borderId="90" xfId="0" applyFont="1" applyFill="1" applyBorder="1" applyAlignment="1" applyProtection="1">
      <alignment horizontal="center"/>
      <protection locked="0"/>
    </xf>
    <xf numFmtId="2" fontId="2" fillId="2" borderId="5" xfId="0" applyNumberFormat="1" applyFont="1" applyFill="1" applyBorder="1" applyAlignment="1">
      <alignment horizontal="center"/>
    </xf>
    <xf numFmtId="2" fontId="2" fillId="3" borderId="67" xfId="0" applyNumberFormat="1" applyFont="1" applyFill="1" applyBorder="1" applyAlignment="1">
      <alignment horizontal="center"/>
    </xf>
    <xf numFmtId="2" fontId="2" fillId="3" borderId="73" xfId="0" applyNumberFormat="1" applyFont="1" applyFill="1" applyBorder="1" applyAlignment="1">
      <alignment horizontal="center"/>
    </xf>
    <xf numFmtId="2" fontId="2" fillId="3" borderId="69" xfId="0" applyNumberFormat="1" applyFont="1" applyFill="1" applyBorder="1" applyAlignment="1">
      <alignment horizontal="center"/>
    </xf>
    <xf numFmtId="164" fontId="2" fillId="2" borderId="91" xfId="0" applyNumberFormat="1" applyFont="1" applyFill="1" applyBorder="1" applyAlignment="1" applyProtection="1">
      <alignment horizontal="center"/>
      <protection locked="0"/>
    </xf>
    <xf numFmtId="164" fontId="2" fillId="3" borderId="92" xfId="0" applyNumberFormat="1" applyFont="1" applyFill="1" applyBorder="1" applyAlignment="1">
      <alignment horizontal="center"/>
    </xf>
    <xf numFmtId="164" fontId="2" fillId="3" borderId="93" xfId="0" applyNumberFormat="1" applyFon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2" fontId="23" fillId="5" borderId="94" xfId="0" applyNumberFormat="1" applyFont="1" applyFill="1" applyBorder="1" applyAlignment="1">
      <alignment horizontal="center"/>
    </xf>
    <xf numFmtId="2" fontId="23" fillId="5" borderId="64" xfId="0" applyNumberFormat="1" applyFont="1" applyFill="1" applyBorder="1" applyAlignment="1">
      <alignment horizontal="center"/>
    </xf>
    <xf numFmtId="1" fontId="2" fillId="3" borderId="68" xfId="0" applyNumberFormat="1" applyFont="1" applyFill="1" applyBorder="1" applyAlignment="1">
      <alignment horizontal="center"/>
    </xf>
    <xf numFmtId="1" fontId="2" fillId="2" borderId="95" xfId="0" applyNumberFormat="1" applyFont="1" applyFill="1" applyBorder="1" applyAlignment="1" applyProtection="1">
      <alignment horizontal="center"/>
      <protection locked="0"/>
    </xf>
    <xf numFmtId="1" fontId="2" fillId="2" borderId="92" xfId="0" applyNumberFormat="1" applyFont="1" applyFill="1" applyBorder="1" applyAlignment="1" applyProtection="1">
      <alignment horizontal="center"/>
      <protection locked="0"/>
    </xf>
    <xf numFmtId="1" fontId="2" fillId="2" borderId="93" xfId="0" applyNumberFormat="1" applyFont="1" applyFill="1" applyBorder="1" applyAlignment="1" applyProtection="1">
      <alignment horizontal="center"/>
      <protection locked="0"/>
    </xf>
    <xf numFmtId="1" fontId="2" fillId="2" borderId="96" xfId="0" applyNumberFormat="1" applyFont="1" applyFill="1" applyBorder="1" applyAlignment="1" applyProtection="1">
      <alignment horizontal="center"/>
      <protection locked="0"/>
    </xf>
    <xf numFmtId="1" fontId="2" fillId="2" borderId="3" xfId="0" applyNumberFormat="1" applyFont="1" applyFill="1" applyBorder="1" applyAlignment="1" applyProtection="1">
      <alignment horizontal="center"/>
      <protection locked="0"/>
    </xf>
    <xf numFmtId="1" fontId="2" fillId="2" borderId="4" xfId="0" applyNumberFormat="1" applyFont="1" applyFill="1" applyBorder="1" applyAlignment="1" applyProtection="1">
      <alignment horizontal="center"/>
      <protection locked="0"/>
    </xf>
    <xf numFmtId="2" fontId="18" fillId="3" borderId="97" xfId="0" applyNumberFormat="1" applyFont="1" applyFill="1" applyBorder="1" applyAlignment="1">
      <alignment horizontal="center"/>
    </xf>
    <xf numFmtId="1" fontId="17" fillId="3" borderId="98" xfId="0" applyNumberFormat="1" applyFont="1" applyFill="1" applyBorder="1" applyAlignment="1">
      <alignment horizontal="center"/>
    </xf>
    <xf numFmtId="0" fontId="17" fillId="3" borderId="99" xfId="0" applyFont="1" applyFill="1" applyBorder="1" applyAlignment="1">
      <alignment horizontal="center"/>
    </xf>
    <xf numFmtId="1" fontId="17" fillId="3" borderId="100" xfId="0" applyNumberFormat="1" applyFont="1" applyFill="1" applyBorder="1" applyAlignment="1">
      <alignment horizontal="center"/>
    </xf>
    <xf numFmtId="0" fontId="2" fillId="3" borderId="101" xfId="0" applyFont="1" applyFill="1" applyBorder="1"/>
    <xf numFmtId="0" fontId="2" fillId="3" borderId="102" xfId="0" applyFont="1" applyFill="1" applyBorder="1" applyAlignment="1">
      <alignment horizontal="right"/>
    </xf>
    <xf numFmtId="0" fontId="2" fillId="3" borderId="103" xfId="0" applyFont="1" applyFill="1" applyBorder="1"/>
    <xf numFmtId="0" fontId="2" fillId="3" borderId="101" xfId="0" applyFont="1" applyFill="1" applyBorder="1" applyAlignment="1">
      <alignment horizontal="center"/>
    </xf>
    <xf numFmtId="164" fontId="3" fillId="5" borderId="7" xfId="0" applyNumberFormat="1" applyFont="1" applyFill="1" applyBorder="1" applyAlignment="1">
      <alignment horizontal="center"/>
    </xf>
    <xf numFmtId="2" fontId="18" fillId="3" borderId="104" xfId="0" applyNumberFormat="1" applyFont="1" applyFill="1" applyBorder="1" applyAlignment="1">
      <alignment horizontal="center"/>
    </xf>
    <xf numFmtId="0" fontId="3" fillId="3" borderId="105" xfId="0" applyFont="1" applyFill="1" applyBorder="1" applyAlignment="1">
      <alignment horizontal="center"/>
    </xf>
    <xf numFmtId="0" fontId="3" fillId="3" borderId="10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right"/>
    </xf>
    <xf numFmtId="0" fontId="36" fillId="3" borderId="66" xfId="0" applyFont="1" applyFill="1" applyBorder="1" applyAlignment="1">
      <alignment horizontal="right"/>
    </xf>
    <xf numFmtId="0" fontId="35" fillId="3" borderId="16" xfId="0" applyFont="1" applyFill="1" applyBorder="1" applyAlignment="1">
      <alignment horizontal="center"/>
    </xf>
    <xf numFmtId="0" fontId="35" fillId="3" borderId="107" xfId="0" applyFont="1" applyFill="1" applyBorder="1" applyAlignment="1">
      <alignment horizontal="center"/>
    </xf>
    <xf numFmtId="0" fontId="35" fillId="3" borderId="108" xfId="0" applyFont="1" applyFill="1" applyBorder="1" applyAlignment="1">
      <alignment horizontal="center"/>
    </xf>
    <xf numFmtId="0" fontId="35" fillId="3" borderId="55" xfId="0" applyFont="1" applyFill="1" applyBorder="1" applyAlignment="1">
      <alignment horizontal="right"/>
    </xf>
    <xf numFmtId="2" fontId="17" fillId="3" borderId="55" xfId="0" applyNumberFormat="1" applyFont="1" applyFill="1" applyBorder="1" applyAlignment="1">
      <alignment horizontal="center"/>
    </xf>
    <xf numFmtId="2" fontId="23" fillId="3" borderId="109" xfId="0" applyNumberFormat="1" applyFont="1" applyFill="1" applyBorder="1" applyAlignment="1">
      <alignment horizontal="center"/>
    </xf>
    <xf numFmtId="2" fontId="23" fillId="3" borderId="110" xfId="0" applyNumberFormat="1" applyFont="1" applyFill="1" applyBorder="1" applyAlignment="1">
      <alignment horizontal="center"/>
    </xf>
    <xf numFmtId="2" fontId="17" fillId="3" borderId="110" xfId="0" applyNumberFormat="1" applyFont="1" applyFill="1" applyBorder="1" applyAlignment="1">
      <alignment horizontal="center"/>
    </xf>
    <xf numFmtId="2" fontId="23" fillId="3" borderId="111" xfId="0" applyNumberFormat="1" applyFont="1" applyFill="1" applyBorder="1" applyAlignment="1">
      <alignment horizontal="center"/>
    </xf>
    <xf numFmtId="0" fontId="22" fillId="3" borderId="109" xfId="0" applyFont="1" applyFill="1" applyBorder="1" applyAlignment="1">
      <alignment horizontal="center"/>
    </xf>
    <xf numFmtId="0" fontId="22" fillId="3" borderId="110" xfId="0" applyFont="1" applyFill="1" applyBorder="1" applyAlignment="1">
      <alignment horizontal="center"/>
    </xf>
    <xf numFmtId="0" fontId="22" fillId="3" borderId="111" xfId="0" applyFont="1" applyFill="1" applyBorder="1" applyAlignment="1">
      <alignment horizontal="center"/>
    </xf>
    <xf numFmtId="2" fontId="23" fillId="5" borderId="53" xfId="0" applyNumberFormat="1" applyFont="1" applyFill="1" applyBorder="1" applyAlignment="1">
      <alignment horizontal="center"/>
    </xf>
    <xf numFmtId="2" fontId="3" fillId="3" borderId="70" xfId="0" applyNumberFormat="1" applyFont="1" applyFill="1" applyBorder="1" applyAlignment="1">
      <alignment horizontal="center"/>
    </xf>
    <xf numFmtId="164" fontId="2" fillId="3" borderId="63" xfId="0" applyNumberFormat="1" applyFont="1" applyFill="1" applyBorder="1" applyAlignment="1">
      <alignment horizontal="center"/>
    </xf>
    <xf numFmtId="164" fontId="2" fillId="3" borderId="70" xfId="0" applyNumberFormat="1" applyFont="1" applyFill="1" applyBorder="1" applyAlignment="1">
      <alignment horizontal="center"/>
    </xf>
    <xf numFmtId="0" fontId="15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vertical="top"/>
    </xf>
    <xf numFmtId="0" fontId="9" fillId="3" borderId="0" xfId="0" applyFont="1" applyFill="1" applyAlignment="1">
      <alignment horizontal="left" vertical="top"/>
    </xf>
    <xf numFmtId="0" fontId="12" fillId="3" borderId="0" xfId="0" applyFont="1" applyFill="1" applyAlignment="1">
      <alignment horizontal="left" vertical="top"/>
    </xf>
    <xf numFmtId="0" fontId="14" fillId="3" borderId="0" xfId="0" applyFont="1" applyFill="1" applyAlignment="1">
      <alignment horizontal="left" vertical="top"/>
    </xf>
    <xf numFmtId="0" fontId="3" fillId="3" borderId="0" xfId="0" applyFont="1" applyFill="1" applyAlignment="1">
      <alignment vertical="top"/>
    </xf>
    <xf numFmtId="0" fontId="27" fillId="3" borderId="0" xfId="0" applyFont="1" applyFill="1" applyAlignment="1">
      <alignment horizontal="left" vertical="top"/>
    </xf>
    <xf numFmtId="0" fontId="28" fillId="3" borderId="0" xfId="0" applyFont="1" applyFill="1" applyAlignment="1">
      <alignment horizontal="left" vertical="top"/>
    </xf>
    <xf numFmtId="0" fontId="15" fillId="3" borderId="0" xfId="0" applyFont="1" applyFill="1" applyAlignment="1">
      <alignment horizontal="right" vertical="top"/>
    </xf>
    <xf numFmtId="2" fontId="13" fillId="3" borderId="0" xfId="0" applyNumberFormat="1" applyFont="1" applyFill="1"/>
    <xf numFmtId="2" fontId="2" fillId="3" borderId="0" xfId="0" applyNumberFormat="1" applyFont="1" applyFill="1"/>
    <xf numFmtId="0" fontId="16" fillId="3" borderId="0" xfId="0" applyFont="1" applyFill="1" applyAlignment="1">
      <alignment horizontal="center"/>
    </xf>
    <xf numFmtId="0" fontId="3" fillId="2" borderId="7" xfId="0" applyFont="1" applyFill="1" applyBorder="1" applyAlignment="1" applyProtection="1">
      <alignment horizontal="left"/>
      <protection locked="0"/>
    </xf>
    <xf numFmtId="0" fontId="3" fillId="2" borderId="5" xfId="0" applyFont="1" applyFill="1" applyBorder="1" applyAlignment="1" applyProtection="1">
      <alignment horizontal="left"/>
      <protection locked="0"/>
    </xf>
    <xf numFmtId="0" fontId="3" fillId="2" borderId="6" xfId="0" applyFont="1" applyFill="1" applyBorder="1" applyAlignment="1" applyProtection="1">
      <alignment horizontal="left"/>
      <protection locked="0"/>
    </xf>
    <xf numFmtId="168" fontId="3" fillId="3" borderId="0" xfId="0" applyNumberFormat="1" applyFont="1" applyFill="1" applyAlignment="1">
      <alignment horizontal="right"/>
    </xf>
    <xf numFmtId="0" fontId="11" fillId="5" borderId="56" xfId="0" applyFont="1" applyFill="1" applyBorder="1" applyAlignment="1">
      <alignment horizontal="left"/>
    </xf>
    <xf numFmtId="0" fontId="11" fillId="5" borderId="112" xfId="0" applyFont="1" applyFill="1" applyBorder="1" applyAlignment="1">
      <alignment horizontal="left"/>
    </xf>
    <xf numFmtId="0" fontId="11" fillId="5" borderId="47" xfId="0" applyFont="1" applyFill="1" applyBorder="1" applyAlignment="1">
      <alignment horizontal="left"/>
    </xf>
    <xf numFmtId="0" fontId="11" fillId="4" borderId="7" xfId="0" applyFont="1" applyFill="1" applyBorder="1" applyAlignment="1">
      <alignment horizontal="center"/>
    </xf>
    <xf numFmtId="0" fontId="11" fillId="4" borderId="5" xfId="0" applyFont="1" applyFill="1" applyBorder="1" applyAlignment="1">
      <alignment horizontal="center"/>
    </xf>
    <xf numFmtId="0" fontId="11" fillId="4" borderId="6" xfId="0" applyFont="1" applyFill="1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0" fillId="2" borderId="7" xfId="0" applyFill="1" applyBorder="1" applyAlignment="1" applyProtection="1">
      <alignment horizontal="center"/>
      <protection locked="0"/>
    </xf>
    <xf numFmtId="0" fontId="0" fillId="2" borderId="5" xfId="0" applyFill="1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alignment horizont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calcChain" Target="calcChain.xml"/><Relationship Id="rId5" Type="http://schemas.openxmlformats.org/officeDocument/2006/relationships/chartsheet" Target="chartsheets/sheet2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 algn="l">
              <a:defRPr sz="9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Constructed version of Kaplan-Meier graph based on data inputted to (2a)_Curve_Data sheet</a:t>
            </a:r>
          </a:p>
        </c:rich>
      </c:tx>
      <c:layout>
        <c:manualLayout>
          <c:xMode val="edge"/>
          <c:yMode val="edge"/>
          <c:x val="0.1251292773430476"/>
          <c:y val="3.38982658189026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40227507755947"/>
          <c:y val="8.8135593220338981E-2"/>
          <c:w val="0.67321613236814892"/>
          <c:h val="0.45593220338983048"/>
        </c:manualLayout>
      </c:layout>
      <c:scatterChart>
        <c:scatterStyle val="lineMarker"/>
        <c:varyColors val="0"/>
        <c:ser>
          <c:idx val="0"/>
          <c:order val="0"/>
          <c:tx>
            <c:v>Research Arm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'(2a)_Curve_Data'!$C$20:$C$53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'(2a)_Curve_Data'!$D$20:$D$53</c:f>
              <c:numCache>
                <c:formatCode>General</c:formatCode>
                <c:ptCount val="34"/>
                <c:pt idx="0">
                  <c:v>100</c:v>
                </c:pt>
                <c:pt idx="1">
                  <c:v>99.963365140562246</c:v>
                </c:pt>
                <c:pt idx="2">
                  <c:v>99.80086</c:v>
                </c:pt>
                <c:pt idx="3">
                  <c:v>99.665950000000009</c:v>
                </c:pt>
                <c:pt idx="4">
                  <c:v>99.531049999999993</c:v>
                </c:pt>
                <c:pt idx="5">
                  <c:v>99.434690000000003</c:v>
                </c:pt>
                <c:pt idx="6">
                  <c:v>99.306209999999993</c:v>
                </c:pt>
                <c:pt idx="7">
                  <c:v>99.171310000000005</c:v>
                </c:pt>
                <c:pt idx="8">
                  <c:v>99.02355</c:v>
                </c:pt>
                <c:pt idx="9">
                  <c:v>98.845628706512045</c:v>
                </c:pt>
                <c:pt idx="10">
                  <c:v>98.670239999999993</c:v>
                </c:pt>
                <c:pt idx="11">
                  <c:v>98.59957</c:v>
                </c:pt>
                <c:pt idx="12">
                  <c:v>98.554600000000008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13-48EC-9906-3760ED346F6D}"/>
            </c:ext>
          </c:extLst>
        </c:ser>
        <c:ser>
          <c:idx val="1"/>
          <c:order val="1"/>
          <c:tx>
            <c:v>Control Arm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8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plus"/>
            <c:errValType val="cust"/>
            <c:noEndCap val="1"/>
            <c:plus>
              <c:numRef>
                <c:f>'(2a)_Curve_Data'!$AB$20:$AB$53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99.963365140562246</c:v>
                  </c:pt>
                  <c:pt idx="2">
                    <c:v>99.80086</c:v>
                  </c:pt>
                  <c:pt idx="3">
                    <c:v>99.665950000000009</c:v>
                  </c:pt>
                  <c:pt idx="4">
                    <c:v>99.531049999999993</c:v>
                  </c:pt>
                  <c:pt idx="5">
                    <c:v>99.434690000000003</c:v>
                  </c:pt>
                  <c:pt idx="6">
                    <c:v>99.306209999999993</c:v>
                  </c:pt>
                  <c:pt idx="7">
                    <c:v>99.171310000000005</c:v>
                  </c:pt>
                  <c:pt idx="8">
                    <c:v>99.02355</c:v>
                  </c:pt>
                  <c:pt idx="9">
                    <c:v>98.845628706512045</c:v>
                  </c:pt>
                  <c:pt idx="10">
                    <c:v>98.670239999999993</c:v>
                  </c:pt>
                  <c:pt idx="11">
                    <c:v>98.59957</c:v>
                  </c:pt>
                  <c:pt idx="12">
                    <c:v>98.554600000000008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spPr>
              <a:ln w="38100">
                <a:solidFill>
                  <a:srgbClr val="808080"/>
                </a:solidFill>
                <a:prstDash val="solid"/>
              </a:ln>
            </c:spPr>
          </c:errBars>
          <c:xVal>
            <c:numRef>
              <c:f>'(2a)_Curve_Data'!$C$20:$C$53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xVal>
          <c:yVal>
            <c:numRef>
              <c:f>'(2a)_Curve_Data'!$I$20:$I$53</c:f>
              <c:numCache>
                <c:formatCode>General</c:formatCode>
                <c:ptCount val="34"/>
                <c:pt idx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13-48EC-9906-3760ED346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322735"/>
        <c:axId val="1"/>
      </c:scatterChart>
      <c:valAx>
        <c:axId val="1104322735"/>
        <c:scaling>
          <c:orientation val="minMax"/>
          <c:min val="0"/>
        </c:scaling>
        <c:delete val="0"/>
        <c:axPos val="b"/>
        <c:majorGridlines>
          <c:spPr>
            <a:ln w="12700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Time from randomisation</a:t>
                </a:r>
              </a:p>
            </c:rich>
          </c:tx>
          <c:layout>
            <c:manualLayout>
              <c:xMode val="edge"/>
              <c:yMode val="edge"/>
              <c:x val="0.38883148057990563"/>
              <c:y val="0.589830431151069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Pct endpoint-free</a:t>
                </a:r>
              </a:p>
            </c:rich>
          </c:tx>
          <c:layout>
            <c:manualLayout>
              <c:xMode val="edge"/>
              <c:yMode val="edge"/>
              <c:x val="7.9627672560196053E-2"/>
              <c:y val="0.220338995132645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04322735"/>
        <c:crosses val="autoZero"/>
        <c:crossBetween val="midCat"/>
        <c:majorUnit val="20"/>
        <c:minorUnit val="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626678758446415"/>
          <c:y val="0.26949156076298764"/>
          <c:w val="0.11789039801939338"/>
          <c:h val="5.9322098837968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 algn="l">
              <a:defRPr sz="900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Constructed version of Kaplan-Meier graph based on data inputted to (3a)_Curve_Data_with_n(risk) sheet</a:t>
            </a:r>
          </a:p>
        </c:rich>
      </c:tx>
      <c:layout>
        <c:manualLayout>
          <c:xMode val="edge"/>
          <c:yMode val="edge"/>
          <c:x val="0.1271974698814822"/>
          <c:y val="4.23728103596558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47052740434332"/>
          <c:y val="0.10338983050847457"/>
          <c:w val="0.67321613236814892"/>
          <c:h val="0.44067796610169491"/>
        </c:manualLayout>
      </c:layout>
      <c:scatterChart>
        <c:scatterStyle val="lineMarker"/>
        <c:varyColors val="0"/>
        <c:ser>
          <c:idx val="0"/>
          <c:order val="0"/>
          <c:tx>
            <c:v>Research Arm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'(3a)_Curve_Data_with_n(risk)'!$C$16:$C$46</c:f>
              <c:numCache>
                <c:formatCode>General</c:formatCode>
                <c:ptCount val="31"/>
                <c:pt idx="0">
                  <c:v>0</c:v>
                </c:pt>
              </c:numCache>
            </c:numRef>
          </c:xVal>
          <c:yVal>
            <c:numRef>
              <c:f>'(3a)_Curve_Data_with_n(risk)'!$D$16:$D$46</c:f>
              <c:numCache>
                <c:formatCode>0</c:formatCode>
                <c:ptCount val="31"/>
                <c:pt idx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7-4079-A2BB-AAC847ED367F}"/>
            </c:ext>
          </c:extLst>
        </c:ser>
        <c:ser>
          <c:idx val="1"/>
          <c:order val="1"/>
          <c:tx>
            <c:v>Control Arm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8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errBars>
            <c:errDir val="y"/>
            <c:errBarType val="minus"/>
            <c:errValType val="cust"/>
            <c:noEndCap val="1"/>
            <c:minus>
              <c:numRef>
                <c:f>'(3a)_Curve_Data_with_n(risk)'!$AA$16:$AA$40</c:f>
                <c:numCache>
                  <c:formatCode>General</c:formatCode>
                  <c:ptCount val="2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</c:numCache>
              </c:numRef>
            </c:minus>
            <c:spPr>
              <a:ln w="38100">
                <a:solidFill>
                  <a:srgbClr val="808080"/>
                </a:solidFill>
                <a:prstDash val="solid"/>
              </a:ln>
            </c:spPr>
          </c:errBars>
          <c:xVal>
            <c:numRef>
              <c:f>'(3a)_Curve_Data_with_n(risk)'!$C$16:$C$46</c:f>
              <c:numCache>
                <c:formatCode>General</c:formatCode>
                <c:ptCount val="31"/>
                <c:pt idx="0">
                  <c:v>0</c:v>
                </c:pt>
              </c:numCache>
            </c:numRef>
          </c:xVal>
          <c:yVal>
            <c:numRef>
              <c:f>'(3a)_Curve_Data_with_n(risk)'!$I$16:$I$46</c:f>
              <c:numCache>
                <c:formatCode>0</c:formatCode>
                <c:ptCount val="31"/>
                <c:pt idx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E7-4079-A2BB-AAC847ED3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325231"/>
        <c:axId val="1"/>
      </c:scatterChart>
      <c:valAx>
        <c:axId val="1104325231"/>
        <c:scaling>
          <c:orientation val="minMax"/>
          <c:min val="0"/>
        </c:scaling>
        <c:delete val="0"/>
        <c:axPos val="b"/>
        <c:majorGridlines>
          <c:spPr>
            <a:ln w="12700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Time from randomisation</a:t>
                </a:r>
              </a:p>
            </c:rich>
          </c:tx>
          <c:layout>
            <c:manualLayout>
              <c:xMode val="edge"/>
              <c:yMode val="edge"/>
              <c:x val="0.39089972449096039"/>
              <c:y val="0.5898303543975509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00"/>
          <c:min val="0"/>
        </c:scaling>
        <c:delete val="0"/>
        <c:axPos val="l"/>
        <c:majorGridlines>
          <c:spPr>
            <a:ln w="12700">
              <a:solidFill>
                <a:srgbClr val="80808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Tahoma"/>
                    <a:ea typeface="Tahoma"/>
                    <a:cs typeface="Tahoma"/>
                  </a:defRPr>
                </a:pPr>
                <a:r>
                  <a:rPr lang="en-US"/>
                  <a:t>Pct endpoint-free</a:t>
                </a:r>
              </a:p>
            </c:rich>
          </c:tx>
          <c:layout>
            <c:manualLayout>
              <c:xMode val="edge"/>
              <c:yMode val="edge"/>
              <c:x val="8.1695983654217139E-2"/>
              <c:y val="0.2288136393816647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104325231"/>
        <c:crosses val="autoZero"/>
        <c:crossBetween val="midCat"/>
        <c:majorUnit val="20"/>
        <c:minorUnit val="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2730093520918579"/>
          <c:y val="0.26949150880757905"/>
          <c:w val="0.11789037239910227"/>
          <c:h val="5.93220414511004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2"/>
  <sheetViews>
    <sheetView zoomScale="92" workbookViewId="0"/>
  </sheetViews>
  <sheetProtection password="C476" content="1" objects="1"/>
  <pageMargins left="0.75" right="0.75" top="1" bottom="1" header="0.5" footer="0.5"/>
  <pageSetup paperSize="9" orientation="landscape" horizontalDpi="200" verticalDpi="200" r:id="rId1"/>
  <headerFooter alignWithMargins="0"/>
  <drawing r:id="rId2"/>
  <legacyDrawing r:id="rId3"/>
</chartsheet>
</file>

<file path=xl/chartsheets/sheet2.xml><?xml version="1.0" encoding="utf-8"?>
<chart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Chart3"/>
  <sheetViews>
    <sheetView zoomScale="92" workbookViewId="0"/>
  </sheetViews>
  <sheetProtection password="C476" content="1" objects="1"/>
  <pageMargins left="0.75" right="0.75" top="1" bottom="1" header="0.5" footer="0.5"/>
  <pageSetup paperSize="9" orientation="landscape" horizontalDpi="200" verticalDpi="200" r:id="rId1"/>
  <headerFooter alignWithMargins="0"/>
  <drawing r:id="rId2"/>
  <legacyDrawing r:id="rId3"/>
</chartsheet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600075</xdr:colOff>
          <xdr:row>21</xdr:row>
          <xdr:rowOff>0</xdr:rowOff>
        </xdr:from>
        <xdr:to>
          <xdr:col>1</xdr:col>
          <xdr:colOff>180975</xdr:colOff>
          <xdr:row>22</xdr:row>
          <xdr:rowOff>114300</xdr:rowOff>
        </xdr:to>
        <xdr:sp macro="" textlink="">
          <xdr:nvSpPr>
            <xdr:cNvPr id="8204" name="Button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0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80"/>
                  </a:solidFill>
                  <a:latin typeface="Tahoma"/>
                  <a:ea typeface="Tahoma"/>
                  <a:cs typeface="Tahoma"/>
                </a:rPr>
                <a:t>Clear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561975</xdr:colOff>
          <xdr:row>20</xdr:row>
          <xdr:rowOff>133350</xdr:rowOff>
        </xdr:from>
        <xdr:to>
          <xdr:col>2</xdr:col>
          <xdr:colOff>600075</xdr:colOff>
          <xdr:row>22</xdr:row>
          <xdr:rowOff>104775</xdr:rowOff>
        </xdr:to>
        <xdr:sp macro="" textlink="">
          <xdr:nvSpPr>
            <xdr:cNvPr id="8205" name="Button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0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80"/>
                  </a:solidFill>
                  <a:latin typeface="Tahoma"/>
                  <a:ea typeface="Tahoma"/>
                  <a:cs typeface="Tahoma"/>
                </a:rPr>
                <a:t>Print page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371475</xdr:colOff>
          <xdr:row>1</xdr:row>
          <xdr:rowOff>85725</xdr:rowOff>
        </xdr:from>
        <xdr:to>
          <xdr:col>15</xdr:col>
          <xdr:colOff>419100</xdr:colOff>
          <xdr:row>3</xdr:row>
          <xdr:rowOff>38100</xdr:rowOff>
        </xdr:to>
        <xdr:sp macro="" textlink="">
          <xdr:nvSpPr>
            <xdr:cNvPr id="7198" name="Button 30" hidden="1">
              <a:extLst>
                <a:ext uri="{63B3BB69-23CF-44E3-9099-C40C66FF867C}">
                  <a14:compatExt spid="_x0000_s7198"/>
                </a:ext>
                <a:ext uri="{FF2B5EF4-FFF2-40B4-BE49-F238E27FC236}">
                  <a16:creationId xmlns:a16="http://schemas.microsoft.com/office/drawing/2014/main" id="{00000000-0008-0000-0100-00001E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80"/>
                  </a:solidFill>
                  <a:latin typeface="Tahoma"/>
                  <a:ea typeface="Tahoma"/>
                  <a:cs typeface="Tahoma"/>
                </a:rPr>
                <a:t>Clear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352425</xdr:colOff>
          <xdr:row>4</xdr:row>
          <xdr:rowOff>38100</xdr:rowOff>
        </xdr:from>
        <xdr:to>
          <xdr:col>15</xdr:col>
          <xdr:colOff>428625</xdr:colOff>
          <xdr:row>6</xdr:row>
          <xdr:rowOff>9525</xdr:rowOff>
        </xdr:to>
        <xdr:sp macro="" textlink="">
          <xdr:nvSpPr>
            <xdr:cNvPr id="7199" name="Button 31" hidden="1">
              <a:extLst>
                <a:ext uri="{63B3BB69-23CF-44E3-9099-C40C66FF867C}">
                  <a14:compatExt spid="_x0000_s7199"/>
                </a:ext>
                <a:ext uri="{FF2B5EF4-FFF2-40B4-BE49-F238E27FC236}">
                  <a16:creationId xmlns:a16="http://schemas.microsoft.com/office/drawing/2014/main" id="{00000000-0008-0000-0100-00001F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80"/>
                  </a:solidFill>
                  <a:latin typeface="Tahoma"/>
                  <a:ea typeface="Tahoma"/>
                  <a:cs typeface="Tahoma"/>
                </a:rPr>
                <a:t>Print page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04049" cy="56114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C56FA-9892-1A41-BCFC-245519CE1B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0.7475</cdr:y>
    </cdr:from>
    <cdr:to>
      <cdr:x>0.79675</cdr:x>
      <cdr:y>0.7965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200763"/>
          <a:ext cx="7338605" cy="275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The estimate of the HR is based on data (in your table) that look like this.  Is this similar to the published graph?</a:t>
          </a:r>
        </a:p>
      </cdr:txBody>
    </cdr:sp>
  </cdr:relSizeAnchor>
  <cdr:relSizeAnchor xmlns:cdr="http://schemas.openxmlformats.org/drawingml/2006/chartDrawing">
    <cdr:from>
      <cdr:x>0.0275</cdr:x>
      <cdr:y>0.642</cdr:y>
    </cdr:from>
    <cdr:to>
      <cdr:x>0.309</cdr:x>
      <cdr:y>0.70275</cdr:y>
    </cdr:to>
    <cdr:sp macro="" textlink="">
      <cdr:nvSpPr>
        <cdr:cNvPr id="10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504" y="3607880"/>
          <a:ext cx="2597411" cy="3413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0" bIns="18288" anchor="ctr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Trial ID: ___________________________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114300</xdr:colOff>
          <xdr:row>1</xdr:row>
          <xdr:rowOff>38100</xdr:rowOff>
        </xdr:from>
        <xdr:to>
          <xdr:col>15</xdr:col>
          <xdr:colOff>323850</xdr:colOff>
          <xdr:row>3</xdr:row>
          <xdr:rowOff>9525</xdr:rowOff>
        </xdr:to>
        <xdr:sp macro="" textlink="">
          <xdr:nvSpPr>
            <xdr:cNvPr id="10276" name="Button 36" hidden="1">
              <a:extLst>
                <a:ext uri="{63B3BB69-23CF-44E3-9099-C40C66FF867C}">
                  <a14:compatExt spid="_x0000_s10276"/>
                </a:ext>
                <a:ext uri="{FF2B5EF4-FFF2-40B4-BE49-F238E27FC236}">
                  <a16:creationId xmlns:a16="http://schemas.microsoft.com/office/drawing/2014/main" id="{00000000-0008-0000-0300-00002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80"/>
                  </a:solidFill>
                  <a:latin typeface="Tahoma"/>
                  <a:ea typeface="Tahoma"/>
                  <a:cs typeface="Tahoma"/>
                </a:rPr>
                <a:t>Clear data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9525</xdr:colOff>
          <xdr:row>1</xdr:row>
          <xdr:rowOff>19050</xdr:rowOff>
        </xdr:from>
        <xdr:to>
          <xdr:col>17</xdr:col>
          <xdr:colOff>276225</xdr:colOff>
          <xdr:row>2</xdr:row>
          <xdr:rowOff>133350</xdr:rowOff>
        </xdr:to>
        <xdr:sp macro="" textlink="">
          <xdr:nvSpPr>
            <xdr:cNvPr id="10277" name="Button 37" hidden="1">
              <a:extLst>
                <a:ext uri="{63B3BB69-23CF-44E3-9099-C40C66FF867C}">
                  <a14:compatExt spid="_x0000_s10277"/>
                </a:ext>
                <a:ext uri="{FF2B5EF4-FFF2-40B4-BE49-F238E27FC236}">
                  <a16:creationId xmlns:a16="http://schemas.microsoft.com/office/drawing/2014/main" id="{00000000-0008-0000-0300-00002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80"/>
                  </a:solidFill>
                  <a:latin typeface="Tahoma"/>
                  <a:ea typeface="Tahoma"/>
                  <a:cs typeface="Tahoma"/>
                </a:rPr>
                <a:t>Print page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04049" cy="56114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9BEDCD-36EA-BA69-1B01-1BA98F02F0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0.7475</cdr:y>
    </cdr:from>
    <cdr:to>
      <cdr:x>0.79975</cdr:x>
      <cdr:y>0.7965</cdr:y>
    </cdr:to>
    <cdr:sp macro="" textlink="">
      <cdr:nvSpPr>
        <cdr:cNvPr id="1126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0" y="4200763"/>
          <a:ext cx="7357027" cy="275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The estimate of the HR is based on data (in your table) that look like this.  Is this similar to the published graph?</a:t>
          </a:r>
        </a:p>
      </cdr:txBody>
    </cdr:sp>
  </cdr:relSizeAnchor>
  <cdr:relSizeAnchor xmlns:cdr="http://schemas.openxmlformats.org/drawingml/2006/chartDrawing">
    <cdr:from>
      <cdr:x>0.02875</cdr:x>
      <cdr:y>0.642</cdr:y>
    </cdr:from>
    <cdr:to>
      <cdr:x>0.349</cdr:x>
      <cdr:y>0.68075</cdr:y>
    </cdr:to>
    <cdr:sp macro="" textlink="">
      <cdr:nvSpPr>
        <cdr:cNvPr id="1126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4807" y="3607880"/>
          <a:ext cx="2949719" cy="2177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Trial ID: ____________________________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76200</xdr:colOff>
          <xdr:row>39</xdr:row>
          <xdr:rowOff>19050</xdr:rowOff>
        </xdr:from>
        <xdr:to>
          <xdr:col>16</xdr:col>
          <xdr:colOff>323850</xdr:colOff>
          <xdr:row>41</xdr:row>
          <xdr:rowOff>9525</xdr:rowOff>
        </xdr:to>
        <xdr:sp macro="" textlink="">
          <xdr:nvSpPr>
            <xdr:cNvPr id="9243" name="Button 27" hidden="1">
              <a:extLst>
                <a:ext uri="{63B3BB69-23CF-44E3-9099-C40C66FF867C}">
                  <a14:compatExt spid="_x0000_s9243"/>
                </a:ext>
                <a:ext uri="{FF2B5EF4-FFF2-40B4-BE49-F238E27FC236}">
                  <a16:creationId xmlns:a16="http://schemas.microsoft.com/office/drawing/2014/main" id="{00000000-0008-0000-0500-00001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80"/>
                  </a:solidFill>
                  <a:latin typeface="Tahoma"/>
                  <a:ea typeface="Tahoma"/>
                  <a:cs typeface="Tahoma"/>
                </a:rPr>
                <a:t>Print page</a:t>
              </a:r>
            </a:p>
          </xdr:txBody>
        </xdr:sp>
        <xdr:clientData fPrintsWithSheet="0"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523875</xdr:colOff>
          <xdr:row>23</xdr:row>
          <xdr:rowOff>66675</xdr:rowOff>
        </xdr:from>
        <xdr:to>
          <xdr:col>2</xdr:col>
          <xdr:colOff>28575</xdr:colOff>
          <xdr:row>25</xdr:row>
          <xdr:rowOff>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6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80"/>
                  </a:solidFill>
                  <a:latin typeface="Tahoma"/>
                  <a:ea typeface="Tahoma"/>
                  <a:cs typeface="Tahoma"/>
                </a:rPr>
                <a:t>Print page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6" Type="http://schemas.openxmlformats.org/officeDocument/2006/relationships/comments" Target="../comments3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4.xml"/><Relationship Id="rId4" Type="http://schemas.openxmlformats.org/officeDocument/2006/relationships/ctrlProp" Target="../ctrlProps/ctrlProp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Relationship Id="rId4" Type="http://schemas.openxmlformats.org/officeDocument/2006/relationships/ctrlProp" Target="../ctrlProps/ctrlProp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Y34"/>
  <sheetViews>
    <sheetView workbookViewId="0">
      <pane xSplit="14" ySplit="35" topLeftCell="O36" activePane="bottomRight" state="frozen"/>
      <selection pane="topRight" activeCell="O1" sqref="O1"/>
      <selection pane="bottomLeft" activeCell="A36" sqref="A36"/>
      <selection pane="bottomRight" activeCell="B10" sqref="B10"/>
    </sheetView>
  </sheetViews>
  <sheetFormatPr defaultRowHeight="11.25" customHeight="1" x14ac:dyDescent="0.15"/>
  <cols>
    <col min="1" max="1" width="16.140625" style="4" customWidth="1"/>
    <col min="2" max="4" width="10.28515625" style="4" customWidth="1"/>
    <col min="5" max="5" width="8.42578125" style="4" customWidth="1"/>
    <col min="6" max="6" width="4.140625" style="4" customWidth="1"/>
    <col min="7" max="7" width="8.42578125" style="4" customWidth="1"/>
    <col min="8" max="8" width="9.85546875" style="4" customWidth="1"/>
    <col min="9" max="13" width="8.85546875" style="4" customWidth="1"/>
    <col min="14" max="14" width="3.5703125" style="4" customWidth="1"/>
    <col min="15" max="15" width="5.85546875" style="4" customWidth="1"/>
    <col min="16" max="16" width="8.85546875" style="4" customWidth="1"/>
    <col min="17" max="20" width="9.140625" style="4"/>
    <col min="21" max="21" width="4.140625" style="4" customWidth="1"/>
    <col min="22" max="23" width="7.42578125" style="4" customWidth="1"/>
    <col min="24" max="24" width="7.42578125" style="6" customWidth="1"/>
    <col min="25" max="16384" width="9.140625" style="4"/>
  </cols>
  <sheetData>
    <row r="1" spans="1:25" ht="11.25" customHeight="1" thickBot="1" x14ac:dyDescent="0.2"/>
    <row r="2" spans="1:25" ht="11.25" customHeight="1" thickBot="1" x14ac:dyDescent="0.2">
      <c r="A2" s="7" t="s">
        <v>90</v>
      </c>
      <c r="B2" s="295" t="s">
        <v>213</v>
      </c>
      <c r="C2" s="296"/>
      <c r="D2" s="296"/>
      <c r="E2" s="297"/>
      <c r="H2" s="298">
        <f ca="1">NOW()</f>
        <v>44969.70508634259</v>
      </c>
      <c r="I2" s="298"/>
      <c r="J2" s="298"/>
    </row>
    <row r="3" spans="1:25" ht="11.25" customHeight="1" x14ac:dyDescent="0.15">
      <c r="A3" s="7"/>
      <c r="B3" s="7"/>
    </row>
    <row r="4" spans="1:25" s="61" customFormat="1" ht="11.25" customHeight="1" x14ac:dyDescent="0.15">
      <c r="A4" s="4"/>
      <c r="B4" s="5"/>
      <c r="C4" s="6"/>
      <c r="D4" s="6"/>
      <c r="E4" s="6"/>
      <c r="F4" s="4"/>
      <c r="G4" s="4"/>
      <c r="H4" s="4"/>
      <c r="I4" s="4"/>
      <c r="J4" s="61" t="s">
        <v>104</v>
      </c>
      <c r="X4" s="62"/>
    </row>
    <row r="5" spans="1:25" ht="11.25" customHeight="1" thickBot="1" x14ac:dyDescent="0.2">
      <c r="A5" s="5"/>
      <c r="B5" s="46" t="s">
        <v>22</v>
      </c>
      <c r="C5" s="46" t="s">
        <v>21</v>
      </c>
      <c r="D5" s="46" t="s">
        <v>9</v>
      </c>
      <c r="E5" s="6"/>
      <c r="G5" s="133" t="s">
        <v>51</v>
      </c>
      <c r="J5" s="61" t="s">
        <v>109</v>
      </c>
      <c r="P5" s="13"/>
      <c r="Q5" s="6"/>
      <c r="R5" s="294"/>
      <c r="S5" s="294"/>
    </row>
    <row r="6" spans="1:25" ht="11.25" customHeight="1" thickBot="1" x14ac:dyDescent="0.2">
      <c r="A6" s="5" t="s">
        <v>145</v>
      </c>
      <c r="B6" s="1"/>
      <c r="C6" s="1"/>
      <c r="D6" s="6"/>
      <c r="E6" s="6"/>
      <c r="G6" s="63" t="s">
        <v>86</v>
      </c>
      <c r="J6" s="61"/>
      <c r="Q6" s="6" t="s">
        <v>0</v>
      </c>
      <c r="R6" s="6" t="s">
        <v>62</v>
      </c>
      <c r="S6" s="6" t="s">
        <v>63</v>
      </c>
      <c r="T6" s="6" t="s">
        <v>5</v>
      </c>
      <c r="U6" s="6"/>
    </row>
    <row r="7" spans="1:25" ht="11.25" customHeight="1" thickBot="1" x14ac:dyDescent="0.2">
      <c r="A7" s="5" t="s">
        <v>92</v>
      </c>
      <c r="B7" s="216"/>
      <c r="C7" s="217"/>
      <c r="D7" s="67" t="str">
        <f>IF(AND(B7&lt;&gt;"",C7&lt;&gt;""),B7&amp;"R : "&amp;C7&amp;"C","")</f>
        <v/>
      </c>
      <c r="E7" s="6"/>
      <c r="G7" s="63" t="s">
        <v>156</v>
      </c>
      <c r="J7" s="61" t="s">
        <v>105</v>
      </c>
      <c r="K7" s="9"/>
      <c r="M7" s="9"/>
      <c r="N7" s="9"/>
      <c r="O7" s="9"/>
      <c r="P7" s="5" t="s">
        <v>0</v>
      </c>
      <c r="Q7" s="64">
        <f>IF(D15&lt;&gt;"",1,0)</f>
        <v>0</v>
      </c>
      <c r="R7" s="64">
        <f>IF(E15&lt;&gt;"",1,0)</f>
        <v>0</v>
      </c>
      <c r="S7" s="64">
        <f>IF(G15&lt;&gt;"",1,0)</f>
        <v>0</v>
      </c>
      <c r="T7" s="64">
        <f>IF(H15&lt;&gt;"",1,0)</f>
        <v>0</v>
      </c>
      <c r="U7" s="6"/>
    </row>
    <row r="8" spans="1:25" ht="11.25" customHeight="1" thickBot="1" x14ac:dyDescent="0.2">
      <c r="A8" s="5" t="s">
        <v>149</v>
      </c>
      <c r="B8" s="216">
        <v>9386</v>
      </c>
      <c r="C8" s="216"/>
      <c r="D8" s="67" t="str">
        <f>IF(AND(B8&lt;&gt;"",C8&lt;&gt;""),SUM(B8:C8),"")</f>
        <v/>
      </c>
      <c r="E8" s="6"/>
      <c r="G8" s="63" t="s">
        <v>87</v>
      </c>
      <c r="J8" s="61" t="s">
        <v>108</v>
      </c>
      <c r="P8" s="5" t="s">
        <v>2</v>
      </c>
      <c r="Q8" s="64">
        <f>IF($D$16&lt;&gt;"",1,0)</f>
        <v>0</v>
      </c>
      <c r="R8" s="67"/>
      <c r="S8" s="67"/>
      <c r="U8" s="6"/>
      <c r="V8" s="46" t="s">
        <v>3</v>
      </c>
      <c r="W8" s="46" t="s">
        <v>4</v>
      </c>
      <c r="X8" s="46" t="s">
        <v>6</v>
      </c>
      <c r="Y8" s="14" t="s">
        <v>3</v>
      </c>
    </row>
    <row r="9" spans="1:25" ht="11.25" customHeight="1" thickBot="1" x14ac:dyDescent="0.2">
      <c r="A9" s="5" t="s">
        <v>113</v>
      </c>
      <c r="B9" s="216">
        <v>9386</v>
      </c>
      <c r="C9" s="216"/>
      <c r="D9" s="67" t="str">
        <f>IF(AND(B9&lt;&gt;"",C9&lt;&gt;""),SUM(B9:C9),"")</f>
        <v/>
      </c>
      <c r="E9" s="6"/>
      <c r="G9" s="63" t="s">
        <v>67</v>
      </c>
      <c r="J9" s="61"/>
      <c r="P9" s="5" t="s">
        <v>1</v>
      </c>
      <c r="Q9" s="64">
        <f>IF(D17&lt;&gt;"",1,0)</f>
        <v>0</v>
      </c>
      <c r="S9" s="4" t="s">
        <v>7</v>
      </c>
      <c r="T9" s="4" t="s">
        <v>68</v>
      </c>
      <c r="U9" s="6"/>
      <c r="V9" s="46" t="s">
        <v>79</v>
      </c>
      <c r="W9" s="6">
        <f>IF(SUM(Q7,Q9)=2,1,0)</f>
        <v>0</v>
      </c>
      <c r="X9" s="6" t="str">
        <f>IF('(1)_Summary_Data'!$W9=1,"Yes", "No")</f>
        <v>No</v>
      </c>
      <c r="Y9" s="4" t="str">
        <f>'(4)_Output_Information'!B31</f>
        <v>Report presents HR and V</v>
      </c>
    </row>
    <row r="10" spans="1:25" ht="11.25" customHeight="1" thickBot="1" x14ac:dyDescent="0.2">
      <c r="A10" s="5" t="s">
        <v>114</v>
      </c>
      <c r="B10" s="216"/>
      <c r="C10" s="216"/>
      <c r="D10" s="216"/>
      <c r="E10" s="72" t="str">
        <f>IF(AND(B10&lt;&gt;"",C10&lt;&gt;"",D10=""),"Total=" &amp; C10+B10,"")</f>
        <v/>
      </c>
      <c r="G10" s="63" t="s">
        <v>155</v>
      </c>
      <c r="J10" s="61" t="s">
        <v>106</v>
      </c>
      <c r="P10" s="5"/>
      <c r="Q10" s="67"/>
      <c r="R10" s="70"/>
      <c r="S10" s="64">
        <f>IF(G18&lt;&gt;"",1,0)</f>
        <v>0</v>
      </c>
      <c r="T10" s="64">
        <f>IF(OR(H18="R",H18="C"),1,0)</f>
        <v>0</v>
      </c>
      <c r="U10" s="6"/>
      <c r="V10" s="46" t="s">
        <v>80</v>
      </c>
      <c r="W10" s="6">
        <f>IF(SUM(Q7,Q8)=2,1,0)</f>
        <v>0</v>
      </c>
      <c r="X10" s="6" t="str">
        <f>IF('(1)_Summary_Data'!$W10=1,"Yes","No")</f>
        <v>No</v>
      </c>
      <c r="Y10" s="4" t="str">
        <f>'(4)_Output_Information'!B32</f>
        <v>Report presents HR and O-E</v>
      </c>
    </row>
    <row r="11" spans="1:25" ht="11.25" customHeight="1" thickBot="1" x14ac:dyDescent="0.2">
      <c r="A11" s="5" t="s">
        <v>115</v>
      </c>
      <c r="B11" s="218"/>
      <c r="C11" s="218"/>
      <c r="D11" s="65"/>
      <c r="E11" s="72"/>
      <c r="F11" s="5"/>
      <c r="H11" s="6"/>
      <c r="I11" s="6"/>
      <c r="J11" s="61" t="s">
        <v>107</v>
      </c>
      <c r="P11" s="5"/>
      <c r="Q11" s="67"/>
      <c r="R11" s="5"/>
      <c r="T11" s="6">
        <f>IF($H$18="C",1, IF($H$18="R",-1,0))</f>
        <v>0</v>
      </c>
      <c r="U11" s="6"/>
      <c r="V11" s="46">
        <v>1</v>
      </c>
      <c r="W11" s="6">
        <f>IF(SUM($Q$8,$Q$9)=2,1,0)</f>
        <v>0</v>
      </c>
      <c r="X11" s="6" t="str">
        <f>IF('(1)_Summary_Data'!$W11=1,"Yes","No")</f>
        <v>No</v>
      </c>
      <c r="Y11" s="4" t="str">
        <f>'(4)_Output_Information'!B33</f>
        <v>Report presents O-E and V</v>
      </c>
    </row>
    <row r="12" spans="1:25" ht="11.25" customHeight="1" x14ac:dyDescent="0.15">
      <c r="B12" s="65"/>
      <c r="C12" s="65"/>
      <c r="D12" s="65"/>
      <c r="E12" s="72"/>
      <c r="F12" s="5"/>
      <c r="H12" s="6"/>
      <c r="I12" s="6"/>
      <c r="J12" s="61"/>
      <c r="P12" s="5"/>
      <c r="Q12" s="67"/>
      <c r="R12" s="67"/>
      <c r="S12" s="67"/>
      <c r="T12" s="6"/>
      <c r="U12" s="6"/>
      <c r="V12" s="46">
        <v>2</v>
      </c>
      <c r="W12" s="6">
        <f>IF(SUM($R$18:$S$19)=4,1,0)</f>
        <v>0</v>
      </c>
      <c r="X12" s="6" t="str">
        <f>IF('(1)_Summary_Data'!$W12=1,"Yes","No")</f>
        <v>No</v>
      </c>
      <c r="Y12" s="4" t="str">
        <f>'(4)_Output_Information'!B30</f>
        <v>Report presents observed and expected events on research and control</v>
      </c>
    </row>
    <row r="13" spans="1:25" ht="11.25" customHeight="1" x14ac:dyDescent="0.15">
      <c r="C13" s="65"/>
      <c r="D13" s="65"/>
      <c r="E13" s="65"/>
      <c r="F13" s="5"/>
      <c r="G13" s="6"/>
      <c r="H13" s="6"/>
      <c r="J13" s="61" t="s">
        <v>110</v>
      </c>
      <c r="P13" s="5"/>
      <c r="S13" s="71"/>
      <c r="T13" s="6"/>
      <c r="U13" s="6"/>
      <c r="V13" s="46">
        <v>3</v>
      </c>
      <c r="W13" s="6">
        <f>IF(SUM(Q7:T7)=4,1,0)</f>
        <v>0</v>
      </c>
      <c r="X13" s="6" t="str">
        <f>IF('(1)_Summary_Data'!$W13=1,"Yes","No")</f>
        <v>No</v>
      </c>
      <c r="Y13" s="4" t="str">
        <f>'(4)_Output_Information'!B34</f>
        <v xml:space="preserve">Report presents HR and CIs </v>
      </c>
    </row>
    <row r="14" spans="1:25" ht="11.25" customHeight="1" thickBot="1" x14ac:dyDescent="0.2">
      <c r="D14" s="6" t="s">
        <v>147</v>
      </c>
      <c r="E14" s="6" t="s">
        <v>62</v>
      </c>
      <c r="F14" s="6" t="s">
        <v>76</v>
      </c>
      <c r="G14" s="6" t="s">
        <v>63</v>
      </c>
      <c r="H14" s="63" t="s">
        <v>64</v>
      </c>
      <c r="J14" s="61" t="s">
        <v>111</v>
      </c>
      <c r="P14" s="5"/>
      <c r="R14" s="6" t="s">
        <v>11</v>
      </c>
      <c r="S14" s="6" t="s">
        <v>12</v>
      </c>
      <c r="T14" s="6" t="s">
        <v>93</v>
      </c>
      <c r="U14" s="6"/>
      <c r="V14" s="46">
        <v>4</v>
      </c>
      <c r="W14" s="6">
        <f>IF(AND(SUM(Q7,T18)=2,T15=1),1,0)</f>
        <v>0</v>
      </c>
      <c r="X14" s="6" t="str">
        <f>IF('(1)_Summary_Data'!$W14=1,"Yes","No")</f>
        <v>No</v>
      </c>
      <c r="Y14" s="4" t="str">
        <f>'(4)_Output_Information'!B36</f>
        <v>Report presents HR and total events and randomisation ratio is 1:1</v>
      </c>
    </row>
    <row r="15" spans="1:25" ht="11.25" customHeight="1" thickBot="1" x14ac:dyDescent="0.2">
      <c r="C15" s="5" t="s">
        <v>146</v>
      </c>
      <c r="D15" s="219"/>
      <c r="E15" s="220"/>
      <c r="F15" s="234" t="s">
        <v>78</v>
      </c>
      <c r="G15" s="221"/>
      <c r="H15" s="222"/>
      <c r="P15" s="5"/>
      <c r="Q15" s="5" t="s">
        <v>92</v>
      </c>
      <c r="R15" s="134">
        <f>IF($B$7&lt;&gt;"",1,0)</f>
        <v>0</v>
      </c>
      <c r="S15" s="134">
        <f>IF($C$7&lt;&gt;"",1,0)</f>
        <v>0</v>
      </c>
      <c r="T15" s="6">
        <f>IF(SUM(R15:S15)=2,B7/C7,0)</f>
        <v>0</v>
      </c>
      <c r="V15" s="46">
        <v>5</v>
      </c>
      <c r="W15" s="6">
        <f>IF(AND(SUM(R18:T18,Q7)=4,T15=1),1,0)</f>
        <v>0</v>
      </c>
      <c r="X15" s="6" t="str">
        <f>IF('(1)_Summary_Data'!$W15=1,"Yes","No")</f>
        <v>No</v>
      </c>
      <c r="Y15" s="4" t="str">
        <f>'(4)_Output_Information'!B35</f>
        <v>Report presents HR and events in each arm and randomisation ratio is 1:1</v>
      </c>
    </row>
    <row r="16" spans="1:25" ht="11.25" customHeight="1" thickBot="1" x14ac:dyDescent="0.2">
      <c r="C16" s="5" t="s">
        <v>2</v>
      </c>
      <c r="D16" s="218"/>
      <c r="E16" s="65"/>
      <c r="F16" s="65"/>
      <c r="G16" s="65"/>
      <c r="H16" s="66"/>
      <c r="J16" s="61" t="s">
        <v>171</v>
      </c>
      <c r="P16" s="5"/>
      <c r="Q16" s="5" t="s">
        <v>120</v>
      </c>
      <c r="R16" s="64">
        <f>IF($B$8&lt;&gt;"",1,0)</f>
        <v>1</v>
      </c>
      <c r="S16" s="64">
        <f>IF($C$8&lt;&gt;"",1,0)</f>
        <v>0</v>
      </c>
      <c r="T16" s="6"/>
      <c r="V16" s="46">
        <v>6</v>
      </c>
      <c r="W16" s="6">
        <f>IF(SUM(T18,R17:S17,Q7)=4,2,IF(SUM(T18,R16:S16,Q7)=4,1,0))</f>
        <v>0</v>
      </c>
      <c r="X16" s="6" t="str">
        <f>IF('(1)_Summary_Data'!$W16&gt;0,"Yes","No")</f>
        <v>No</v>
      </c>
      <c r="Y16" s="4" t="str">
        <f>'(4)_Output_Information'!B37</f>
        <v>Report presents HR, total events and the no.s analysed on each arm and randomisation ratio need not be 1:1</v>
      </c>
    </row>
    <row r="17" spans="1:25" ht="11.25" customHeight="1" thickBot="1" x14ac:dyDescent="0.2">
      <c r="C17" s="5" t="s">
        <v>66</v>
      </c>
      <c r="D17" s="219"/>
      <c r="G17" s="68" t="s">
        <v>7</v>
      </c>
      <c r="H17" s="69" t="s">
        <v>17</v>
      </c>
      <c r="P17" s="13"/>
      <c r="Q17" s="5" t="s">
        <v>113</v>
      </c>
      <c r="R17" s="64">
        <f>IF($B$9&lt;&gt;"",1,0)</f>
        <v>1</v>
      </c>
      <c r="S17" s="64">
        <f>IF($C$9&lt;&gt;"",1,0)</f>
        <v>0</v>
      </c>
      <c r="T17" s="6"/>
      <c r="V17" s="46">
        <v>7</v>
      </c>
      <c r="W17" s="6">
        <f>IF(AND(SUM(S10,T18, T10)=3,T15=1),1,0)</f>
        <v>0</v>
      </c>
      <c r="X17" s="6" t="str">
        <f>IF('(1)_Summary_Data'!$W17=1,"Yes","No")</f>
        <v>No</v>
      </c>
      <c r="Y17" s="4" t="str">
        <f>'(4)_Output_Information'!B39</f>
        <v>Report presents p-value and total events and randomisation ratio is 1:1</v>
      </c>
    </row>
    <row r="18" spans="1:25" ht="11.25" customHeight="1" thickBot="1" x14ac:dyDescent="0.2">
      <c r="C18" s="5"/>
      <c r="E18" s="5"/>
      <c r="F18" s="5"/>
      <c r="G18" s="223"/>
      <c r="H18" s="224"/>
      <c r="J18" s="61" t="s">
        <v>212</v>
      </c>
      <c r="P18" s="5"/>
      <c r="Q18" s="5" t="s">
        <v>114</v>
      </c>
      <c r="R18" s="64">
        <f>IF(B$10&lt;&gt;"",1,0)</f>
        <v>0</v>
      </c>
      <c r="S18" s="64">
        <f>IF(C$10&lt;&gt;"",1,0)</f>
        <v>0</v>
      </c>
      <c r="T18" s="64">
        <f>IF($D$10&lt;&gt;"",1,0)</f>
        <v>0</v>
      </c>
      <c r="V18" s="46">
        <v>8</v>
      </c>
      <c r="W18" s="6">
        <f>IF(AND(SUM(R18:T18,S10)=4,T15=1),1,0)</f>
        <v>0</v>
      </c>
      <c r="X18" s="6" t="str">
        <f>IF('(1)_Summary_Data'!$W18=1,"Yes","No")</f>
        <v>No</v>
      </c>
      <c r="Y18" s="4" t="str">
        <f>'(4)_Output_Information'!B38</f>
        <v>Report presents p-value and events on each arm and randomisation ratio is 1:1</v>
      </c>
    </row>
    <row r="19" spans="1:25" ht="11.25" customHeight="1" thickBot="1" x14ac:dyDescent="0.2">
      <c r="A19" s="6"/>
      <c r="C19" s="5" t="s">
        <v>127</v>
      </c>
      <c r="D19" s="219"/>
      <c r="P19" s="5"/>
      <c r="Q19" s="5" t="s">
        <v>115</v>
      </c>
      <c r="R19" s="64">
        <f>IF(B$11&lt;&gt;"",1,0)</f>
        <v>0</v>
      </c>
      <c r="S19" s="64">
        <f>IF(C$11&lt;&gt;"",1,0)</f>
        <v>0</v>
      </c>
      <c r="V19" s="46">
        <v>9</v>
      </c>
      <c r="W19" s="6">
        <f>IF(SUM(T18,R17,S17,S10)=4,2,IF(SUM(T18,R16,S16,S10)=4,1,0))</f>
        <v>0</v>
      </c>
      <c r="X19" s="6" t="str">
        <f>IF(OR('(1)_Summary_Data'!$W$19=1,'(1)_Summary_Data'!$W$19=2),"Yes","No")</f>
        <v>No</v>
      </c>
      <c r="Y19" s="4" t="str">
        <f>'(4)_Output_Information'!B40</f>
        <v>Report presents p-value, total events &amp; no.s analysed on each arm and randomisation ratio need not be 1:1</v>
      </c>
    </row>
    <row r="20" spans="1:25" ht="11.25" customHeight="1" x14ac:dyDescent="0.15">
      <c r="D20" s="292" t="str">
        <f>IF(AND(D19&lt;&gt;"",D15=""),"Put HR="&amp;EXP(D19),"")</f>
        <v/>
      </c>
      <c r="E20" s="293" t="s">
        <v>211</v>
      </c>
      <c r="J20" s="6"/>
      <c r="K20" s="6"/>
      <c r="P20" s="5"/>
      <c r="R20" s="6"/>
      <c r="S20" s="6"/>
      <c r="T20" s="6"/>
      <c r="V20" s="46">
        <v>10</v>
      </c>
      <c r="W20" s="6">
        <v>0</v>
      </c>
      <c r="X20" s="6" t="str">
        <f>IF('(1)_Summary_Data'!$W20=1,"Yes","No")</f>
        <v>No</v>
      </c>
      <c r="Y20" s="4" t="str">
        <f>'(4)_Output_Information'!B41</f>
        <v>Data from curve read where wished and assuming constant censoring</v>
      </c>
    </row>
    <row r="21" spans="1:25" ht="11.25" customHeight="1" x14ac:dyDescent="0.15">
      <c r="J21" s="6"/>
      <c r="K21" s="6"/>
      <c r="Q21" s="6"/>
      <c r="R21" s="67"/>
      <c r="S21" s="67"/>
    </row>
    <row r="22" spans="1:25" ht="11.25" customHeight="1" x14ac:dyDescent="0.15">
      <c r="J22" s="6"/>
      <c r="K22" s="6"/>
      <c r="V22" s="4" t="s">
        <v>201</v>
      </c>
      <c r="W22" s="6">
        <f>IF(AND($H$15=95%,$R$7+$S$7+$T$7=3),1,0)</f>
        <v>0</v>
      </c>
      <c r="X22" s="6" t="str">
        <f>IF('(1)_Summary_Data'!$W22=1,"Yes","No")</f>
        <v>No</v>
      </c>
    </row>
    <row r="23" spans="1:25" ht="11.25" customHeight="1" x14ac:dyDescent="0.15">
      <c r="H23" s="144"/>
      <c r="I23" s="145" t="s">
        <v>121</v>
      </c>
      <c r="J23" s="146"/>
      <c r="K23" s="146"/>
      <c r="L23" s="146"/>
      <c r="M23" s="148"/>
    </row>
    <row r="24" spans="1:25" ht="11.25" customHeight="1" x14ac:dyDescent="0.15">
      <c r="H24" s="149">
        <v>1</v>
      </c>
      <c r="I24" s="150" t="str">
        <f>IF(AND(SUM($R$7:$S$7)=2,$T$7=0),"&lt;---Specify CI level",IF(OR($H$15&lt;0,$H$15&gt;1),"Do you mean " &amp; $H$15/100 &amp; "?",""))</f>
        <v/>
      </c>
      <c r="J24" s="151"/>
      <c r="K24" s="151"/>
      <c r="L24" s="151"/>
      <c r="M24" s="152"/>
    </row>
    <row r="25" spans="1:25" ht="11.25" customHeight="1" x14ac:dyDescent="0.15">
      <c r="H25" s="149">
        <v>2</v>
      </c>
      <c r="I25" s="153" t="str">
        <f>IF(AND(H18&lt;&gt;"R",H18&lt;&gt;"C",H18&lt;&gt;""),"&lt;---Enter R, C or nothing with p-value",IF(AND(G18&lt;&gt;"",H18&lt;&gt;"R",D15&lt;1),"&lt;---HR&lt;1: advantage to R?",IF(AND(G18&lt;&gt;"",H18&lt;&gt;"C",D15&gt;1),"&lt;---HR&gt;1: advantage to C?","")))</f>
        <v/>
      </c>
      <c r="J25" s="151"/>
      <c r="K25" s="151"/>
      <c r="L25" s="151"/>
      <c r="M25" s="152"/>
    </row>
    <row r="26" spans="1:25" ht="11.25" customHeight="1" x14ac:dyDescent="0.15">
      <c r="H26" s="149">
        <v>3</v>
      </c>
      <c r="I26" s="154" t="str">
        <f>IF(AND($S$10=1,OR($G$18&lt;0,$G$18&gt;1)),"&lt;---Not a valid p-value","")</f>
        <v/>
      </c>
      <c r="J26" s="151"/>
      <c r="K26" s="151"/>
      <c r="L26" s="151"/>
      <c r="M26" s="152"/>
    </row>
    <row r="27" spans="1:25" ht="11.25" customHeight="1" x14ac:dyDescent="0.15">
      <c r="A27" s="106" t="s">
        <v>89</v>
      </c>
      <c r="H27" s="149">
        <v>4</v>
      </c>
      <c r="I27" s="150" t="str">
        <f>IF($W$12=1, IF(SUM($B$10:$C$10)&lt;&gt;SUM($B$11:$C$11),"&lt;--- Obs &amp; exp events don't tally. Should be "&amp;SUM($B$10:$C$10),""),"")</f>
        <v/>
      </c>
      <c r="J27" s="151"/>
      <c r="K27" s="151"/>
      <c r="L27" s="151"/>
      <c r="M27" s="152"/>
    </row>
    <row r="28" spans="1:25" ht="11.25" customHeight="1" x14ac:dyDescent="0.15">
      <c r="A28" s="63" t="s">
        <v>88</v>
      </c>
      <c r="H28" s="149">
        <v>5</v>
      </c>
      <c r="I28" s="155" t="str">
        <f>IF(SUM(R18:T18)=3,IF(SUM($B$10:$C$10)&lt;&gt;D10,"&lt;--- Total events should sum to " &amp;SUM($B$10:$C$10),""),"")</f>
        <v/>
      </c>
      <c r="J28" s="151"/>
      <c r="K28" s="151"/>
      <c r="L28" s="151"/>
      <c r="M28" s="152"/>
    </row>
    <row r="29" spans="1:25" ht="11.25" customHeight="1" x14ac:dyDescent="0.15">
      <c r="A29" s="4" t="s">
        <v>102</v>
      </c>
      <c r="H29" s="149">
        <v>6</v>
      </c>
      <c r="I29" s="155" t="str">
        <f>IF(AND(SUM($R16,$R18)=2,$B8&lt;$B10),"&lt;---Fewer patients than events on research arm!","")</f>
        <v/>
      </c>
      <c r="J29" s="151"/>
      <c r="K29" s="151"/>
      <c r="L29" s="151"/>
      <c r="M29" s="152"/>
    </row>
    <row r="30" spans="1:25" ht="11.25" customHeight="1" x14ac:dyDescent="0.15">
      <c r="H30" s="149">
        <v>7</v>
      </c>
      <c r="I30" s="155" t="str">
        <f>IF(AND(SUM($S16,$S18)=2,$C8&lt;$C10),"&lt;---Fewer patients than events!","")</f>
        <v/>
      </c>
      <c r="J30" s="151"/>
      <c r="K30" s="151"/>
      <c r="L30" s="151"/>
      <c r="M30" s="152"/>
    </row>
    <row r="31" spans="1:25" ht="11.25" customHeight="1" x14ac:dyDescent="0.15">
      <c r="H31" s="149">
        <v>8</v>
      </c>
      <c r="I31" s="153" t="str">
        <f>IF(AND(B8&lt;&gt;"",C8&lt;&gt;"", B9&lt;&gt;"",C9&lt;&gt;""),IF(OR(B9&gt;B8,C9&gt;C8),"&lt;---More pts analysed than randomised",""),"")</f>
        <v/>
      </c>
      <c r="J31" s="151"/>
      <c r="K31" s="151"/>
      <c r="L31" s="151"/>
      <c r="M31" s="152"/>
    </row>
    <row r="32" spans="1:25" ht="11.25" customHeight="1" x14ac:dyDescent="0.15">
      <c r="H32" s="149">
        <v>9</v>
      </c>
      <c r="I32" s="150" t="str">
        <f>IF(AND($R$16+$S$16=2,$B$7&lt;&gt;"",$C$7&lt;&gt;"",$B$8&lt;&gt;"",$C$8&lt;&gt;""),IF(ABS(($B$8/$C$8)/($B$7/$C$7)-1)&gt;0.1,"&lt;----Check allocation ratio with numbers randomised",""),"")</f>
        <v/>
      </c>
      <c r="J32" s="151"/>
      <c r="K32" s="151"/>
      <c r="L32" s="151"/>
      <c r="M32" s="152"/>
    </row>
    <row r="33" spans="8:13" ht="11.25" customHeight="1" x14ac:dyDescent="0.15">
      <c r="H33" s="149">
        <v>10</v>
      </c>
      <c r="I33" s="209" t="str">
        <f>IF(AND($B$7="",$C$7="",$B$8&gt;0,$C$8&gt;0),"&lt;----Advisable to enter randomisation ratio","")</f>
        <v/>
      </c>
      <c r="J33" s="151"/>
      <c r="K33" s="151"/>
      <c r="L33" s="151"/>
      <c r="M33" s="152"/>
    </row>
    <row r="34" spans="8:13" ht="11.25" customHeight="1" x14ac:dyDescent="0.15">
      <c r="H34" s="156">
        <v>11</v>
      </c>
      <c r="I34" s="157" t="str">
        <f>IF(AND(B6&lt;&gt;"",B6=C6),"&lt;---Same name for each treatment. Are you sure?","")</f>
        <v/>
      </c>
      <c r="J34" s="158"/>
      <c r="K34" s="158"/>
      <c r="L34" s="159"/>
      <c r="M34" s="160"/>
    </row>
  </sheetData>
  <sheetProtection password="C476" sheet="1" objects="1" scenarios="1"/>
  <mergeCells count="3">
    <mergeCell ref="R5:S5"/>
    <mergeCell ref="B2:E2"/>
    <mergeCell ref="H2:J2"/>
  </mergeCells>
  <phoneticPr fontId="0" type="noConversion"/>
  <pageMargins left="0.74803149606299213" right="0.74803149606299213" top="0.98425196850393704" bottom="0.98425196850393704" header="0.51181102362204722" footer="0.51181102362204722"/>
  <pageSetup paperSize="9" orientation="landscape" horizontalDpi="200" verticalDpi="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204" r:id="rId4" name="Button 12">
              <controlPr defaultSize="0" print="0" autoFill="0" autoPict="0" macro="[0]!Clear1">
                <anchor moveWithCells="1" sizeWithCells="1">
                  <from>
                    <xdr:col>0</xdr:col>
                    <xdr:colOff>600075</xdr:colOff>
                    <xdr:row>21</xdr:row>
                    <xdr:rowOff>0</xdr:rowOff>
                  </from>
                  <to>
                    <xdr:col>1</xdr:col>
                    <xdr:colOff>180975</xdr:colOff>
                    <xdr:row>22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5" name="Button 13">
              <controlPr defaultSize="0" print="0" autoFill="0" autoPict="0" macro="[0]!PrintPage">
                <anchor moveWithCells="1" sizeWithCells="1">
                  <from>
                    <xdr:col>1</xdr:col>
                    <xdr:colOff>561975</xdr:colOff>
                    <xdr:row>20</xdr:row>
                    <xdr:rowOff>133350</xdr:rowOff>
                  </from>
                  <to>
                    <xdr:col>2</xdr:col>
                    <xdr:colOff>600075</xdr:colOff>
                    <xdr:row>22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2:AD57"/>
  <sheetViews>
    <sheetView tabSelected="1" workbookViewId="0">
      <pane xSplit="17" ySplit="19" topLeftCell="R20" activePane="bottomRight" state="frozen"/>
      <selection pane="topRight" activeCell="R1" sqref="R1"/>
      <selection pane="bottomLeft" activeCell="A17" sqref="A17"/>
      <selection pane="bottomRight" activeCell="D35" sqref="D35"/>
    </sheetView>
  </sheetViews>
  <sheetFormatPr defaultRowHeight="11.25" customHeight="1" x14ac:dyDescent="0.15"/>
  <cols>
    <col min="1" max="1" width="9.140625" style="4"/>
    <col min="2" max="2" width="8.5703125" style="4" customWidth="1"/>
    <col min="3" max="3" width="6.85546875" style="4" customWidth="1"/>
    <col min="4" max="6" width="7" style="4" customWidth="1"/>
    <col min="7" max="7" width="7.42578125" style="4" customWidth="1"/>
    <col min="8" max="8" width="8.42578125" style="4" customWidth="1"/>
    <col min="9" max="10" width="7" style="4" customWidth="1"/>
    <col min="11" max="11" width="7.5703125" style="4" customWidth="1"/>
    <col min="12" max="12" width="7" style="4" customWidth="1"/>
    <col min="13" max="13" width="8.42578125" style="4" customWidth="1"/>
    <col min="14" max="14" width="7" style="4" customWidth="1"/>
    <col min="15" max="15" width="9.7109375" style="4" customWidth="1"/>
    <col min="16" max="16" width="7" style="4" customWidth="1"/>
    <col min="17" max="17" width="7.140625" style="4" customWidth="1"/>
    <col min="18" max="18" width="2.85546875" style="4" customWidth="1"/>
    <col min="19" max="27" width="7.140625" style="4" customWidth="1"/>
    <col min="28" max="28" width="3.85546875" style="6" customWidth="1"/>
    <col min="29" max="29" width="7.7109375" style="6" bestFit="1" customWidth="1"/>
    <col min="30" max="30" width="5.42578125" style="6" bestFit="1" customWidth="1"/>
    <col min="31" max="16384" width="9.140625" style="4"/>
  </cols>
  <sheetData>
    <row r="2" spans="1:29" ht="11.25" customHeight="1" x14ac:dyDescent="0.15">
      <c r="A2" s="7" t="s">
        <v>90</v>
      </c>
      <c r="B2" s="299" t="str">
        <f>'(1)_Summary_Data'!B2</f>
        <v>[Enter trial name]</v>
      </c>
      <c r="C2" s="300"/>
      <c r="D2" s="300"/>
      <c r="E2" s="300"/>
      <c r="F2" s="301"/>
      <c r="H2" s="61" t="s">
        <v>112</v>
      </c>
      <c r="L2" s="298">
        <f ca="1">NOW()</f>
        <v>44969.70508634259</v>
      </c>
      <c r="M2" s="298"/>
      <c r="N2" s="298"/>
    </row>
    <row r="3" spans="1:29" ht="11.25" customHeight="1" x14ac:dyDescent="0.15"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0"/>
    </row>
    <row r="4" spans="1:29" ht="11.25" customHeight="1" thickBot="1" x14ac:dyDescent="0.2">
      <c r="D4" s="5" t="s">
        <v>52</v>
      </c>
      <c r="L4" s="5" t="s">
        <v>97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0"/>
    </row>
    <row r="5" spans="1:29" ht="11.25" customHeight="1" thickBot="1" x14ac:dyDescent="0.25">
      <c r="D5" s="1"/>
      <c r="E5" s="1"/>
      <c r="F5" s="4" t="s">
        <v>19</v>
      </c>
      <c r="H5" s="5"/>
      <c r="L5" s="136" t="s">
        <v>22</v>
      </c>
      <c r="M5" s="135">
        <f>MIN($D$20:$D$53)</f>
        <v>98.554600000000008</v>
      </c>
      <c r="N5" s="8" t="s">
        <v>98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0"/>
    </row>
    <row r="6" spans="1:29" ht="11.25" customHeight="1" x14ac:dyDescent="0.2">
      <c r="D6" s="10" t="s">
        <v>18</v>
      </c>
      <c r="E6" s="10" t="s">
        <v>20</v>
      </c>
      <c r="F6" s="9" t="str">
        <f>IF(AND(E5&lt;&gt;"",$E$5&lt;=MAX($C$20:$C$53)),"&lt;---Maximum FU is more than "&amp; $E$5 &amp; " months","")</f>
        <v/>
      </c>
      <c r="G6" s="11"/>
      <c r="H6" s="11"/>
      <c r="L6" s="136" t="s">
        <v>21</v>
      </c>
      <c r="M6" s="135">
        <f>MIN($I$20:$I$53)</f>
        <v>100</v>
      </c>
      <c r="N6" s="8" t="s">
        <v>99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0"/>
    </row>
    <row r="7" spans="1:29" ht="11.25" customHeight="1" x14ac:dyDescent="0.15">
      <c r="B7" s="12"/>
      <c r="C7" s="12"/>
      <c r="D7" s="11"/>
      <c r="F7" s="11"/>
      <c r="G7" s="11"/>
      <c r="H7" s="11"/>
      <c r="I7" s="11"/>
      <c r="J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0"/>
    </row>
    <row r="8" spans="1:29" ht="11.25" customHeight="1" x14ac:dyDescent="0.15">
      <c r="A8" s="13" t="s">
        <v>51</v>
      </c>
      <c r="B8" s="14"/>
      <c r="C8" s="15"/>
      <c r="D8" s="16"/>
      <c r="H8" s="14"/>
    </row>
    <row r="9" spans="1:29" ht="11.25" customHeight="1" x14ac:dyDescent="0.15">
      <c r="A9" s="282" t="s">
        <v>178</v>
      </c>
      <c r="B9" s="283"/>
      <c r="C9" s="284"/>
      <c r="D9" s="285" t="s">
        <v>176</v>
      </c>
      <c r="E9" s="283"/>
      <c r="F9" s="284"/>
      <c r="G9" s="284"/>
      <c r="H9" s="284"/>
      <c r="I9" s="286" t="s">
        <v>181</v>
      </c>
      <c r="J9" s="284"/>
      <c r="K9" s="284"/>
      <c r="L9" s="284"/>
      <c r="M9" s="287" t="s">
        <v>183</v>
      </c>
      <c r="N9" s="284"/>
      <c r="O9" s="284"/>
    </row>
    <row r="10" spans="1:29" ht="11.25" customHeight="1" x14ac:dyDescent="0.15">
      <c r="A10" s="282" t="s">
        <v>179</v>
      </c>
      <c r="B10" s="283"/>
      <c r="C10" s="284"/>
      <c r="D10" s="285" t="s">
        <v>177</v>
      </c>
      <c r="E10" s="283"/>
      <c r="F10" s="284"/>
      <c r="G10" s="284"/>
      <c r="H10" s="284"/>
      <c r="I10" s="286" t="s">
        <v>182</v>
      </c>
      <c r="J10" s="284"/>
      <c r="K10" s="284"/>
      <c r="L10" s="284"/>
      <c r="M10" s="287" t="s">
        <v>184</v>
      </c>
      <c r="N10" s="284"/>
      <c r="O10" s="284"/>
    </row>
    <row r="11" spans="1:29" ht="11.25" customHeight="1" x14ac:dyDescent="0.15">
      <c r="A11" s="282" t="s">
        <v>180</v>
      </c>
      <c r="B11" s="283"/>
      <c r="C11" s="284"/>
      <c r="D11" s="285" t="s">
        <v>196</v>
      </c>
      <c r="E11" s="283"/>
      <c r="F11" s="284"/>
      <c r="G11" s="284"/>
      <c r="H11" s="284"/>
      <c r="I11" s="286" t="s">
        <v>197</v>
      </c>
      <c r="J11" s="284"/>
      <c r="K11" s="284"/>
      <c r="L11" s="284"/>
      <c r="M11" s="287" t="s">
        <v>185</v>
      </c>
      <c r="N11" s="284"/>
      <c r="O11" s="284"/>
    </row>
    <row r="12" spans="1:29" ht="11.25" customHeight="1" x14ac:dyDescent="0.15">
      <c r="A12" s="284"/>
      <c r="B12" s="288"/>
      <c r="C12" s="284"/>
      <c r="D12" s="285" t="s">
        <v>206</v>
      </c>
      <c r="E12" s="283"/>
      <c r="F12" s="284"/>
      <c r="G12" s="284"/>
      <c r="H12" s="284"/>
      <c r="I12" s="286" t="s">
        <v>204</v>
      </c>
      <c r="J12" s="284"/>
      <c r="K12" s="284"/>
      <c r="L12" s="284"/>
      <c r="M12" s="287" t="s">
        <v>186</v>
      </c>
      <c r="N12" s="284"/>
      <c r="O12" s="284"/>
    </row>
    <row r="13" spans="1:29" ht="11.25" customHeight="1" thickBot="1" x14ac:dyDescent="0.2">
      <c r="A13" s="284"/>
      <c r="B13" s="288"/>
      <c r="C13" s="284"/>
      <c r="D13" s="285" t="s">
        <v>207</v>
      </c>
      <c r="E13" s="283"/>
      <c r="F13" s="284"/>
      <c r="G13" s="284"/>
      <c r="H13" s="284"/>
      <c r="I13" s="286" t="s">
        <v>205</v>
      </c>
      <c r="J13" s="284"/>
      <c r="K13" s="284"/>
      <c r="L13" s="284"/>
      <c r="M13" s="284"/>
      <c r="N13" s="284"/>
      <c r="O13" s="284"/>
    </row>
    <row r="14" spans="1:29" ht="11.25" customHeight="1" thickBot="1" x14ac:dyDescent="0.2">
      <c r="B14" s="14"/>
      <c r="H14" s="14"/>
      <c r="P14" s="15" t="s">
        <v>0</v>
      </c>
      <c r="Q14" s="241" t="e">
        <f>IF(AND($P$17=0, $Q$17=0),"na", EXP(P17/Q17))</f>
        <v>#VALUE!</v>
      </c>
      <c r="AC14" s="6" t="s">
        <v>57</v>
      </c>
    </row>
    <row r="15" spans="1:29" ht="11.25" customHeight="1" thickBot="1" x14ac:dyDescent="0.2">
      <c r="B15" s="14"/>
      <c r="D15" s="16"/>
      <c r="E15" s="6"/>
      <c r="AC15" s="6" t="s">
        <v>58</v>
      </c>
    </row>
    <row r="16" spans="1:29" ht="11.25" customHeight="1" thickBot="1" x14ac:dyDescent="0.2">
      <c r="B16" s="18"/>
      <c r="C16" s="18"/>
      <c r="D16" s="302" t="str">
        <f>"Research(1)" &amp; IF('(1)_Summary_Data'!B6&lt;&gt;"",": " &amp; '(1)_Summary_Data'!B6,"")</f>
        <v>Research(1)</v>
      </c>
      <c r="E16" s="303"/>
      <c r="F16" s="303"/>
      <c r="G16" s="303"/>
      <c r="H16" s="304"/>
      <c r="I16" s="302" t="str">
        <f>"Control(1)" &amp;IF('(1)_Summary_Data'!C6&lt;&gt;"",": " &amp; '(1)_Summary_Data'!C6,"")</f>
        <v>Control(1)</v>
      </c>
      <c r="J16" s="303"/>
      <c r="K16" s="303"/>
      <c r="L16" s="303"/>
      <c r="M16" s="304"/>
      <c r="N16" s="302" t="s">
        <v>122</v>
      </c>
      <c r="O16" s="303"/>
      <c r="P16" s="303"/>
      <c r="Q16" s="304"/>
      <c r="AC16" s="6" t="s">
        <v>59</v>
      </c>
    </row>
    <row r="17" spans="1:30" ht="11.25" customHeight="1" thickBot="1" x14ac:dyDescent="0.2">
      <c r="B17" s="22" t="s">
        <v>9</v>
      </c>
      <c r="C17" s="23"/>
      <c r="D17" s="24"/>
      <c r="E17" s="25"/>
      <c r="F17" s="25"/>
      <c r="G17" s="165">
        <f>SUM(G20:G53)</f>
        <v>135.66524499999926</v>
      </c>
      <c r="H17" s="259">
        <f>SUM(H20:H53)</f>
        <v>0</v>
      </c>
      <c r="I17" s="24"/>
      <c r="J17" s="25"/>
      <c r="K17" s="25"/>
      <c r="L17" s="165">
        <f>SUM(L20:L53)</f>
        <v>0</v>
      </c>
      <c r="M17" s="165">
        <f>SUM(M20:M53)</f>
        <v>0</v>
      </c>
      <c r="N17" s="26"/>
      <c r="O17" s="25"/>
      <c r="P17" s="241" t="e">
        <f>SUM(P20:P53)</f>
        <v>#VALUE!</v>
      </c>
      <c r="Q17" s="27" t="e">
        <f>SUM(Q20:Q53)</f>
        <v>#VALUE!</v>
      </c>
      <c r="R17" s="28"/>
      <c r="S17" s="28"/>
      <c r="T17" s="28"/>
      <c r="U17" s="28"/>
      <c r="V17" s="28"/>
      <c r="W17" s="28"/>
      <c r="X17" s="28"/>
      <c r="Y17" s="28"/>
      <c r="Z17" s="28"/>
      <c r="AA17" s="28"/>
      <c r="AC17" s="6" t="s">
        <v>60</v>
      </c>
    </row>
    <row r="18" spans="1:30" ht="11.25" customHeight="1" x14ac:dyDescent="0.15">
      <c r="A18" s="138" t="s">
        <v>36</v>
      </c>
      <c r="B18" s="29" t="s">
        <v>37</v>
      </c>
      <c r="C18" s="30" t="s">
        <v>12</v>
      </c>
      <c r="D18" s="31" t="s">
        <v>38</v>
      </c>
      <c r="E18" s="32" t="s">
        <v>39</v>
      </c>
      <c r="F18" s="32" t="s">
        <v>40</v>
      </c>
      <c r="G18" s="32" t="s">
        <v>41</v>
      </c>
      <c r="H18" s="170" t="s">
        <v>42</v>
      </c>
      <c r="I18" s="33" t="s">
        <v>43</v>
      </c>
      <c r="J18" s="34" t="s">
        <v>44</v>
      </c>
      <c r="K18" s="34" t="s">
        <v>45</v>
      </c>
      <c r="L18" s="34" t="s">
        <v>46</v>
      </c>
      <c r="M18" s="172" t="s">
        <v>47</v>
      </c>
      <c r="N18" s="35" t="s">
        <v>48</v>
      </c>
      <c r="O18" s="36" t="s">
        <v>49</v>
      </c>
      <c r="P18" s="37" t="s">
        <v>50</v>
      </c>
      <c r="Q18" s="38" t="s">
        <v>55</v>
      </c>
      <c r="R18" s="39"/>
      <c r="S18" s="39"/>
      <c r="T18" s="39"/>
      <c r="U18" s="39"/>
      <c r="V18" s="39"/>
      <c r="W18" s="39"/>
      <c r="X18" s="39"/>
      <c r="Y18" s="39"/>
      <c r="Z18" s="39"/>
      <c r="AA18" s="39"/>
    </row>
    <row r="19" spans="1:30" ht="11.25" customHeight="1" thickBot="1" x14ac:dyDescent="0.25">
      <c r="A19" s="4" t="s">
        <v>53</v>
      </c>
      <c r="B19" s="40" t="s">
        <v>23</v>
      </c>
      <c r="C19" s="41" t="s">
        <v>94</v>
      </c>
      <c r="D19" s="40" t="s">
        <v>95</v>
      </c>
      <c r="E19" s="42" t="s">
        <v>24</v>
      </c>
      <c r="F19" s="42" t="s">
        <v>26</v>
      </c>
      <c r="G19" s="42" t="s">
        <v>27</v>
      </c>
      <c r="H19" s="279" t="s">
        <v>25</v>
      </c>
      <c r="I19" s="40" t="s">
        <v>96</v>
      </c>
      <c r="J19" s="42" t="s">
        <v>28</v>
      </c>
      <c r="K19" s="42" t="s">
        <v>30</v>
      </c>
      <c r="L19" s="42" t="s">
        <v>31</v>
      </c>
      <c r="M19" s="279" t="s">
        <v>29</v>
      </c>
      <c r="N19" s="40" t="s">
        <v>32</v>
      </c>
      <c r="O19" s="43" t="s">
        <v>33</v>
      </c>
      <c r="P19" s="44" t="s">
        <v>34</v>
      </c>
      <c r="Q19" s="45" t="s">
        <v>35</v>
      </c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6" t="s">
        <v>54</v>
      </c>
      <c r="AC19" s="6" t="s">
        <v>61</v>
      </c>
      <c r="AD19" s="6" t="s">
        <v>56</v>
      </c>
    </row>
    <row r="20" spans="1:30" ht="11.25" customHeight="1" x14ac:dyDescent="0.15">
      <c r="A20" s="9"/>
      <c r="B20" s="47" t="str">
        <f>C20 &amp; IF(C21&lt;&gt;"", " to " &amp; C21, IF(C20&lt;&gt;"", " to " &amp; $E$2,""))</f>
        <v>0 to 1</v>
      </c>
      <c r="C20" s="48">
        <v>0</v>
      </c>
      <c r="D20" s="49">
        <v>100</v>
      </c>
      <c r="E20" s="238">
        <v>9386</v>
      </c>
      <c r="F20" s="187">
        <f t="shared" ref="F20:F53" si="0">IF(OR(E20="na",H20="na"),"na",E20-H20)</f>
        <v>9386</v>
      </c>
      <c r="G20" s="187">
        <f>IF($E$20="","na",IF(OR(D20=D21,D20=$M$5),0.000001,IF(D20&gt;D21,F20*((D20-D21)/D20))))</f>
        <v>3.4385479068276026</v>
      </c>
      <c r="H20" s="280" t="str">
        <f>IF($E20="","na",IF(OR($C20&lt;$D$5,$C20&gt;=$E$5),"0.00",IF(AND($I20=$M$6,$D20=$M$5),"0.00",IF(AND($C20&gt;=$D$5,$C20&lt;$E$5),(E20*0.5*($C21-$C20)*(1/($E$5-$C20)))))))</f>
        <v>0.00</v>
      </c>
      <c r="I20" s="49">
        <v>100</v>
      </c>
      <c r="J20" s="238"/>
      <c r="K20" s="187" t="str">
        <f t="shared" ref="K20:K53" si="1">IF(OR(J20="na",M20="na"),"na",J20-M20)</f>
        <v>na</v>
      </c>
      <c r="L20" s="187" t="str">
        <f>IF($J$20="","na",IF(OR(I20=I21,I20=$M$6),0.000001,IF(I20&gt;I21,K20*((I20-I21)/I20))))</f>
        <v>na</v>
      </c>
      <c r="M20" s="280" t="str">
        <f>IF($J20="","na",IF(OR($C20&lt;$D$5,$C20&gt;=$E$5),"0.00",IF(AND($I20=$M$6,$D20=$M$5),"0.00",IF(AND($C20&gt;=$D$5,$C20&lt;$E$5),(J20*0.5*($C21-$C20)*(1/($E$5-$C20)))))))</f>
        <v>na</v>
      </c>
      <c r="N20" s="53" t="e">
        <f t="shared" ref="N20:N53" si="2">IF(AC20=1,LN((G20/F20)/(L20/K20)),"na")</f>
        <v>#VALUE!</v>
      </c>
      <c r="O20" s="50" t="e">
        <f t="shared" ref="O20:O53" si="3">IF(AC20=1,((1/L20)-(1/K20)+(1/G20)-(1/F20)),"na")</f>
        <v>#VALUE!</v>
      </c>
      <c r="P20" s="51" t="e">
        <f>IF(AD20=1,N20/O20,"na")</f>
        <v>#VALUE!</v>
      </c>
      <c r="Q20" s="52" t="e">
        <f>IF(AC20=1,1/O20,"na")</f>
        <v>#VALUE!</v>
      </c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6">
        <f t="shared" ref="AB20:AB53" si="4">D20-I20</f>
        <v>0</v>
      </c>
      <c r="AC20" s="6">
        <f t="shared" ref="AC20:AC53" si="5">IF(OR( $F20&lt;&gt;"na", $K20&lt;&gt;"na"),1,0)</f>
        <v>1</v>
      </c>
      <c r="AD20" s="6" t="e">
        <f>IF(AND($N20&lt;&gt;"na", $O20&lt;&gt;"na"),1,0)</f>
        <v>#VALUE!</v>
      </c>
    </row>
    <row r="21" spans="1:30" ht="11.25" customHeight="1" x14ac:dyDescent="0.15">
      <c r="A21" s="9" t="str">
        <f t="shared" ref="A21:A53" si="6">IF(OR(AND(C21&lt;&gt;"",C21&lt;=C20),AND(D21&lt;&gt;"",D21&gt;D20),AND(I21&lt;&gt;"",I21&gt;I20),AND(D21&lt;&gt;"",I21=""),AND(D21="",I21&lt;&gt;"")),"Problem---&gt;","")</f>
        <v>Problem---&gt;</v>
      </c>
      <c r="B21" s="47" t="str">
        <f t="shared" ref="B21:B53" si="7">C21 &amp; IF(C22&lt;&gt;"", " to " &amp; C22, IF(C21&lt;&gt;"", " to " &amp; $E$5,""))</f>
        <v>1 to 2</v>
      </c>
      <c r="C21" s="225">
        <v>1</v>
      </c>
      <c r="D21" s="2">
        <v>99.963365140562246</v>
      </c>
      <c r="E21" s="239">
        <f t="shared" ref="E21:E53" si="8">IF(D21&lt;&gt;"", E20 - H20 - G20,"na")</f>
        <v>9382.5614520931722</v>
      </c>
      <c r="F21" s="187">
        <f t="shared" si="0"/>
        <v>9382.5614520931722</v>
      </c>
      <c r="G21" s="187">
        <f t="shared" ref="G21:G53" si="9">IF(D21="","na",IF(OR(D21=D22,D21=$M$5),0.000001,IF(D21&gt;D22,F21*((D21-D22)/D21))))</f>
        <v>15.252732493172385</v>
      </c>
      <c r="H21" s="280" t="str">
        <f t="shared" ref="H21:H53" si="10">IF($D21="","na",IF(OR($C21&lt;$D$5,$C21&gt;=$E$5),"0.00",IF(AND($I21=$M$6,$D21=$M$5),"0.00",IF(AND($C21&gt;=$D$5,$C21&lt;$E$5),(E21*0.5*($C22-$C21)*(1/($E$5-$C21)))))))</f>
        <v>0.00</v>
      </c>
      <c r="I21" s="2"/>
      <c r="J21" s="239" t="str">
        <f t="shared" ref="J21:J53" si="11" xml:space="preserve"> IF(I21&lt;&gt;"",J20 - M20 - L20,"na")</f>
        <v>na</v>
      </c>
      <c r="K21" s="187" t="str">
        <f t="shared" si="1"/>
        <v>na</v>
      </c>
      <c r="L21" s="187" t="str">
        <f t="shared" ref="L21:L53" si="12">IF(I21="","na",IF(OR(I21=I22,I21=$M$6),0.000001,IF(I21&gt;I22,K21*((I21-I22)/I21))))</f>
        <v>na</v>
      </c>
      <c r="M21" s="280" t="str">
        <f t="shared" ref="M21:M53" si="13">IF($I21="","na",IF(OR($C21&lt;$D$5,$C21&gt;=$E$5),"0.00",IF(AND($I21=$M$6,$D21=$M$5),"0.00",IF(AND($C21&gt;=$D$5,$C21&lt;$E$5),(J21*0.5*($C22-$C21)*(1/($E$5-$C21)))))))</f>
        <v>na</v>
      </c>
      <c r="N21" s="53" t="e">
        <f t="shared" si="2"/>
        <v>#VALUE!</v>
      </c>
      <c r="O21" s="50" t="e">
        <f t="shared" si="3"/>
        <v>#VALUE!</v>
      </c>
      <c r="P21" s="51" t="e">
        <f t="shared" ref="P21:P53" si="14">IF(AD21=1,N21/O21,"na")</f>
        <v>#VALUE!</v>
      </c>
      <c r="Q21" s="52" t="e">
        <f>IF(AC21=1,1/O21,"na")</f>
        <v>#VALUE!</v>
      </c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6">
        <f t="shared" si="4"/>
        <v>99.963365140562246</v>
      </c>
      <c r="AC21" s="6">
        <f t="shared" si="5"/>
        <v>1</v>
      </c>
      <c r="AD21" s="6" t="e">
        <f t="shared" ref="AD21:AD53" si="15">IF(AND($N21&lt;&gt;"na", $O21&lt;&gt;"na"),1,0)</f>
        <v>#VALUE!</v>
      </c>
    </row>
    <row r="22" spans="1:30" ht="11.25" customHeight="1" x14ac:dyDescent="0.15">
      <c r="A22" s="9" t="str">
        <f t="shared" si="6"/>
        <v>Problem---&gt;</v>
      </c>
      <c r="B22" s="47" t="str">
        <f t="shared" si="7"/>
        <v>2 to 3</v>
      </c>
      <c r="C22" s="226">
        <v>2</v>
      </c>
      <c r="D22" s="2">
        <v>99.80086</v>
      </c>
      <c r="E22" s="239">
        <f t="shared" si="8"/>
        <v>9367.3087195999997</v>
      </c>
      <c r="F22" s="187">
        <f t="shared" si="0"/>
        <v>9367.3087195999997</v>
      </c>
      <c r="G22" s="187">
        <f t="shared" si="9"/>
        <v>12.662652599999133</v>
      </c>
      <c r="H22" s="280" t="str">
        <f t="shared" si="10"/>
        <v>0.00</v>
      </c>
      <c r="I22" s="2"/>
      <c r="J22" s="239" t="str">
        <f t="shared" si="11"/>
        <v>na</v>
      </c>
      <c r="K22" s="187" t="str">
        <f t="shared" si="1"/>
        <v>na</v>
      </c>
      <c r="L22" s="187" t="str">
        <f t="shared" si="12"/>
        <v>na</v>
      </c>
      <c r="M22" s="280" t="str">
        <f t="shared" si="13"/>
        <v>na</v>
      </c>
      <c r="N22" s="53" t="e">
        <f t="shared" si="2"/>
        <v>#VALUE!</v>
      </c>
      <c r="O22" s="50" t="e">
        <f t="shared" si="3"/>
        <v>#VALUE!</v>
      </c>
      <c r="P22" s="51" t="e">
        <f t="shared" si="14"/>
        <v>#VALUE!</v>
      </c>
      <c r="Q22" s="52" t="e">
        <f t="shared" ref="Q22:Q53" si="16">IF(AC22=1,1/O22,"na")</f>
        <v>#VALUE!</v>
      </c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6">
        <f t="shared" si="4"/>
        <v>99.80086</v>
      </c>
      <c r="AC22" s="6">
        <f t="shared" si="5"/>
        <v>1</v>
      </c>
      <c r="AD22" s="6" t="e">
        <f t="shared" si="15"/>
        <v>#VALUE!</v>
      </c>
    </row>
    <row r="23" spans="1:30" ht="11.25" customHeight="1" x14ac:dyDescent="0.15">
      <c r="A23" s="9" t="str">
        <f t="shared" si="6"/>
        <v>Problem---&gt;</v>
      </c>
      <c r="B23" s="47" t="str">
        <f t="shared" si="7"/>
        <v>3 to 4</v>
      </c>
      <c r="C23" s="226">
        <v>3</v>
      </c>
      <c r="D23" s="2">
        <v>99.665950000000009</v>
      </c>
      <c r="E23" s="239">
        <f t="shared" si="8"/>
        <v>9354.6460669999997</v>
      </c>
      <c r="F23" s="187">
        <f t="shared" si="0"/>
        <v>9354.6460669999997</v>
      </c>
      <c r="G23" s="187">
        <f t="shared" si="9"/>
        <v>12.661714000001501</v>
      </c>
      <c r="H23" s="280" t="str">
        <f t="shared" si="10"/>
        <v>0.00</v>
      </c>
      <c r="I23" s="2"/>
      <c r="J23" s="239" t="str">
        <f t="shared" si="11"/>
        <v>na</v>
      </c>
      <c r="K23" s="187" t="str">
        <f t="shared" si="1"/>
        <v>na</v>
      </c>
      <c r="L23" s="187" t="str">
        <f t="shared" si="12"/>
        <v>na</v>
      </c>
      <c r="M23" s="280" t="str">
        <f t="shared" si="13"/>
        <v>na</v>
      </c>
      <c r="N23" s="53" t="e">
        <f t="shared" si="2"/>
        <v>#VALUE!</v>
      </c>
      <c r="O23" s="50" t="e">
        <f t="shared" si="3"/>
        <v>#VALUE!</v>
      </c>
      <c r="P23" s="51" t="e">
        <f t="shared" si="14"/>
        <v>#VALUE!</v>
      </c>
      <c r="Q23" s="52" t="e">
        <f t="shared" si="16"/>
        <v>#VALUE!</v>
      </c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6">
        <f t="shared" si="4"/>
        <v>99.665950000000009</v>
      </c>
      <c r="AC23" s="6">
        <f t="shared" si="5"/>
        <v>1</v>
      </c>
      <c r="AD23" s="6" t="e">
        <f t="shared" si="15"/>
        <v>#VALUE!</v>
      </c>
    </row>
    <row r="24" spans="1:30" ht="11.25" customHeight="1" x14ac:dyDescent="0.15">
      <c r="A24" s="9" t="str">
        <f t="shared" si="6"/>
        <v>Problem---&gt;</v>
      </c>
      <c r="B24" s="47" t="str">
        <f t="shared" si="7"/>
        <v>4 to 5</v>
      </c>
      <c r="C24" s="226">
        <v>4</v>
      </c>
      <c r="D24" s="2">
        <v>99.531049999999993</v>
      </c>
      <c r="E24" s="239">
        <f t="shared" si="8"/>
        <v>9341.984352999998</v>
      </c>
      <c r="F24" s="187">
        <f t="shared" si="0"/>
        <v>9341.984352999998</v>
      </c>
      <c r="G24" s="187">
        <f t="shared" si="9"/>
        <v>9.0443495999990606</v>
      </c>
      <c r="H24" s="280" t="str">
        <f t="shared" si="10"/>
        <v>0.00</v>
      </c>
      <c r="I24" s="2"/>
      <c r="J24" s="239" t="str">
        <f t="shared" si="11"/>
        <v>na</v>
      </c>
      <c r="K24" s="187" t="str">
        <f t="shared" si="1"/>
        <v>na</v>
      </c>
      <c r="L24" s="187" t="str">
        <f t="shared" si="12"/>
        <v>na</v>
      </c>
      <c r="M24" s="280" t="str">
        <f t="shared" si="13"/>
        <v>na</v>
      </c>
      <c r="N24" s="53" t="e">
        <f t="shared" si="2"/>
        <v>#VALUE!</v>
      </c>
      <c r="O24" s="50" t="e">
        <f t="shared" si="3"/>
        <v>#VALUE!</v>
      </c>
      <c r="P24" s="51" t="e">
        <f t="shared" si="14"/>
        <v>#VALUE!</v>
      </c>
      <c r="Q24" s="52" t="e">
        <f t="shared" si="16"/>
        <v>#VALUE!</v>
      </c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6">
        <f t="shared" si="4"/>
        <v>99.531049999999993</v>
      </c>
      <c r="AC24" s="6">
        <f t="shared" si="5"/>
        <v>1</v>
      </c>
      <c r="AD24" s="6" t="e">
        <f t="shared" si="15"/>
        <v>#VALUE!</v>
      </c>
    </row>
    <row r="25" spans="1:30" ht="11.25" customHeight="1" x14ac:dyDescent="0.15">
      <c r="A25" s="9" t="str">
        <f t="shared" si="6"/>
        <v>Problem---&gt;</v>
      </c>
      <c r="B25" s="47" t="str">
        <f t="shared" si="7"/>
        <v>5 to 6</v>
      </c>
      <c r="C25" s="226">
        <v>5</v>
      </c>
      <c r="D25" s="2">
        <v>99.434690000000003</v>
      </c>
      <c r="E25" s="239">
        <f t="shared" si="8"/>
        <v>9332.9400033999991</v>
      </c>
      <c r="F25" s="187">
        <f t="shared" si="0"/>
        <v>9332.9400033999991</v>
      </c>
      <c r="G25" s="187">
        <f t="shared" si="9"/>
        <v>12.05913280000097</v>
      </c>
      <c r="H25" s="280" t="str">
        <f t="shared" si="10"/>
        <v>0.00</v>
      </c>
      <c r="I25" s="2"/>
      <c r="J25" s="239" t="str">
        <f t="shared" si="11"/>
        <v>na</v>
      </c>
      <c r="K25" s="187" t="str">
        <f t="shared" si="1"/>
        <v>na</v>
      </c>
      <c r="L25" s="187" t="str">
        <f t="shared" si="12"/>
        <v>na</v>
      </c>
      <c r="M25" s="280" t="str">
        <f t="shared" si="13"/>
        <v>na</v>
      </c>
      <c r="N25" s="53" t="e">
        <f t="shared" si="2"/>
        <v>#VALUE!</v>
      </c>
      <c r="O25" s="50" t="e">
        <f t="shared" si="3"/>
        <v>#VALUE!</v>
      </c>
      <c r="P25" s="51" t="e">
        <f t="shared" si="14"/>
        <v>#VALUE!</v>
      </c>
      <c r="Q25" s="52" t="e">
        <f t="shared" si="16"/>
        <v>#VALUE!</v>
      </c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6">
        <f t="shared" si="4"/>
        <v>99.434690000000003</v>
      </c>
      <c r="AC25" s="6">
        <f t="shared" si="5"/>
        <v>1</v>
      </c>
      <c r="AD25" s="6" t="e">
        <f t="shared" si="15"/>
        <v>#VALUE!</v>
      </c>
    </row>
    <row r="26" spans="1:30" ht="11.25" customHeight="1" x14ac:dyDescent="0.15">
      <c r="A26" s="9" t="str">
        <f t="shared" si="6"/>
        <v>Problem---&gt;</v>
      </c>
      <c r="B26" s="47" t="str">
        <f t="shared" si="7"/>
        <v>6 to 7</v>
      </c>
      <c r="C26" s="226">
        <v>6</v>
      </c>
      <c r="D26" s="2">
        <v>99.306209999999993</v>
      </c>
      <c r="E26" s="239">
        <f t="shared" si="8"/>
        <v>9320.8808705999982</v>
      </c>
      <c r="F26" s="187">
        <f t="shared" si="0"/>
        <v>9320.8808705999982</v>
      </c>
      <c r="G26" s="187">
        <f t="shared" si="9"/>
        <v>12.661713999998833</v>
      </c>
      <c r="H26" s="280" t="str">
        <f t="shared" si="10"/>
        <v>0.00</v>
      </c>
      <c r="I26" s="2"/>
      <c r="J26" s="239" t="str">
        <f t="shared" si="11"/>
        <v>na</v>
      </c>
      <c r="K26" s="187" t="str">
        <f t="shared" si="1"/>
        <v>na</v>
      </c>
      <c r="L26" s="187" t="str">
        <f t="shared" si="12"/>
        <v>na</v>
      </c>
      <c r="M26" s="280" t="str">
        <f t="shared" si="13"/>
        <v>na</v>
      </c>
      <c r="N26" s="53" t="e">
        <f t="shared" si="2"/>
        <v>#VALUE!</v>
      </c>
      <c r="O26" s="50" t="e">
        <f t="shared" si="3"/>
        <v>#VALUE!</v>
      </c>
      <c r="P26" s="51" t="e">
        <f t="shared" si="14"/>
        <v>#VALUE!</v>
      </c>
      <c r="Q26" s="52" t="e">
        <f t="shared" si="16"/>
        <v>#VALUE!</v>
      </c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6">
        <f t="shared" si="4"/>
        <v>99.306209999999993</v>
      </c>
      <c r="AC26" s="6">
        <f t="shared" si="5"/>
        <v>1</v>
      </c>
      <c r="AD26" s="6" t="e">
        <f t="shared" si="15"/>
        <v>#VALUE!</v>
      </c>
    </row>
    <row r="27" spans="1:30" ht="11.25" customHeight="1" x14ac:dyDescent="0.15">
      <c r="A27" s="9" t="str">
        <f t="shared" si="6"/>
        <v>Problem---&gt;</v>
      </c>
      <c r="B27" s="47" t="str">
        <f t="shared" si="7"/>
        <v>7 to 8</v>
      </c>
      <c r="C27" s="226">
        <v>7</v>
      </c>
      <c r="D27" s="2">
        <v>99.171310000000005</v>
      </c>
      <c r="E27" s="239">
        <f t="shared" si="8"/>
        <v>9308.2191566000001</v>
      </c>
      <c r="F27" s="187">
        <f t="shared" si="0"/>
        <v>9308.2191566000001</v>
      </c>
      <c r="G27" s="187">
        <f t="shared" si="9"/>
        <v>13.86875360000049</v>
      </c>
      <c r="H27" s="280" t="str">
        <f t="shared" si="10"/>
        <v>0.00</v>
      </c>
      <c r="I27" s="2"/>
      <c r="J27" s="239" t="str">
        <f t="shared" si="11"/>
        <v>na</v>
      </c>
      <c r="K27" s="187" t="str">
        <f t="shared" si="1"/>
        <v>na</v>
      </c>
      <c r="L27" s="187" t="str">
        <f t="shared" si="12"/>
        <v>na</v>
      </c>
      <c r="M27" s="280" t="str">
        <f t="shared" si="13"/>
        <v>na</v>
      </c>
      <c r="N27" s="53" t="e">
        <f t="shared" si="2"/>
        <v>#VALUE!</v>
      </c>
      <c r="O27" s="50" t="e">
        <f t="shared" si="3"/>
        <v>#VALUE!</v>
      </c>
      <c r="P27" s="51" t="e">
        <f t="shared" si="14"/>
        <v>#VALUE!</v>
      </c>
      <c r="Q27" s="52" t="e">
        <f t="shared" si="16"/>
        <v>#VALUE!</v>
      </c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6">
        <f t="shared" si="4"/>
        <v>99.171310000000005</v>
      </c>
      <c r="AC27" s="6">
        <f t="shared" si="5"/>
        <v>1</v>
      </c>
      <c r="AD27" s="6" t="e">
        <f t="shared" si="15"/>
        <v>#VALUE!</v>
      </c>
    </row>
    <row r="28" spans="1:30" ht="11.25" customHeight="1" x14ac:dyDescent="0.15">
      <c r="A28" s="9" t="str">
        <f t="shared" si="6"/>
        <v>Problem---&gt;</v>
      </c>
      <c r="B28" s="47" t="str">
        <f t="shared" si="7"/>
        <v>8 to 9</v>
      </c>
      <c r="C28" s="226">
        <v>8</v>
      </c>
      <c r="D28" s="2">
        <v>99.02355</v>
      </c>
      <c r="E28" s="239">
        <f t="shared" si="8"/>
        <v>9294.3504030000004</v>
      </c>
      <c r="F28" s="187">
        <f t="shared" si="0"/>
        <v>9294.3504030000004</v>
      </c>
      <c r="G28" s="187">
        <f t="shared" si="9"/>
        <v>16.699692606779482</v>
      </c>
      <c r="H28" s="280" t="str">
        <f t="shared" si="10"/>
        <v>0.00</v>
      </c>
      <c r="I28" s="2"/>
      <c r="J28" s="239" t="str">
        <f t="shared" si="11"/>
        <v>na</v>
      </c>
      <c r="K28" s="187" t="str">
        <f t="shared" si="1"/>
        <v>na</v>
      </c>
      <c r="L28" s="187" t="str">
        <f t="shared" si="12"/>
        <v>na</v>
      </c>
      <c r="M28" s="280" t="str">
        <f t="shared" si="13"/>
        <v>na</v>
      </c>
      <c r="N28" s="53" t="e">
        <f t="shared" si="2"/>
        <v>#VALUE!</v>
      </c>
      <c r="O28" s="50" t="e">
        <f t="shared" si="3"/>
        <v>#VALUE!</v>
      </c>
      <c r="P28" s="51" t="e">
        <f t="shared" si="14"/>
        <v>#VALUE!</v>
      </c>
      <c r="Q28" s="52" t="e">
        <f t="shared" si="16"/>
        <v>#VALUE!</v>
      </c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6">
        <f t="shared" si="4"/>
        <v>99.02355</v>
      </c>
      <c r="AC28" s="6">
        <f t="shared" si="5"/>
        <v>1</v>
      </c>
      <c r="AD28" s="6" t="e">
        <f t="shared" si="15"/>
        <v>#VALUE!</v>
      </c>
    </row>
    <row r="29" spans="1:30" ht="11.25" customHeight="1" x14ac:dyDescent="0.15">
      <c r="A29" s="9" t="str">
        <f t="shared" si="6"/>
        <v>Problem---&gt;</v>
      </c>
      <c r="B29" s="47" t="str">
        <f t="shared" si="7"/>
        <v>9 to 10</v>
      </c>
      <c r="C29" s="226">
        <v>9</v>
      </c>
      <c r="D29" s="2">
        <v>98.845628706512045</v>
      </c>
      <c r="E29" s="239">
        <f t="shared" si="8"/>
        <v>9277.6507103932217</v>
      </c>
      <c r="F29" s="187">
        <f t="shared" si="0"/>
        <v>9277.6507103932217</v>
      </c>
      <c r="G29" s="187">
        <f t="shared" si="9"/>
        <v>16.461983993221232</v>
      </c>
      <c r="H29" s="280" t="str">
        <f t="shared" si="10"/>
        <v>0.00</v>
      </c>
      <c r="I29" s="2"/>
      <c r="J29" s="239" t="str">
        <f t="shared" si="11"/>
        <v>na</v>
      </c>
      <c r="K29" s="187" t="str">
        <f t="shared" si="1"/>
        <v>na</v>
      </c>
      <c r="L29" s="187" t="str">
        <f t="shared" si="12"/>
        <v>na</v>
      </c>
      <c r="M29" s="280" t="str">
        <f t="shared" si="13"/>
        <v>na</v>
      </c>
      <c r="N29" s="53" t="e">
        <f t="shared" si="2"/>
        <v>#VALUE!</v>
      </c>
      <c r="O29" s="50" t="e">
        <f t="shared" si="3"/>
        <v>#VALUE!</v>
      </c>
      <c r="P29" s="51" t="e">
        <f t="shared" si="14"/>
        <v>#VALUE!</v>
      </c>
      <c r="Q29" s="52" t="e">
        <f t="shared" si="16"/>
        <v>#VALUE!</v>
      </c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6">
        <f t="shared" si="4"/>
        <v>98.845628706512045</v>
      </c>
      <c r="AC29" s="6">
        <f t="shared" si="5"/>
        <v>1</v>
      </c>
      <c r="AD29" s="6" t="e">
        <f t="shared" si="15"/>
        <v>#VALUE!</v>
      </c>
    </row>
    <row r="30" spans="1:30" ht="11.25" customHeight="1" x14ac:dyDescent="0.15">
      <c r="A30" s="9" t="str">
        <f t="shared" si="6"/>
        <v>Problem---&gt;</v>
      </c>
      <c r="B30" s="47" t="str">
        <f t="shared" si="7"/>
        <v>10 to 11</v>
      </c>
      <c r="C30" s="226">
        <v>10</v>
      </c>
      <c r="D30" s="2">
        <v>98.670239999999993</v>
      </c>
      <c r="E30" s="239">
        <f t="shared" si="8"/>
        <v>9261.1887263999997</v>
      </c>
      <c r="F30" s="187">
        <f t="shared" si="0"/>
        <v>9261.1887263999997</v>
      </c>
      <c r="G30" s="187">
        <f t="shared" si="9"/>
        <v>6.6330861999993136</v>
      </c>
      <c r="H30" s="280" t="str">
        <f t="shared" si="10"/>
        <v>0.00</v>
      </c>
      <c r="I30" s="2"/>
      <c r="J30" s="239" t="str">
        <f t="shared" si="11"/>
        <v>na</v>
      </c>
      <c r="K30" s="187" t="str">
        <f t="shared" si="1"/>
        <v>na</v>
      </c>
      <c r="L30" s="187" t="str">
        <f t="shared" si="12"/>
        <v>na</v>
      </c>
      <c r="M30" s="280" t="str">
        <f t="shared" si="13"/>
        <v>na</v>
      </c>
      <c r="N30" s="53" t="e">
        <f t="shared" si="2"/>
        <v>#VALUE!</v>
      </c>
      <c r="O30" s="50" t="e">
        <f t="shared" si="3"/>
        <v>#VALUE!</v>
      </c>
      <c r="P30" s="51" t="e">
        <f t="shared" si="14"/>
        <v>#VALUE!</v>
      </c>
      <c r="Q30" s="52" t="e">
        <f t="shared" si="16"/>
        <v>#VALUE!</v>
      </c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6">
        <f t="shared" si="4"/>
        <v>98.670239999999993</v>
      </c>
      <c r="AC30" s="6">
        <f t="shared" si="5"/>
        <v>1</v>
      </c>
      <c r="AD30" s="6" t="e">
        <f t="shared" si="15"/>
        <v>#VALUE!</v>
      </c>
    </row>
    <row r="31" spans="1:30" ht="11.25" customHeight="1" x14ac:dyDescent="0.15">
      <c r="A31" s="9" t="str">
        <f t="shared" si="6"/>
        <v>Problem---&gt;</v>
      </c>
      <c r="B31" s="47" t="str">
        <f t="shared" si="7"/>
        <v>11 to 12</v>
      </c>
      <c r="C31" s="226">
        <v>11</v>
      </c>
      <c r="D31" s="2">
        <v>98.59957</v>
      </c>
      <c r="E31" s="239">
        <f t="shared" si="8"/>
        <v>9254.5556402000002</v>
      </c>
      <c r="F31" s="187">
        <f t="shared" si="0"/>
        <v>9254.5556402000002</v>
      </c>
      <c r="G31" s="187">
        <f t="shared" si="9"/>
        <v>4.2208841999992668</v>
      </c>
      <c r="H31" s="280" t="str">
        <f t="shared" si="10"/>
        <v>0.00</v>
      </c>
      <c r="I31" s="2"/>
      <c r="J31" s="239" t="str">
        <f t="shared" si="11"/>
        <v>na</v>
      </c>
      <c r="K31" s="187" t="str">
        <f t="shared" si="1"/>
        <v>na</v>
      </c>
      <c r="L31" s="187" t="str">
        <f t="shared" si="12"/>
        <v>na</v>
      </c>
      <c r="M31" s="280" t="str">
        <f t="shared" si="13"/>
        <v>na</v>
      </c>
      <c r="N31" s="53" t="e">
        <f t="shared" si="2"/>
        <v>#VALUE!</v>
      </c>
      <c r="O31" s="50" t="e">
        <f t="shared" si="3"/>
        <v>#VALUE!</v>
      </c>
      <c r="P31" s="51" t="e">
        <f t="shared" si="14"/>
        <v>#VALUE!</v>
      </c>
      <c r="Q31" s="52" t="e">
        <f t="shared" si="16"/>
        <v>#VALUE!</v>
      </c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6">
        <f t="shared" si="4"/>
        <v>98.59957</v>
      </c>
      <c r="AC31" s="6">
        <f t="shared" si="5"/>
        <v>1</v>
      </c>
      <c r="AD31" s="6" t="e">
        <f t="shared" si="15"/>
        <v>#VALUE!</v>
      </c>
    </row>
    <row r="32" spans="1:30" ht="11.25" customHeight="1" x14ac:dyDescent="0.15">
      <c r="A32" s="9" t="str">
        <f t="shared" si="6"/>
        <v>Problem---&gt;</v>
      </c>
      <c r="B32" s="47" t="str">
        <f t="shared" si="7"/>
        <v xml:space="preserve">12 to </v>
      </c>
      <c r="C32" s="226">
        <v>12</v>
      </c>
      <c r="D32" s="2">
        <v>98.554600000000008</v>
      </c>
      <c r="E32" s="239">
        <f t="shared" si="8"/>
        <v>9250.3347560000002</v>
      </c>
      <c r="F32" s="187">
        <f t="shared" si="0"/>
        <v>9250.3347560000002</v>
      </c>
      <c r="G32" s="187">
        <f t="shared" si="9"/>
        <v>9.9999999999999995E-7</v>
      </c>
      <c r="H32" s="280" t="str">
        <f t="shared" si="10"/>
        <v>0.00</v>
      </c>
      <c r="I32" s="2"/>
      <c r="J32" s="239" t="str">
        <f t="shared" si="11"/>
        <v>na</v>
      </c>
      <c r="K32" s="187" t="str">
        <f t="shared" si="1"/>
        <v>na</v>
      </c>
      <c r="L32" s="187" t="str">
        <f t="shared" si="12"/>
        <v>na</v>
      </c>
      <c r="M32" s="280" t="str">
        <f t="shared" si="13"/>
        <v>na</v>
      </c>
      <c r="N32" s="53" t="e">
        <f t="shared" si="2"/>
        <v>#VALUE!</v>
      </c>
      <c r="O32" s="50" t="e">
        <f t="shared" si="3"/>
        <v>#VALUE!</v>
      </c>
      <c r="P32" s="51" t="e">
        <f t="shared" si="14"/>
        <v>#VALUE!</v>
      </c>
      <c r="Q32" s="52" t="e">
        <f t="shared" si="16"/>
        <v>#VALUE!</v>
      </c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6">
        <f t="shared" si="4"/>
        <v>98.554600000000008</v>
      </c>
      <c r="AC32" s="6">
        <f t="shared" si="5"/>
        <v>1</v>
      </c>
      <c r="AD32" s="6" t="e">
        <f t="shared" si="15"/>
        <v>#VALUE!</v>
      </c>
    </row>
    <row r="33" spans="1:30" ht="11.25" customHeight="1" x14ac:dyDescent="0.15">
      <c r="A33" s="9" t="str">
        <f t="shared" si="6"/>
        <v/>
      </c>
      <c r="B33" s="47" t="str">
        <f t="shared" si="7"/>
        <v/>
      </c>
      <c r="C33" s="226"/>
      <c r="D33" s="2"/>
      <c r="E33" s="239" t="str">
        <f t="shared" si="8"/>
        <v>na</v>
      </c>
      <c r="F33" s="187" t="str">
        <f t="shared" si="0"/>
        <v>na</v>
      </c>
      <c r="G33" s="187" t="str">
        <f t="shared" si="9"/>
        <v>na</v>
      </c>
      <c r="H33" s="280" t="str">
        <f t="shared" si="10"/>
        <v>na</v>
      </c>
      <c r="I33" s="2"/>
      <c r="J33" s="239" t="str">
        <f t="shared" si="11"/>
        <v>na</v>
      </c>
      <c r="K33" s="187" t="str">
        <f t="shared" si="1"/>
        <v>na</v>
      </c>
      <c r="L33" s="187" t="str">
        <f t="shared" si="12"/>
        <v>na</v>
      </c>
      <c r="M33" s="280" t="str">
        <f t="shared" si="13"/>
        <v>na</v>
      </c>
      <c r="N33" s="53" t="str">
        <f t="shared" si="2"/>
        <v>na</v>
      </c>
      <c r="O33" s="50" t="str">
        <f t="shared" si="3"/>
        <v>na</v>
      </c>
      <c r="P33" s="51" t="str">
        <f t="shared" si="14"/>
        <v>na</v>
      </c>
      <c r="Q33" s="52" t="str">
        <f t="shared" si="16"/>
        <v>na</v>
      </c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6">
        <f t="shared" si="4"/>
        <v>0</v>
      </c>
      <c r="AC33" s="6">
        <f t="shared" si="5"/>
        <v>0</v>
      </c>
      <c r="AD33" s="6">
        <f t="shared" si="15"/>
        <v>0</v>
      </c>
    </row>
    <row r="34" spans="1:30" ht="11.25" customHeight="1" x14ac:dyDescent="0.15">
      <c r="A34" s="9" t="str">
        <f t="shared" si="6"/>
        <v/>
      </c>
      <c r="B34" s="47" t="str">
        <f t="shared" si="7"/>
        <v/>
      </c>
      <c r="C34" s="226"/>
      <c r="D34" s="2"/>
      <c r="E34" s="239" t="str">
        <f t="shared" si="8"/>
        <v>na</v>
      </c>
      <c r="F34" s="187" t="str">
        <f t="shared" si="0"/>
        <v>na</v>
      </c>
      <c r="G34" s="187" t="str">
        <f t="shared" si="9"/>
        <v>na</v>
      </c>
      <c r="H34" s="280" t="str">
        <f t="shared" si="10"/>
        <v>na</v>
      </c>
      <c r="I34" s="2"/>
      <c r="J34" s="239" t="str">
        <f t="shared" si="11"/>
        <v>na</v>
      </c>
      <c r="K34" s="187" t="str">
        <f t="shared" si="1"/>
        <v>na</v>
      </c>
      <c r="L34" s="187" t="str">
        <f t="shared" si="12"/>
        <v>na</v>
      </c>
      <c r="M34" s="280" t="str">
        <f t="shared" si="13"/>
        <v>na</v>
      </c>
      <c r="N34" s="53" t="str">
        <f t="shared" si="2"/>
        <v>na</v>
      </c>
      <c r="O34" s="50" t="str">
        <f t="shared" si="3"/>
        <v>na</v>
      </c>
      <c r="P34" s="51" t="str">
        <f t="shared" si="14"/>
        <v>na</v>
      </c>
      <c r="Q34" s="52" t="str">
        <f t="shared" si="16"/>
        <v>na</v>
      </c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6">
        <f t="shared" si="4"/>
        <v>0</v>
      </c>
      <c r="AC34" s="6">
        <f t="shared" si="5"/>
        <v>0</v>
      </c>
      <c r="AD34" s="6">
        <f t="shared" si="15"/>
        <v>0</v>
      </c>
    </row>
    <row r="35" spans="1:30" ht="11.25" customHeight="1" x14ac:dyDescent="0.15">
      <c r="A35" s="9" t="str">
        <f t="shared" si="6"/>
        <v/>
      </c>
      <c r="B35" s="47" t="str">
        <f t="shared" si="7"/>
        <v/>
      </c>
      <c r="C35" s="227"/>
      <c r="D35" s="2"/>
      <c r="E35" s="239" t="str">
        <f t="shared" si="8"/>
        <v>na</v>
      </c>
      <c r="F35" s="187" t="str">
        <f t="shared" si="0"/>
        <v>na</v>
      </c>
      <c r="G35" s="187" t="str">
        <f t="shared" si="9"/>
        <v>na</v>
      </c>
      <c r="H35" s="280" t="str">
        <f t="shared" si="10"/>
        <v>na</v>
      </c>
      <c r="I35" s="2"/>
      <c r="J35" s="239" t="str">
        <f t="shared" si="11"/>
        <v>na</v>
      </c>
      <c r="K35" s="187" t="str">
        <f t="shared" si="1"/>
        <v>na</v>
      </c>
      <c r="L35" s="187" t="str">
        <f t="shared" si="12"/>
        <v>na</v>
      </c>
      <c r="M35" s="280" t="str">
        <f t="shared" si="13"/>
        <v>na</v>
      </c>
      <c r="N35" s="53" t="str">
        <f t="shared" si="2"/>
        <v>na</v>
      </c>
      <c r="O35" s="50" t="str">
        <f t="shared" si="3"/>
        <v>na</v>
      </c>
      <c r="P35" s="51" t="str">
        <f t="shared" si="14"/>
        <v>na</v>
      </c>
      <c r="Q35" s="52" t="str">
        <f t="shared" si="16"/>
        <v>na</v>
      </c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6">
        <f t="shared" si="4"/>
        <v>0</v>
      </c>
      <c r="AC35" s="6">
        <f t="shared" si="5"/>
        <v>0</v>
      </c>
      <c r="AD35" s="6">
        <f t="shared" si="15"/>
        <v>0</v>
      </c>
    </row>
    <row r="36" spans="1:30" ht="11.25" customHeight="1" x14ac:dyDescent="0.15">
      <c r="A36" s="9" t="str">
        <f t="shared" si="6"/>
        <v/>
      </c>
      <c r="B36" s="47" t="str">
        <f t="shared" si="7"/>
        <v/>
      </c>
      <c r="C36" s="227"/>
      <c r="D36" s="2"/>
      <c r="E36" s="239" t="str">
        <f t="shared" si="8"/>
        <v>na</v>
      </c>
      <c r="F36" s="187" t="str">
        <f t="shared" si="0"/>
        <v>na</v>
      </c>
      <c r="G36" s="187" t="str">
        <f t="shared" si="9"/>
        <v>na</v>
      </c>
      <c r="H36" s="280" t="str">
        <f t="shared" si="10"/>
        <v>na</v>
      </c>
      <c r="I36" s="2"/>
      <c r="J36" s="239" t="str">
        <f t="shared" si="11"/>
        <v>na</v>
      </c>
      <c r="K36" s="187" t="str">
        <f t="shared" si="1"/>
        <v>na</v>
      </c>
      <c r="L36" s="187" t="str">
        <f t="shared" si="12"/>
        <v>na</v>
      </c>
      <c r="M36" s="280" t="str">
        <f t="shared" si="13"/>
        <v>na</v>
      </c>
      <c r="N36" s="53" t="str">
        <f t="shared" si="2"/>
        <v>na</v>
      </c>
      <c r="O36" s="50" t="str">
        <f t="shared" si="3"/>
        <v>na</v>
      </c>
      <c r="P36" s="51" t="str">
        <f t="shared" si="14"/>
        <v>na</v>
      </c>
      <c r="Q36" s="52" t="str">
        <f t="shared" si="16"/>
        <v>na</v>
      </c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6">
        <f t="shared" si="4"/>
        <v>0</v>
      </c>
      <c r="AC36" s="6">
        <f t="shared" si="5"/>
        <v>0</v>
      </c>
      <c r="AD36" s="6">
        <f t="shared" si="15"/>
        <v>0</v>
      </c>
    </row>
    <row r="37" spans="1:30" ht="11.25" customHeight="1" x14ac:dyDescent="0.15">
      <c r="A37" s="9" t="str">
        <f t="shared" si="6"/>
        <v/>
      </c>
      <c r="B37" s="47" t="str">
        <f t="shared" si="7"/>
        <v/>
      </c>
      <c r="C37" s="227"/>
      <c r="D37" s="2"/>
      <c r="E37" s="239" t="str">
        <f t="shared" si="8"/>
        <v>na</v>
      </c>
      <c r="F37" s="187" t="str">
        <f t="shared" si="0"/>
        <v>na</v>
      </c>
      <c r="G37" s="187" t="str">
        <f t="shared" si="9"/>
        <v>na</v>
      </c>
      <c r="H37" s="280" t="str">
        <f t="shared" si="10"/>
        <v>na</v>
      </c>
      <c r="I37" s="2"/>
      <c r="J37" s="239" t="str">
        <f t="shared" si="11"/>
        <v>na</v>
      </c>
      <c r="K37" s="187" t="str">
        <f t="shared" si="1"/>
        <v>na</v>
      </c>
      <c r="L37" s="187" t="str">
        <f t="shared" si="12"/>
        <v>na</v>
      </c>
      <c r="M37" s="280" t="str">
        <f t="shared" si="13"/>
        <v>na</v>
      </c>
      <c r="N37" s="53" t="str">
        <f t="shared" si="2"/>
        <v>na</v>
      </c>
      <c r="O37" s="50" t="str">
        <f t="shared" si="3"/>
        <v>na</v>
      </c>
      <c r="P37" s="51" t="str">
        <f t="shared" si="14"/>
        <v>na</v>
      </c>
      <c r="Q37" s="52" t="str">
        <f t="shared" si="16"/>
        <v>na</v>
      </c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6">
        <f t="shared" si="4"/>
        <v>0</v>
      </c>
      <c r="AC37" s="6">
        <f t="shared" si="5"/>
        <v>0</v>
      </c>
      <c r="AD37" s="6">
        <f t="shared" si="15"/>
        <v>0</v>
      </c>
    </row>
    <row r="38" spans="1:30" ht="11.25" customHeight="1" x14ac:dyDescent="0.15">
      <c r="A38" s="9" t="str">
        <f t="shared" si="6"/>
        <v/>
      </c>
      <c r="B38" s="47" t="str">
        <f t="shared" si="7"/>
        <v/>
      </c>
      <c r="C38" s="227"/>
      <c r="D38" s="2"/>
      <c r="E38" s="239" t="str">
        <f t="shared" si="8"/>
        <v>na</v>
      </c>
      <c r="F38" s="187" t="str">
        <f t="shared" si="0"/>
        <v>na</v>
      </c>
      <c r="G38" s="187" t="str">
        <f t="shared" si="9"/>
        <v>na</v>
      </c>
      <c r="H38" s="280" t="str">
        <f t="shared" si="10"/>
        <v>na</v>
      </c>
      <c r="I38" s="2"/>
      <c r="J38" s="239" t="str">
        <f t="shared" si="11"/>
        <v>na</v>
      </c>
      <c r="K38" s="187" t="str">
        <f t="shared" si="1"/>
        <v>na</v>
      </c>
      <c r="L38" s="187" t="str">
        <f t="shared" si="12"/>
        <v>na</v>
      </c>
      <c r="M38" s="280" t="str">
        <f t="shared" si="13"/>
        <v>na</v>
      </c>
      <c r="N38" s="53" t="str">
        <f t="shared" si="2"/>
        <v>na</v>
      </c>
      <c r="O38" s="50" t="str">
        <f t="shared" si="3"/>
        <v>na</v>
      </c>
      <c r="P38" s="51" t="str">
        <f t="shared" si="14"/>
        <v>na</v>
      </c>
      <c r="Q38" s="52" t="str">
        <f t="shared" si="16"/>
        <v>na</v>
      </c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6">
        <f t="shared" si="4"/>
        <v>0</v>
      </c>
      <c r="AC38" s="6">
        <f t="shared" si="5"/>
        <v>0</v>
      </c>
      <c r="AD38" s="6">
        <f t="shared" si="15"/>
        <v>0</v>
      </c>
    </row>
    <row r="39" spans="1:30" ht="11.25" customHeight="1" x14ac:dyDescent="0.15">
      <c r="A39" s="9" t="str">
        <f t="shared" si="6"/>
        <v/>
      </c>
      <c r="B39" s="47" t="str">
        <f t="shared" si="7"/>
        <v/>
      </c>
      <c r="C39" s="227"/>
      <c r="D39" s="2"/>
      <c r="E39" s="239" t="str">
        <f t="shared" si="8"/>
        <v>na</v>
      </c>
      <c r="F39" s="187" t="str">
        <f t="shared" si="0"/>
        <v>na</v>
      </c>
      <c r="G39" s="187" t="str">
        <f t="shared" si="9"/>
        <v>na</v>
      </c>
      <c r="H39" s="280" t="str">
        <f t="shared" si="10"/>
        <v>na</v>
      </c>
      <c r="I39" s="2"/>
      <c r="J39" s="239" t="str">
        <f t="shared" si="11"/>
        <v>na</v>
      </c>
      <c r="K39" s="187" t="str">
        <f t="shared" si="1"/>
        <v>na</v>
      </c>
      <c r="L39" s="187" t="str">
        <f t="shared" si="12"/>
        <v>na</v>
      </c>
      <c r="M39" s="280" t="str">
        <f t="shared" si="13"/>
        <v>na</v>
      </c>
      <c r="N39" s="53" t="str">
        <f t="shared" si="2"/>
        <v>na</v>
      </c>
      <c r="O39" s="50" t="str">
        <f t="shared" si="3"/>
        <v>na</v>
      </c>
      <c r="P39" s="51" t="str">
        <f t="shared" si="14"/>
        <v>na</v>
      </c>
      <c r="Q39" s="52" t="str">
        <f t="shared" si="16"/>
        <v>na</v>
      </c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6">
        <f t="shared" si="4"/>
        <v>0</v>
      </c>
      <c r="AC39" s="6">
        <f t="shared" si="5"/>
        <v>0</v>
      </c>
      <c r="AD39" s="6">
        <f t="shared" si="15"/>
        <v>0</v>
      </c>
    </row>
    <row r="40" spans="1:30" ht="11.25" customHeight="1" x14ac:dyDescent="0.15">
      <c r="A40" s="9" t="str">
        <f t="shared" si="6"/>
        <v/>
      </c>
      <c r="B40" s="47" t="str">
        <f t="shared" si="7"/>
        <v/>
      </c>
      <c r="C40" s="227"/>
      <c r="D40" s="2"/>
      <c r="E40" s="239" t="str">
        <f t="shared" si="8"/>
        <v>na</v>
      </c>
      <c r="F40" s="187" t="str">
        <f t="shared" si="0"/>
        <v>na</v>
      </c>
      <c r="G40" s="187" t="str">
        <f t="shared" si="9"/>
        <v>na</v>
      </c>
      <c r="H40" s="280" t="str">
        <f t="shared" si="10"/>
        <v>na</v>
      </c>
      <c r="I40" s="2"/>
      <c r="J40" s="239" t="str">
        <f t="shared" si="11"/>
        <v>na</v>
      </c>
      <c r="K40" s="187" t="str">
        <f t="shared" si="1"/>
        <v>na</v>
      </c>
      <c r="L40" s="187" t="str">
        <f t="shared" si="12"/>
        <v>na</v>
      </c>
      <c r="M40" s="280" t="str">
        <f t="shared" si="13"/>
        <v>na</v>
      </c>
      <c r="N40" s="53" t="str">
        <f t="shared" si="2"/>
        <v>na</v>
      </c>
      <c r="O40" s="50" t="str">
        <f t="shared" si="3"/>
        <v>na</v>
      </c>
      <c r="P40" s="51" t="str">
        <f t="shared" si="14"/>
        <v>na</v>
      </c>
      <c r="Q40" s="52" t="str">
        <f t="shared" si="16"/>
        <v>na</v>
      </c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6">
        <f t="shared" si="4"/>
        <v>0</v>
      </c>
      <c r="AC40" s="6">
        <f t="shared" si="5"/>
        <v>0</v>
      </c>
      <c r="AD40" s="6">
        <f t="shared" si="15"/>
        <v>0</v>
      </c>
    </row>
    <row r="41" spans="1:30" ht="11.25" customHeight="1" x14ac:dyDescent="0.15">
      <c r="A41" s="9" t="str">
        <f t="shared" si="6"/>
        <v/>
      </c>
      <c r="B41" s="47" t="str">
        <f t="shared" si="7"/>
        <v/>
      </c>
      <c r="C41" s="227"/>
      <c r="D41" s="2"/>
      <c r="E41" s="239" t="str">
        <f t="shared" si="8"/>
        <v>na</v>
      </c>
      <c r="F41" s="187" t="str">
        <f t="shared" si="0"/>
        <v>na</v>
      </c>
      <c r="G41" s="187" t="str">
        <f t="shared" si="9"/>
        <v>na</v>
      </c>
      <c r="H41" s="280" t="str">
        <f t="shared" si="10"/>
        <v>na</v>
      </c>
      <c r="I41" s="2"/>
      <c r="J41" s="239" t="str">
        <f t="shared" si="11"/>
        <v>na</v>
      </c>
      <c r="K41" s="187" t="str">
        <f t="shared" si="1"/>
        <v>na</v>
      </c>
      <c r="L41" s="187" t="str">
        <f t="shared" si="12"/>
        <v>na</v>
      </c>
      <c r="M41" s="280" t="str">
        <f t="shared" si="13"/>
        <v>na</v>
      </c>
      <c r="N41" s="53" t="str">
        <f t="shared" si="2"/>
        <v>na</v>
      </c>
      <c r="O41" s="50" t="str">
        <f t="shared" si="3"/>
        <v>na</v>
      </c>
      <c r="P41" s="51" t="str">
        <f t="shared" si="14"/>
        <v>na</v>
      </c>
      <c r="Q41" s="52" t="str">
        <f t="shared" si="16"/>
        <v>na</v>
      </c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6">
        <f t="shared" si="4"/>
        <v>0</v>
      </c>
      <c r="AC41" s="6">
        <f t="shared" si="5"/>
        <v>0</v>
      </c>
      <c r="AD41" s="6">
        <f t="shared" si="15"/>
        <v>0</v>
      </c>
    </row>
    <row r="42" spans="1:30" ht="11.25" customHeight="1" x14ac:dyDescent="0.15">
      <c r="A42" s="9" t="str">
        <f t="shared" si="6"/>
        <v/>
      </c>
      <c r="B42" s="47" t="str">
        <f t="shared" si="7"/>
        <v/>
      </c>
      <c r="C42" s="227"/>
      <c r="D42" s="2"/>
      <c r="E42" s="239" t="str">
        <f t="shared" si="8"/>
        <v>na</v>
      </c>
      <c r="F42" s="187" t="str">
        <f t="shared" si="0"/>
        <v>na</v>
      </c>
      <c r="G42" s="187" t="str">
        <f t="shared" si="9"/>
        <v>na</v>
      </c>
      <c r="H42" s="280" t="str">
        <f t="shared" si="10"/>
        <v>na</v>
      </c>
      <c r="I42" s="2"/>
      <c r="J42" s="239" t="str">
        <f t="shared" si="11"/>
        <v>na</v>
      </c>
      <c r="K42" s="187" t="str">
        <f t="shared" si="1"/>
        <v>na</v>
      </c>
      <c r="L42" s="187" t="str">
        <f t="shared" si="12"/>
        <v>na</v>
      </c>
      <c r="M42" s="280" t="str">
        <f t="shared" si="13"/>
        <v>na</v>
      </c>
      <c r="N42" s="53" t="str">
        <f t="shared" si="2"/>
        <v>na</v>
      </c>
      <c r="O42" s="50" t="str">
        <f t="shared" si="3"/>
        <v>na</v>
      </c>
      <c r="P42" s="51" t="str">
        <f t="shared" si="14"/>
        <v>na</v>
      </c>
      <c r="Q42" s="52" t="str">
        <f t="shared" si="16"/>
        <v>na</v>
      </c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6">
        <f t="shared" si="4"/>
        <v>0</v>
      </c>
      <c r="AC42" s="6">
        <f t="shared" si="5"/>
        <v>0</v>
      </c>
      <c r="AD42" s="6">
        <f t="shared" si="15"/>
        <v>0</v>
      </c>
    </row>
    <row r="43" spans="1:30" ht="11.25" customHeight="1" x14ac:dyDescent="0.15">
      <c r="A43" s="9" t="str">
        <f t="shared" si="6"/>
        <v/>
      </c>
      <c r="B43" s="47" t="str">
        <f t="shared" si="7"/>
        <v/>
      </c>
      <c r="C43" s="227"/>
      <c r="D43" s="2"/>
      <c r="E43" s="239" t="str">
        <f t="shared" si="8"/>
        <v>na</v>
      </c>
      <c r="F43" s="187" t="str">
        <f t="shared" si="0"/>
        <v>na</v>
      </c>
      <c r="G43" s="187" t="str">
        <f t="shared" si="9"/>
        <v>na</v>
      </c>
      <c r="H43" s="280" t="str">
        <f t="shared" si="10"/>
        <v>na</v>
      </c>
      <c r="I43" s="2"/>
      <c r="J43" s="239" t="str">
        <f t="shared" si="11"/>
        <v>na</v>
      </c>
      <c r="K43" s="187" t="str">
        <f t="shared" si="1"/>
        <v>na</v>
      </c>
      <c r="L43" s="187" t="str">
        <f t="shared" si="12"/>
        <v>na</v>
      </c>
      <c r="M43" s="280" t="str">
        <f t="shared" si="13"/>
        <v>na</v>
      </c>
      <c r="N43" s="53" t="str">
        <f t="shared" si="2"/>
        <v>na</v>
      </c>
      <c r="O43" s="50" t="str">
        <f t="shared" si="3"/>
        <v>na</v>
      </c>
      <c r="P43" s="51" t="str">
        <f t="shared" si="14"/>
        <v>na</v>
      </c>
      <c r="Q43" s="52" t="str">
        <f t="shared" si="16"/>
        <v>na</v>
      </c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6">
        <f t="shared" si="4"/>
        <v>0</v>
      </c>
      <c r="AC43" s="6">
        <f t="shared" si="5"/>
        <v>0</v>
      </c>
      <c r="AD43" s="6">
        <f t="shared" si="15"/>
        <v>0</v>
      </c>
    </row>
    <row r="44" spans="1:30" ht="11.25" customHeight="1" x14ac:dyDescent="0.15">
      <c r="A44" s="9" t="str">
        <f t="shared" si="6"/>
        <v/>
      </c>
      <c r="B44" s="47" t="str">
        <f t="shared" si="7"/>
        <v/>
      </c>
      <c r="C44" s="227"/>
      <c r="D44" s="2"/>
      <c r="E44" s="239" t="str">
        <f t="shared" si="8"/>
        <v>na</v>
      </c>
      <c r="F44" s="187" t="str">
        <f t="shared" si="0"/>
        <v>na</v>
      </c>
      <c r="G44" s="187" t="str">
        <f t="shared" si="9"/>
        <v>na</v>
      </c>
      <c r="H44" s="280" t="str">
        <f t="shared" si="10"/>
        <v>na</v>
      </c>
      <c r="I44" s="2"/>
      <c r="J44" s="239" t="str">
        <f t="shared" si="11"/>
        <v>na</v>
      </c>
      <c r="K44" s="187" t="str">
        <f t="shared" si="1"/>
        <v>na</v>
      </c>
      <c r="L44" s="187" t="str">
        <f t="shared" si="12"/>
        <v>na</v>
      </c>
      <c r="M44" s="280" t="str">
        <f t="shared" si="13"/>
        <v>na</v>
      </c>
      <c r="N44" s="53" t="str">
        <f t="shared" si="2"/>
        <v>na</v>
      </c>
      <c r="O44" s="50" t="str">
        <f t="shared" si="3"/>
        <v>na</v>
      </c>
      <c r="P44" s="51" t="str">
        <f t="shared" si="14"/>
        <v>na</v>
      </c>
      <c r="Q44" s="52" t="str">
        <f t="shared" si="16"/>
        <v>na</v>
      </c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6">
        <f t="shared" si="4"/>
        <v>0</v>
      </c>
      <c r="AC44" s="6">
        <f t="shared" si="5"/>
        <v>0</v>
      </c>
      <c r="AD44" s="6">
        <f t="shared" si="15"/>
        <v>0</v>
      </c>
    </row>
    <row r="45" spans="1:30" ht="11.25" customHeight="1" x14ac:dyDescent="0.15">
      <c r="A45" s="9" t="str">
        <f t="shared" si="6"/>
        <v/>
      </c>
      <c r="B45" s="47" t="str">
        <f t="shared" si="7"/>
        <v/>
      </c>
      <c r="C45" s="227"/>
      <c r="D45" s="2"/>
      <c r="E45" s="239" t="str">
        <f t="shared" si="8"/>
        <v>na</v>
      </c>
      <c r="F45" s="187" t="str">
        <f t="shared" si="0"/>
        <v>na</v>
      </c>
      <c r="G45" s="187" t="str">
        <f t="shared" si="9"/>
        <v>na</v>
      </c>
      <c r="H45" s="280" t="str">
        <f t="shared" si="10"/>
        <v>na</v>
      </c>
      <c r="I45" s="2"/>
      <c r="J45" s="239" t="str">
        <f t="shared" si="11"/>
        <v>na</v>
      </c>
      <c r="K45" s="187" t="str">
        <f t="shared" si="1"/>
        <v>na</v>
      </c>
      <c r="L45" s="187" t="str">
        <f t="shared" si="12"/>
        <v>na</v>
      </c>
      <c r="M45" s="280" t="str">
        <f t="shared" si="13"/>
        <v>na</v>
      </c>
      <c r="N45" s="53" t="str">
        <f t="shared" si="2"/>
        <v>na</v>
      </c>
      <c r="O45" s="50" t="str">
        <f t="shared" si="3"/>
        <v>na</v>
      </c>
      <c r="P45" s="51" t="str">
        <f t="shared" si="14"/>
        <v>na</v>
      </c>
      <c r="Q45" s="52" t="str">
        <f t="shared" si="16"/>
        <v>na</v>
      </c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6">
        <f t="shared" si="4"/>
        <v>0</v>
      </c>
      <c r="AC45" s="6">
        <f t="shared" si="5"/>
        <v>0</v>
      </c>
      <c r="AD45" s="6">
        <f t="shared" si="15"/>
        <v>0</v>
      </c>
    </row>
    <row r="46" spans="1:30" ht="11.25" customHeight="1" x14ac:dyDescent="0.15">
      <c r="A46" s="9" t="str">
        <f t="shared" si="6"/>
        <v/>
      </c>
      <c r="B46" s="47" t="str">
        <f t="shared" si="7"/>
        <v/>
      </c>
      <c r="C46" s="227"/>
      <c r="D46" s="2"/>
      <c r="E46" s="239" t="str">
        <f t="shared" si="8"/>
        <v>na</v>
      </c>
      <c r="F46" s="187" t="str">
        <f t="shared" si="0"/>
        <v>na</v>
      </c>
      <c r="G46" s="187" t="str">
        <f t="shared" si="9"/>
        <v>na</v>
      </c>
      <c r="H46" s="280" t="str">
        <f t="shared" si="10"/>
        <v>na</v>
      </c>
      <c r="I46" s="2"/>
      <c r="J46" s="239" t="str">
        <f t="shared" si="11"/>
        <v>na</v>
      </c>
      <c r="K46" s="187" t="str">
        <f t="shared" si="1"/>
        <v>na</v>
      </c>
      <c r="L46" s="187" t="str">
        <f t="shared" si="12"/>
        <v>na</v>
      </c>
      <c r="M46" s="280" t="str">
        <f t="shared" si="13"/>
        <v>na</v>
      </c>
      <c r="N46" s="53" t="str">
        <f t="shared" si="2"/>
        <v>na</v>
      </c>
      <c r="O46" s="50" t="str">
        <f t="shared" si="3"/>
        <v>na</v>
      </c>
      <c r="P46" s="51" t="str">
        <f t="shared" si="14"/>
        <v>na</v>
      </c>
      <c r="Q46" s="52" t="str">
        <f t="shared" si="16"/>
        <v>na</v>
      </c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6">
        <f t="shared" si="4"/>
        <v>0</v>
      </c>
      <c r="AC46" s="6">
        <f t="shared" si="5"/>
        <v>0</v>
      </c>
      <c r="AD46" s="6">
        <f t="shared" si="15"/>
        <v>0</v>
      </c>
    </row>
    <row r="47" spans="1:30" ht="11.25" customHeight="1" x14ac:dyDescent="0.15">
      <c r="A47" s="9" t="str">
        <f t="shared" si="6"/>
        <v/>
      </c>
      <c r="B47" s="47" t="str">
        <f t="shared" si="7"/>
        <v/>
      </c>
      <c r="C47" s="227"/>
      <c r="D47" s="2"/>
      <c r="E47" s="239" t="str">
        <f t="shared" si="8"/>
        <v>na</v>
      </c>
      <c r="F47" s="187" t="str">
        <f t="shared" si="0"/>
        <v>na</v>
      </c>
      <c r="G47" s="187" t="str">
        <f t="shared" si="9"/>
        <v>na</v>
      </c>
      <c r="H47" s="280" t="str">
        <f t="shared" si="10"/>
        <v>na</v>
      </c>
      <c r="I47" s="2"/>
      <c r="J47" s="239" t="str">
        <f t="shared" si="11"/>
        <v>na</v>
      </c>
      <c r="K47" s="187" t="str">
        <f t="shared" si="1"/>
        <v>na</v>
      </c>
      <c r="L47" s="187" t="str">
        <f t="shared" si="12"/>
        <v>na</v>
      </c>
      <c r="M47" s="280" t="str">
        <f t="shared" si="13"/>
        <v>na</v>
      </c>
      <c r="N47" s="53" t="str">
        <f t="shared" si="2"/>
        <v>na</v>
      </c>
      <c r="O47" s="50" t="str">
        <f t="shared" si="3"/>
        <v>na</v>
      </c>
      <c r="P47" s="51" t="str">
        <f t="shared" si="14"/>
        <v>na</v>
      </c>
      <c r="Q47" s="52" t="str">
        <f t="shared" si="16"/>
        <v>na</v>
      </c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6">
        <f t="shared" si="4"/>
        <v>0</v>
      </c>
      <c r="AC47" s="6">
        <f t="shared" si="5"/>
        <v>0</v>
      </c>
      <c r="AD47" s="6">
        <f t="shared" si="15"/>
        <v>0</v>
      </c>
    </row>
    <row r="48" spans="1:30" ht="11.25" customHeight="1" x14ac:dyDescent="0.15">
      <c r="A48" s="9" t="str">
        <f t="shared" si="6"/>
        <v/>
      </c>
      <c r="B48" s="47" t="str">
        <f t="shared" si="7"/>
        <v/>
      </c>
      <c r="C48" s="227"/>
      <c r="D48" s="2"/>
      <c r="E48" s="239" t="str">
        <f t="shared" si="8"/>
        <v>na</v>
      </c>
      <c r="F48" s="187" t="str">
        <f t="shared" si="0"/>
        <v>na</v>
      </c>
      <c r="G48" s="187" t="str">
        <f t="shared" si="9"/>
        <v>na</v>
      </c>
      <c r="H48" s="280" t="str">
        <f t="shared" si="10"/>
        <v>na</v>
      </c>
      <c r="I48" s="2"/>
      <c r="J48" s="239" t="str">
        <f t="shared" si="11"/>
        <v>na</v>
      </c>
      <c r="K48" s="187" t="str">
        <f t="shared" si="1"/>
        <v>na</v>
      </c>
      <c r="L48" s="187" t="str">
        <f t="shared" si="12"/>
        <v>na</v>
      </c>
      <c r="M48" s="280" t="str">
        <f t="shared" si="13"/>
        <v>na</v>
      </c>
      <c r="N48" s="53" t="str">
        <f t="shared" si="2"/>
        <v>na</v>
      </c>
      <c r="O48" s="50" t="str">
        <f t="shared" si="3"/>
        <v>na</v>
      </c>
      <c r="P48" s="51" t="str">
        <f t="shared" si="14"/>
        <v>na</v>
      </c>
      <c r="Q48" s="52" t="str">
        <f t="shared" si="16"/>
        <v>na</v>
      </c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6">
        <f t="shared" si="4"/>
        <v>0</v>
      </c>
      <c r="AC48" s="6">
        <f t="shared" si="5"/>
        <v>0</v>
      </c>
      <c r="AD48" s="6">
        <f t="shared" si="15"/>
        <v>0</v>
      </c>
    </row>
    <row r="49" spans="1:30" ht="11.25" customHeight="1" x14ac:dyDescent="0.15">
      <c r="A49" s="9" t="str">
        <f t="shared" si="6"/>
        <v/>
      </c>
      <c r="B49" s="47" t="str">
        <f t="shared" si="7"/>
        <v/>
      </c>
      <c r="C49" s="227"/>
      <c r="D49" s="2"/>
      <c r="E49" s="239" t="str">
        <f t="shared" si="8"/>
        <v>na</v>
      </c>
      <c r="F49" s="187" t="str">
        <f t="shared" si="0"/>
        <v>na</v>
      </c>
      <c r="G49" s="187" t="str">
        <f t="shared" si="9"/>
        <v>na</v>
      </c>
      <c r="H49" s="280" t="str">
        <f t="shared" si="10"/>
        <v>na</v>
      </c>
      <c r="I49" s="2"/>
      <c r="J49" s="239" t="str">
        <f t="shared" si="11"/>
        <v>na</v>
      </c>
      <c r="K49" s="187" t="str">
        <f t="shared" si="1"/>
        <v>na</v>
      </c>
      <c r="L49" s="187" t="str">
        <f t="shared" si="12"/>
        <v>na</v>
      </c>
      <c r="M49" s="280" t="str">
        <f t="shared" si="13"/>
        <v>na</v>
      </c>
      <c r="N49" s="53" t="str">
        <f t="shared" si="2"/>
        <v>na</v>
      </c>
      <c r="O49" s="50" t="str">
        <f t="shared" si="3"/>
        <v>na</v>
      </c>
      <c r="P49" s="51" t="str">
        <f t="shared" si="14"/>
        <v>na</v>
      </c>
      <c r="Q49" s="52" t="str">
        <f t="shared" si="16"/>
        <v>na</v>
      </c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6">
        <f t="shared" si="4"/>
        <v>0</v>
      </c>
      <c r="AC49" s="6">
        <f t="shared" si="5"/>
        <v>0</v>
      </c>
      <c r="AD49" s="6">
        <f t="shared" si="15"/>
        <v>0</v>
      </c>
    </row>
    <row r="50" spans="1:30" ht="11.25" customHeight="1" x14ac:dyDescent="0.15">
      <c r="A50" s="9" t="str">
        <f t="shared" si="6"/>
        <v/>
      </c>
      <c r="B50" s="47" t="str">
        <f t="shared" si="7"/>
        <v/>
      </c>
      <c r="C50" s="227"/>
      <c r="D50" s="2"/>
      <c r="E50" s="239" t="str">
        <f t="shared" si="8"/>
        <v>na</v>
      </c>
      <c r="F50" s="187" t="str">
        <f t="shared" si="0"/>
        <v>na</v>
      </c>
      <c r="G50" s="187" t="str">
        <f t="shared" si="9"/>
        <v>na</v>
      </c>
      <c r="H50" s="280" t="str">
        <f t="shared" si="10"/>
        <v>na</v>
      </c>
      <c r="I50" s="2"/>
      <c r="J50" s="239" t="str">
        <f t="shared" si="11"/>
        <v>na</v>
      </c>
      <c r="K50" s="187" t="str">
        <f t="shared" si="1"/>
        <v>na</v>
      </c>
      <c r="L50" s="187" t="str">
        <f t="shared" si="12"/>
        <v>na</v>
      </c>
      <c r="M50" s="280" t="str">
        <f t="shared" si="13"/>
        <v>na</v>
      </c>
      <c r="N50" s="53" t="str">
        <f t="shared" si="2"/>
        <v>na</v>
      </c>
      <c r="O50" s="50" t="str">
        <f t="shared" si="3"/>
        <v>na</v>
      </c>
      <c r="P50" s="51" t="str">
        <f t="shared" si="14"/>
        <v>na</v>
      </c>
      <c r="Q50" s="52" t="str">
        <f t="shared" si="16"/>
        <v>na</v>
      </c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6">
        <f t="shared" si="4"/>
        <v>0</v>
      </c>
      <c r="AC50" s="6">
        <f t="shared" si="5"/>
        <v>0</v>
      </c>
      <c r="AD50" s="6">
        <f t="shared" si="15"/>
        <v>0</v>
      </c>
    </row>
    <row r="51" spans="1:30" ht="11.25" customHeight="1" x14ac:dyDescent="0.15">
      <c r="A51" s="9" t="str">
        <f t="shared" si="6"/>
        <v/>
      </c>
      <c r="B51" s="47" t="str">
        <f t="shared" si="7"/>
        <v/>
      </c>
      <c r="C51" s="227"/>
      <c r="D51" s="2"/>
      <c r="E51" s="239" t="str">
        <f t="shared" si="8"/>
        <v>na</v>
      </c>
      <c r="F51" s="187" t="str">
        <f t="shared" si="0"/>
        <v>na</v>
      </c>
      <c r="G51" s="187" t="str">
        <f t="shared" si="9"/>
        <v>na</v>
      </c>
      <c r="H51" s="280" t="str">
        <f t="shared" si="10"/>
        <v>na</v>
      </c>
      <c r="I51" s="2"/>
      <c r="J51" s="239" t="str">
        <f t="shared" si="11"/>
        <v>na</v>
      </c>
      <c r="K51" s="187" t="str">
        <f t="shared" si="1"/>
        <v>na</v>
      </c>
      <c r="L51" s="187" t="str">
        <f t="shared" si="12"/>
        <v>na</v>
      </c>
      <c r="M51" s="280" t="str">
        <f t="shared" si="13"/>
        <v>na</v>
      </c>
      <c r="N51" s="53" t="str">
        <f t="shared" si="2"/>
        <v>na</v>
      </c>
      <c r="O51" s="50" t="str">
        <f t="shared" si="3"/>
        <v>na</v>
      </c>
      <c r="P51" s="51" t="str">
        <f t="shared" si="14"/>
        <v>na</v>
      </c>
      <c r="Q51" s="52" t="str">
        <f t="shared" si="16"/>
        <v>na</v>
      </c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6">
        <f t="shared" si="4"/>
        <v>0</v>
      </c>
      <c r="AC51" s="6">
        <f t="shared" si="5"/>
        <v>0</v>
      </c>
      <c r="AD51" s="6">
        <f t="shared" si="15"/>
        <v>0</v>
      </c>
    </row>
    <row r="52" spans="1:30" ht="11.25" customHeight="1" x14ac:dyDescent="0.15">
      <c r="A52" s="9" t="str">
        <f t="shared" si="6"/>
        <v/>
      </c>
      <c r="B52" s="47" t="str">
        <f t="shared" si="7"/>
        <v/>
      </c>
      <c r="C52" s="227"/>
      <c r="D52" s="2"/>
      <c r="E52" s="239" t="str">
        <f t="shared" si="8"/>
        <v>na</v>
      </c>
      <c r="F52" s="187" t="str">
        <f t="shared" si="0"/>
        <v>na</v>
      </c>
      <c r="G52" s="187" t="str">
        <f t="shared" si="9"/>
        <v>na</v>
      </c>
      <c r="H52" s="280" t="str">
        <f t="shared" si="10"/>
        <v>na</v>
      </c>
      <c r="I52" s="2"/>
      <c r="J52" s="239" t="str">
        <f t="shared" si="11"/>
        <v>na</v>
      </c>
      <c r="K52" s="187" t="str">
        <f t="shared" si="1"/>
        <v>na</v>
      </c>
      <c r="L52" s="187" t="str">
        <f t="shared" si="12"/>
        <v>na</v>
      </c>
      <c r="M52" s="280" t="str">
        <f t="shared" si="13"/>
        <v>na</v>
      </c>
      <c r="N52" s="53" t="str">
        <f t="shared" si="2"/>
        <v>na</v>
      </c>
      <c r="O52" s="50" t="str">
        <f t="shared" si="3"/>
        <v>na</v>
      </c>
      <c r="P52" s="51" t="str">
        <f t="shared" si="14"/>
        <v>na</v>
      </c>
      <c r="Q52" s="52" t="str">
        <f t="shared" si="16"/>
        <v>na</v>
      </c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6">
        <f t="shared" si="4"/>
        <v>0</v>
      </c>
      <c r="AC52" s="6">
        <f t="shared" si="5"/>
        <v>0</v>
      </c>
      <c r="AD52" s="6">
        <f t="shared" si="15"/>
        <v>0</v>
      </c>
    </row>
    <row r="53" spans="1:30" s="60" customFormat="1" ht="11.25" customHeight="1" thickBot="1" x14ac:dyDescent="0.2">
      <c r="A53" s="9" t="str">
        <f t="shared" si="6"/>
        <v/>
      </c>
      <c r="B53" s="54" t="str">
        <f t="shared" si="7"/>
        <v/>
      </c>
      <c r="C53" s="228"/>
      <c r="D53" s="3"/>
      <c r="E53" s="240" t="str">
        <f t="shared" si="8"/>
        <v>na</v>
      </c>
      <c r="F53" s="190" t="str">
        <f t="shared" si="0"/>
        <v>na</v>
      </c>
      <c r="G53" s="190" t="str">
        <f t="shared" si="9"/>
        <v>na</v>
      </c>
      <c r="H53" s="281" t="str">
        <f t="shared" si="10"/>
        <v>na</v>
      </c>
      <c r="I53" s="3"/>
      <c r="J53" s="240" t="str">
        <f t="shared" si="11"/>
        <v>na</v>
      </c>
      <c r="K53" s="190" t="str">
        <f t="shared" si="1"/>
        <v>na</v>
      </c>
      <c r="L53" s="190" t="str">
        <f t="shared" si="12"/>
        <v>na</v>
      </c>
      <c r="M53" s="281" t="str">
        <f t="shared" si="13"/>
        <v>na</v>
      </c>
      <c r="N53" s="58" t="str">
        <f t="shared" si="2"/>
        <v>na</v>
      </c>
      <c r="O53" s="55" t="str">
        <f t="shared" si="3"/>
        <v>na</v>
      </c>
      <c r="P53" s="56" t="str">
        <f t="shared" si="14"/>
        <v>na</v>
      </c>
      <c r="Q53" s="57" t="str">
        <f t="shared" si="16"/>
        <v>na</v>
      </c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9">
        <f t="shared" si="4"/>
        <v>0</v>
      </c>
      <c r="AC53" s="6">
        <f t="shared" si="5"/>
        <v>0</v>
      </c>
      <c r="AD53" s="6">
        <f t="shared" si="15"/>
        <v>0</v>
      </c>
    </row>
    <row r="57" spans="1:30" ht="11.25" customHeight="1" x14ac:dyDescent="0.15">
      <c r="B57" s="4" t="s">
        <v>100</v>
      </c>
    </row>
  </sheetData>
  <sheetProtection password="C476" sheet="1" objects="1" scenarios="1"/>
  <mergeCells count="5">
    <mergeCell ref="B2:F2"/>
    <mergeCell ref="L2:N2"/>
    <mergeCell ref="D16:H16"/>
    <mergeCell ref="I16:M16"/>
    <mergeCell ref="N16:Q16"/>
  </mergeCells>
  <phoneticPr fontId="0" type="noConversion"/>
  <pageMargins left="0.75" right="0.75" top="0.4" bottom="0.3" header="0.31" footer="0.22"/>
  <pageSetup paperSize="9" orientation="landscape" horizontalDpi="200" verticalDpi="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98" r:id="rId4" name="Button 30">
              <controlPr defaultSize="0" print="0" autoFill="0" autoPict="0" macro="[0]!Clear2a">
                <anchor moveWithCells="1" sizeWithCells="1">
                  <from>
                    <xdr:col>14</xdr:col>
                    <xdr:colOff>371475</xdr:colOff>
                    <xdr:row>1</xdr:row>
                    <xdr:rowOff>85725</xdr:rowOff>
                  </from>
                  <to>
                    <xdr:col>15</xdr:col>
                    <xdr:colOff>419100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99" r:id="rId5" name="Button 31">
              <controlPr defaultSize="0" print="0" autoFill="0" autoPict="0" macro="[0]!PrintPage">
                <anchor moveWithCells="1" sizeWithCells="1">
                  <from>
                    <xdr:col>14</xdr:col>
                    <xdr:colOff>352425</xdr:colOff>
                    <xdr:row>4</xdr:row>
                    <xdr:rowOff>38100</xdr:rowOff>
                  </from>
                  <to>
                    <xdr:col>15</xdr:col>
                    <xdr:colOff>428625</xdr:colOff>
                    <xdr:row>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2:AI51"/>
  <sheetViews>
    <sheetView workbookViewId="0">
      <pane ySplit="15" topLeftCell="A16" activePane="bottomLeft" state="frozen"/>
      <selection pane="bottomLeft" activeCell="C22" sqref="C22"/>
    </sheetView>
  </sheetViews>
  <sheetFormatPr defaultRowHeight="11.25" customHeight="1" x14ac:dyDescent="0.15"/>
  <cols>
    <col min="1" max="1" width="12.42578125" style="4" customWidth="1"/>
    <col min="2" max="2" width="9.42578125" style="4" customWidth="1"/>
    <col min="3" max="3" width="6.85546875" style="4" customWidth="1"/>
    <col min="4" max="4" width="6.7109375" style="4" customWidth="1"/>
    <col min="5" max="20" width="6.85546875" style="4" customWidth="1"/>
    <col min="21" max="23" width="7.28515625" style="4" customWidth="1"/>
    <col min="24" max="25" width="7.140625" style="4" customWidth="1"/>
    <col min="26" max="29" width="7.140625" style="6" customWidth="1"/>
    <col min="30" max="32" width="7.140625" style="4" customWidth="1"/>
    <col min="33" max="33" width="10.28515625" style="6" customWidth="1"/>
    <col min="34" max="34" width="10.7109375" style="6" customWidth="1"/>
    <col min="35" max="35" width="5.42578125" style="6" bestFit="1" customWidth="1"/>
    <col min="36" max="16384" width="9.140625" style="4"/>
  </cols>
  <sheetData>
    <row r="2" spans="1:35" ht="11.25" customHeight="1" x14ac:dyDescent="0.15">
      <c r="A2" s="161" t="s">
        <v>90</v>
      </c>
      <c r="B2" s="299" t="str">
        <f>'(1)_Summary_Data'!B2</f>
        <v>[Enter trial name]</v>
      </c>
      <c r="C2" s="300"/>
      <c r="D2" s="300"/>
      <c r="E2" s="300"/>
      <c r="F2" s="300"/>
      <c r="G2" s="301"/>
      <c r="J2" s="298">
        <f ca="1">NOW()</f>
        <v>44969.70508634259</v>
      </c>
      <c r="K2" s="298"/>
      <c r="L2" s="298"/>
    </row>
    <row r="3" spans="1:35" ht="11.25" customHeight="1" x14ac:dyDescent="0.15">
      <c r="C3" s="15"/>
      <c r="D3" s="16"/>
      <c r="E3" s="16"/>
      <c r="S3" s="147"/>
      <c r="Y3" s="6"/>
      <c r="AC3" s="4"/>
      <c r="AF3" s="6"/>
      <c r="AI3" s="4"/>
    </row>
    <row r="4" spans="1:35" ht="11.25" customHeight="1" thickBot="1" x14ac:dyDescent="0.2">
      <c r="C4" s="15"/>
      <c r="D4" s="16"/>
      <c r="E4" s="16"/>
      <c r="H4" s="61" t="s">
        <v>126</v>
      </c>
      <c r="O4" s="6"/>
      <c r="S4" s="6"/>
      <c r="Y4" s="6"/>
      <c r="AC4" s="4"/>
      <c r="AF4" s="6"/>
      <c r="AI4" s="4"/>
    </row>
    <row r="5" spans="1:35" ht="11.25" customHeight="1" thickBot="1" x14ac:dyDescent="0.2">
      <c r="A5" s="13" t="s">
        <v>51</v>
      </c>
      <c r="Q5" s="15" t="s">
        <v>0</v>
      </c>
      <c r="R5" s="241" t="str">
        <f>IF(R6&lt;&gt;"na",EXP(R6),"na")</f>
        <v>na</v>
      </c>
      <c r="Y5" s="6"/>
      <c r="AC5" s="4"/>
      <c r="AG5" s="4"/>
      <c r="AH5" s="4"/>
      <c r="AI5" s="4"/>
    </row>
    <row r="6" spans="1:35" ht="11.25" customHeight="1" x14ac:dyDescent="0.15">
      <c r="A6" s="282" t="s">
        <v>178</v>
      </c>
      <c r="B6" s="285" t="s">
        <v>187</v>
      </c>
      <c r="C6" s="283"/>
      <c r="D6" s="284"/>
      <c r="E6" s="284"/>
      <c r="F6" s="284"/>
      <c r="G6" s="286" t="s">
        <v>189</v>
      </c>
      <c r="H6" s="283"/>
      <c r="I6" s="284"/>
      <c r="J6" s="284"/>
      <c r="K6" s="287"/>
      <c r="L6" s="289" t="s">
        <v>191</v>
      </c>
      <c r="M6" s="11"/>
      <c r="Q6" s="15" t="s">
        <v>127</v>
      </c>
      <c r="R6" s="50" t="str">
        <f>IF(AND($O$13&lt;&gt;0, $P$13&lt;&gt;0),SUM($O$16:$O$40)/SUM($P$16:$P$40),"na")</f>
        <v>na</v>
      </c>
      <c r="Y6" s="6"/>
      <c r="AC6" s="4"/>
      <c r="AG6" s="4"/>
      <c r="AH6" s="4"/>
      <c r="AI6" s="4"/>
    </row>
    <row r="7" spans="1:35" ht="11.25" customHeight="1" x14ac:dyDescent="0.15">
      <c r="A7" s="282" t="s">
        <v>179</v>
      </c>
      <c r="B7" s="285" t="s">
        <v>188</v>
      </c>
      <c r="C7" s="283"/>
      <c r="D7" s="284"/>
      <c r="E7" s="284"/>
      <c r="F7" s="284"/>
      <c r="G7" s="286" t="s">
        <v>190</v>
      </c>
      <c r="H7" s="283"/>
      <c r="I7" s="284"/>
      <c r="J7" s="284"/>
      <c r="K7" s="287"/>
      <c r="L7" s="289" t="s">
        <v>200</v>
      </c>
      <c r="M7" s="11"/>
      <c r="Q7" s="15" t="s">
        <v>128</v>
      </c>
      <c r="R7" s="50" t="str">
        <f>IF($P$13&lt;&gt;0,SQRT(1/SUM($P$16:$P$40)),"na")</f>
        <v>na</v>
      </c>
      <c r="T7" s="46"/>
      <c r="U7" s="46"/>
      <c r="V7" s="46"/>
      <c r="Y7" s="6"/>
      <c r="AC7" s="4"/>
      <c r="AG7" s="4"/>
      <c r="AH7" s="4"/>
      <c r="AI7" s="4"/>
    </row>
    <row r="8" spans="1:35" ht="11.25" customHeight="1" x14ac:dyDescent="0.15">
      <c r="A8" s="282" t="s">
        <v>180</v>
      </c>
      <c r="B8" s="285" t="s">
        <v>192</v>
      </c>
      <c r="C8" s="283"/>
      <c r="D8" s="284"/>
      <c r="E8" s="284"/>
      <c r="F8" s="284"/>
      <c r="G8" s="286" t="s">
        <v>194</v>
      </c>
      <c r="H8" s="283"/>
      <c r="I8" s="284"/>
      <c r="J8" s="284"/>
      <c r="K8" s="290"/>
      <c r="L8" s="289" t="s">
        <v>208</v>
      </c>
      <c r="M8" s="11"/>
      <c r="O8" s="162"/>
      <c r="Y8" s="6"/>
      <c r="AC8" s="4"/>
      <c r="AG8" s="4"/>
      <c r="AH8" s="4"/>
      <c r="AI8" s="4"/>
    </row>
    <row r="9" spans="1:35" ht="11.25" customHeight="1" x14ac:dyDescent="0.15">
      <c r="A9" s="291"/>
      <c r="B9" s="285" t="s">
        <v>198</v>
      </c>
      <c r="C9" s="283"/>
      <c r="D9" s="284"/>
      <c r="E9" s="284"/>
      <c r="F9" s="284"/>
      <c r="G9" s="286" t="s">
        <v>199</v>
      </c>
      <c r="H9" s="283"/>
      <c r="I9" s="284"/>
      <c r="J9" s="284"/>
      <c r="K9" s="290"/>
      <c r="L9" s="289" t="s">
        <v>209</v>
      </c>
      <c r="M9" s="11"/>
      <c r="O9" s="162"/>
      <c r="P9" s="162"/>
      <c r="R9" s="63"/>
      <c r="AG9" s="4"/>
      <c r="AH9" s="4"/>
      <c r="AI9" s="4"/>
    </row>
    <row r="10" spans="1:35" ht="11.25" customHeight="1" x14ac:dyDescent="0.15">
      <c r="A10" s="291"/>
      <c r="B10" s="285" t="s">
        <v>193</v>
      </c>
      <c r="C10" s="283"/>
      <c r="D10" s="284"/>
      <c r="E10" s="284"/>
      <c r="F10" s="284"/>
      <c r="G10" s="286" t="s">
        <v>195</v>
      </c>
      <c r="H10" s="283"/>
      <c r="I10" s="284"/>
      <c r="J10" s="284"/>
      <c r="K10" s="290"/>
      <c r="L10" s="289" t="s">
        <v>210</v>
      </c>
      <c r="M10" s="11"/>
      <c r="O10" s="162"/>
      <c r="P10" s="162"/>
      <c r="Q10" s="162"/>
      <c r="R10" s="163"/>
      <c r="T10" s="6"/>
      <c r="AG10" s="4"/>
      <c r="AH10" s="4"/>
      <c r="AI10" s="4"/>
    </row>
    <row r="11" spans="1:35" ht="11.25" customHeight="1" thickBot="1" x14ac:dyDescent="0.2">
      <c r="A11" s="17"/>
      <c r="B11" s="11"/>
      <c r="O11" s="5"/>
      <c r="P11" s="162"/>
      <c r="Q11" s="162"/>
      <c r="R11" s="147"/>
      <c r="S11" s="147"/>
      <c r="T11" s="6"/>
      <c r="AG11" s="4"/>
      <c r="AH11" s="4"/>
      <c r="AI11" s="4"/>
    </row>
    <row r="12" spans="1:35" ht="11.25" customHeight="1" thickBot="1" x14ac:dyDescent="0.2">
      <c r="B12" s="14"/>
      <c r="D12" s="302" t="str">
        <f>"Research(2)" &amp; IF('(1)_Summary_Data'!B6&lt;&gt;"",": " &amp; '(1)_Summary_Data'!B6,"")</f>
        <v>Research(2)</v>
      </c>
      <c r="E12" s="303"/>
      <c r="F12" s="303"/>
      <c r="G12" s="303"/>
      <c r="H12" s="304"/>
      <c r="I12" s="302" t="str">
        <f>"Control(1)" &amp;IF('(1)_Summary_Data'!C6&lt;&gt;"",": " &amp; '(1)_Summary_Data'!C6,"")</f>
        <v>Control(1)</v>
      </c>
      <c r="J12" s="303"/>
      <c r="K12" s="303"/>
      <c r="L12" s="303"/>
      <c r="M12" s="304"/>
      <c r="N12" s="21"/>
      <c r="O12" s="303" t="s">
        <v>122</v>
      </c>
      <c r="P12" s="303"/>
      <c r="Q12" s="19"/>
      <c r="R12" s="20"/>
      <c r="AG12" s="4"/>
      <c r="AH12" s="4"/>
      <c r="AI12" s="4"/>
    </row>
    <row r="13" spans="1:35" ht="11.25" customHeight="1" thickBot="1" x14ac:dyDescent="0.2">
      <c r="A13" s="6"/>
      <c r="B13" s="22" t="s">
        <v>9</v>
      </c>
      <c r="C13" s="164"/>
      <c r="D13" s="46"/>
      <c r="E13" s="46"/>
      <c r="F13" s="46"/>
      <c r="G13" s="165">
        <f>SUM(G16:G40)</f>
        <v>0</v>
      </c>
      <c r="H13" s="166">
        <f>SUM(H16:H40)</f>
        <v>0</v>
      </c>
      <c r="I13" s="46"/>
      <c r="J13" s="46"/>
      <c r="K13" s="46"/>
      <c r="L13" s="165">
        <f>SUM(L16:L40)</f>
        <v>0</v>
      </c>
      <c r="M13" s="166">
        <f>SUM(M16:M40)</f>
        <v>0</v>
      </c>
      <c r="N13" s="167"/>
      <c r="O13" s="168">
        <f>SUM(O16:O40)</f>
        <v>0</v>
      </c>
      <c r="P13" s="168">
        <f>SUM(P16:P40)</f>
        <v>0</v>
      </c>
      <c r="Q13" s="68"/>
      <c r="R13" s="69"/>
      <c r="W13" s="6" t="s">
        <v>129</v>
      </c>
      <c r="X13" s="6" t="s">
        <v>130</v>
      </c>
      <c r="Y13" s="6" t="s">
        <v>131</v>
      </c>
      <c r="Z13" s="6" t="s">
        <v>131</v>
      </c>
      <c r="AA13" s="4"/>
      <c r="AB13" s="4"/>
      <c r="AC13" s="4"/>
      <c r="AG13" s="4"/>
      <c r="AH13" s="4"/>
      <c r="AI13" s="4"/>
    </row>
    <row r="14" spans="1:35" ht="11.25" customHeight="1" x14ac:dyDescent="0.15">
      <c r="A14" s="138" t="s">
        <v>36</v>
      </c>
      <c r="B14" s="29" t="s">
        <v>37</v>
      </c>
      <c r="C14" s="169" t="s">
        <v>12</v>
      </c>
      <c r="D14" s="170" t="s">
        <v>38</v>
      </c>
      <c r="E14" s="32" t="s">
        <v>39</v>
      </c>
      <c r="F14" s="32" t="s">
        <v>40</v>
      </c>
      <c r="G14" s="32" t="s">
        <v>41</v>
      </c>
      <c r="H14" s="171" t="s">
        <v>42</v>
      </c>
      <c r="I14" s="172" t="s">
        <v>43</v>
      </c>
      <c r="J14" s="34" t="s">
        <v>44</v>
      </c>
      <c r="K14" s="34" t="s">
        <v>45</v>
      </c>
      <c r="L14" s="34" t="s">
        <v>46</v>
      </c>
      <c r="M14" s="173" t="s">
        <v>47</v>
      </c>
      <c r="N14" s="35" t="s">
        <v>48</v>
      </c>
      <c r="O14" s="37" t="s">
        <v>49</v>
      </c>
      <c r="P14" s="174" t="s">
        <v>50</v>
      </c>
      <c r="Q14" s="174" t="s">
        <v>55</v>
      </c>
      <c r="R14" s="175" t="s">
        <v>11</v>
      </c>
      <c r="U14" s="6"/>
      <c r="V14" s="6"/>
      <c r="W14" s="6"/>
      <c r="X14" s="6"/>
      <c r="Y14" s="6"/>
      <c r="AA14" s="4"/>
      <c r="AB14" s="4"/>
      <c r="AC14" s="4"/>
      <c r="AG14" s="4"/>
      <c r="AH14" s="4"/>
      <c r="AI14" s="4"/>
    </row>
    <row r="15" spans="1:35" ht="11.25" customHeight="1" thickBot="1" x14ac:dyDescent="0.25">
      <c r="A15" s="4" t="s">
        <v>53</v>
      </c>
      <c r="B15" s="40" t="s">
        <v>133</v>
      </c>
      <c r="C15" s="176" t="s">
        <v>134</v>
      </c>
      <c r="D15" s="177" t="s">
        <v>135</v>
      </c>
      <c r="E15" s="44" t="s">
        <v>136</v>
      </c>
      <c r="F15" s="44" t="s">
        <v>141</v>
      </c>
      <c r="G15" s="44" t="s">
        <v>140</v>
      </c>
      <c r="H15" s="178" t="s">
        <v>142</v>
      </c>
      <c r="I15" s="177" t="s">
        <v>137</v>
      </c>
      <c r="J15" s="44" t="s">
        <v>138</v>
      </c>
      <c r="K15" s="44" t="s">
        <v>139</v>
      </c>
      <c r="L15" s="44" t="s">
        <v>143</v>
      </c>
      <c r="M15" s="178" t="s">
        <v>144</v>
      </c>
      <c r="N15" s="40" t="s">
        <v>150</v>
      </c>
      <c r="O15" s="44" t="s">
        <v>151</v>
      </c>
      <c r="P15" s="44" t="s">
        <v>152</v>
      </c>
      <c r="Q15" s="44" t="s">
        <v>153</v>
      </c>
      <c r="R15" s="44" t="s">
        <v>154</v>
      </c>
      <c r="S15" s="46"/>
      <c r="T15" s="46"/>
      <c r="U15" s="6"/>
      <c r="V15" s="6"/>
      <c r="W15" s="6" t="s">
        <v>132</v>
      </c>
      <c r="X15" s="6" t="s">
        <v>132</v>
      </c>
      <c r="Y15" s="6"/>
      <c r="AA15" s="4" t="s">
        <v>175</v>
      </c>
      <c r="AB15" s="4"/>
      <c r="AC15" s="4"/>
      <c r="AG15" s="4"/>
      <c r="AH15" s="4"/>
      <c r="AI15" s="4"/>
    </row>
    <row r="16" spans="1:35" ht="11.25" customHeight="1" x14ac:dyDescent="0.15">
      <c r="A16" s="9"/>
      <c r="B16" s="179" t="str">
        <f>C16 &amp; IF(C17&lt;&gt;"", " to " &amp; C17, IF(C16&lt;&gt;"", " to " &amp; $F$2,""))</f>
        <v xml:space="preserve">0 to </v>
      </c>
      <c r="C16" s="181">
        <v>0</v>
      </c>
      <c r="D16" s="244">
        <v>100</v>
      </c>
      <c r="E16" s="233"/>
      <c r="F16" s="182" t="str">
        <f>IF(E17&lt;&gt;"",(E16+E17)*D16/(D16+D17),"na")</f>
        <v>na</v>
      </c>
      <c r="G16" s="182" t="str">
        <f>IF(AND(E16&lt;&gt;"",E17&lt;&gt;""),(E16+E17)*(D16-D17)/(D16+D17),"na")</f>
        <v>na</v>
      </c>
      <c r="H16" s="183" t="str">
        <f>IF(AND(E16&lt;&gt;"",E17&lt;&gt;""),2*((E16*D17)-(E17*D16))/(D16+D17),"na")</f>
        <v>na</v>
      </c>
      <c r="I16" s="244">
        <v>100</v>
      </c>
      <c r="J16" s="233"/>
      <c r="K16" s="182" t="str">
        <f t="shared" ref="K16:K38" si="0">IF(J17&lt;&gt;"",(J16+J17)*I16/(I16+I17),"na")</f>
        <v>na</v>
      </c>
      <c r="L16" s="182" t="str">
        <f>IF(AND(J16&lt;&gt;"",J17&lt;&gt;""),(J16+J17)*(I16-I17)/(I16+I17),"na")</f>
        <v>na</v>
      </c>
      <c r="M16" s="183" t="str">
        <f>IF(AND(J16&lt;&gt;"",J17&lt;&gt;""),2*((J16*I17)-(J17*I16))/(I16+I17),"na")</f>
        <v>na</v>
      </c>
      <c r="N16" s="184" t="str">
        <f t="shared" ref="N16:N40" si="1">IF(W16=1,(G16+L16)*F16/(K16+F16),"na")</f>
        <v>na</v>
      </c>
      <c r="O16" s="182" t="str">
        <f t="shared" ref="O16:O40" si="2">IF(W16=1,G16-N16,"na")</f>
        <v>na</v>
      </c>
      <c r="P16" s="185" t="str">
        <f t="shared" ref="P16:P40" si="3">IF(W16=1,(G16+L16)*(F16*K16)/(POWER(F16+K16,2)),"na")</f>
        <v>na</v>
      </c>
      <c r="Q16" s="185" t="str">
        <f t="shared" ref="Q16:Q40" si="4">IF(AND(W16=1,N16&gt;0),(G16-N16)/P16,"na")</f>
        <v>na</v>
      </c>
      <c r="R16" s="235" t="str">
        <f t="shared" ref="R16:R40" si="5">IF(AND(N16&gt;0,W16=1),1/P16,"na")</f>
        <v>na</v>
      </c>
      <c r="S16" s="186"/>
      <c r="T16" s="186"/>
      <c r="U16" s="186"/>
      <c r="V16" s="186"/>
      <c r="W16" s="6">
        <f>IF(AND(G16&lt;&gt;"na",L16&lt;&gt;"na",K16&lt;&gt;"na",F16&lt;&gt;"na"),1,0)</f>
        <v>0</v>
      </c>
      <c r="X16" s="6">
        <f>IF(AND(G16&lt;&gt;"na",L16&lt;&gt;"na"),1,0)</f>
        <v>0</v>
      </c>
      <c r="Y16" s="6"/>
      <c r="AA16" s="65">
        <f t="shared" ref="AA16:AA40" si="6">I16-D16</f>
        <v>0</v>
      </c>
      <c r="AB16" s="4"/>
      <c r="AC16" s="4"/>
      <c r="AG16" s="4"/>
      <c r="AH16" s="4"/>
      <c r="AI16" s="4"/>
    </row>
    <row r="17" spans="1:35" ht="11.25" customHeight="1" x14ac:dyDescent="0.15">
      <c r="A17" s="9" t="str">
        <f>IF(OR(AND(C17&lt;&gt;"",C17&lt;=C16),AND(D17&lt;&gt;"",D17&gt;D16),AND(E17&lt;&gt;"",E17&gt;E16),AND(I17&lt;&gt;"",I17&gt;I16),AND(J17&lt;&gt;"",J17&gt;J16),AND(D17&lt;&gt;"",I17=""),AND(D17="",I17&lt;&gt;"")),"Problem---&gt;","")</f>
        <v/>
      </c>
      <c r="B17" s="47" t="str">
        <f>C17 &amp; IF(C18&lt;&gt;"", " to " &amp; C18, IF(C17&lt;&gt;"", " onwards",""))</f>
        <v/>
      </c>
      <c r="C17" s="229"/>
      <c r="D17" s="245"/>
      <c r="E17" s="230"/>
      <c r="F17" s="187" t="str">
        <f t="shared" ref="F17:F38" si="7">IF(E18&lt;&gt;"",(E17+E18)*D17/(D17+D18),"na")</f>
        <v>na</v>
      </c>
      <c r="G17" s="187" t="str">
        <f t="shared" ref="G17:G38" si="8">IF(AND(E17&lt;&gt;"",E18&lt;&gt;""),(E17+E18)*(D17-D18)/(D17+D18),"na")</f>
        <v>na</v>
      </c>
      <c r="H17" s="188" t="str">
        <f t="shared" ref="H17:H38" si="9">IF(AND(E17&lt;&gt;"",E18&lt;&gt;""),2*((E17*D18)-(E18*D17))/(D17+D18),"na")</f>
        <v>na</v>
      </c>
      <c r="I17" s="248"/>
      <c r="J17" s="230"/>
      <c r="K17" s="187" t="str">
        <f t="shared" si="0"/>
        <v>na</v>
      </c>
      <c r="L17" s="187" t="str">
        <f t="shared" ref="L17:L38" si="10">IF(AND(J17&lt;&gt;"",J18&lt;&gt;""),(J17+J18)*(I17-I18)/(I17+I18),"na")</f>
        <v>na</v>
      </c>
      <c r="M17" s="188" t="str">
        <f t="shared" ref="M17:M38" si="11">IF(AND(J17&lt;&gt;"",J18&lt;&gt;""),2*((J17*I18)-(J18*I17))/(I17+I18),"na")</f>
        <v>na</v>
      </c>
      <c r="N17" s="189" t="str">
        <f t="shared" si="1"/>
        <v>na</v>
      </c>
      <c r="O17" s="187" t="str">
        <f t="shared" si="2"/>
        <v>na</v>
      </c>
      <c r="P17" s="51" t="str">
        <f t="shared" si="3"/>
        <v>na</v>
      </c>
      <c r="Q17" s="51" t="str">
        <f t="shared" si="4"/>
        <v>na</v>
      </c>
      <c r="R17" s="236" t="str">
        <f t="shared" si="5"/>
        <v>na</v>
      </c>
      <c r="S17" s="186"/>
      <c r="T17" s="186"/>
      <c r="U17" s="186"/>
      <c r="V17" s="186"/>
      <c r="W17" s="6">
        <f t="shared" ref="W17:W40" si="12">IF(AND(G17&lt;&gt;"na",L17&lt;&gt;"na",K17&lt;&gt;"na",F17&lt;&gt;"na"),1,0)</f>
        <v>0</v>
      </c>
      <c r="X17" s="6">
        <f t="shared" ref="X17:X40" si="13">IF(AND(G17&lt;&gt;"na",L17&lt;&gt;"na"),1,0)</f>
        <v>0</v>
      </c>
      <c r="Y17" s="65" t="str">
        <f t="shared" ref="Y17:Y40" si="14">IF(AND(E17&lt;&gt;"",E17&lt;&gt;"na",G17&lt;&gt;"",G17&lt;&gt;"na",H17&lt;&gt;"",H17&lt;&gt;"na"),IF(E17+G16+H16=E16,"Fine","Prob"),"na")</f>
        <v>na</v>
      </c>
      <c r="Z17" s="65" t="str">
        <f>IF(AND(J17&lt;&gt;"",J17&lt;&gt;"na",L17&lt;&gt;"",L17&lt;&gt;"na",M17&lt;&gt;"",M17&lt;&gt;"na"),IF(J17+L16+M16=J16,"Fine","Prob"),"na")</f>
        <v>na</v>
      </c>
      <c r="AA17" s="65">
        <f t="shared" si="6"/>
        <v>0</v>
      </c>
      <c r="AB17" s="4"/>
      <c r="AC17" s="4"/>
      <c r="AG17" s="4"/>
      <c r="AH17" s="4"/>
      <c r="AI17" s="4"/>
    </row>
    <row r="18" spans="1:35" ht="11.25" customHeight="1" x14ac:dyDescent="0.15">
      <c r="A18" s="9" t="str">
        <f>IF(OR(AND(C18&lt;&gt;"",C18&lt;=C17),AND(D18&lt;&gt;"",D18&gt;D17),AND(E18&lt;&gt;"",E18&gt;E17),AND(I18&lt;&gt;"",I18&gt;I17),AND(J18&lt;&gt;"",J18&gt;J17),AND(D18&lt;&gt;"",I18=""),AND(D18="",I18&lt;&gt;"")),"Problem---&gt;","")</f>
        <v/>
      </c>
      <c r="B18" s="47" t="str">
        <f t="shared" ref="B18:B38" si="15">C18 &amp; IF(C19&lt;&gt;"", " to " &amp; C19, IF(C18&lt;&gt;"", " onwards",""))</f>
        <v/>
      </c>
      <c r="C18" s="227"/>
      <c r="D18" s="246"/>
      <c r="E18" s="230"/>
      <c r="F18" s="187" t="str">
        <f t="shared" si="7"/>
        <v>na</v>
      </c>
      <c r="G18" s="187" t="str">
        <f t="shared" si="8"/>
        <v>na</v>
      </c>
      <c r="H18" s="188" t="str">
        <f t="shared" si="9"/>
        <v>na</v>
      </c>
      <c r="I18" s="249"/>
      <c r="J18" s="230"/>
      <c r="K18" s="187" t="str">
        <f t="shared" si="0"/>
        <v>na</v>
      </c>
      <c r="L18" s="187" t="str">
        <f t="shared" si="10"/>
        <v>na</v>
      </c>
      <c r="M18" s="188" t="str">
        <f t="shared" si="11"/>
        <v>na</v>
      </c>
      <c r="N18" s="189" t="str">
        <f t="shared" si="1"/>
        <v>na</v>
      </c>
      <c r="O18" s="187" t="str">
        <f t="shared" si="2"/>
        <v>na</v>
      </c>
      <c r="P18" s="51" t="str">
        <f t="shared" si="3"/>
        <v>na</v>
      </c>
      <c r="Q18" s="51" t="str">
        <f t="shared" si="4"/>
        <v>na</v>
      </c>
      <c r="R18" s="236" t="str">
        <f t="shared" si="5"/>
        <v>na</v>
      </c>
      <c r="S18" s="186"/>
      <c r="T18" s="186"/>
      <c r="U18" s="186"/>
      <c r="V18" s="186"/>
      <c r="W18" s="6">
        <f t="shared" si="12"/>
        <v>0</v>
      </c>
      <c r="X18" s="6">
        <f t="shared" si="13"/>
        <v>0</v>
      </c>
      <c r="Y18" s="65" t="str">
        <f t="shared" si="14"/>
        <v>na</v>
      </c>
      <c r="Z18" s="65" t="str">
        <f t="shared" ref="Z18:Z40" si="16">IF(AND(J18&lt;&gt;"",J18&lt;&gt;"na",L18&lt;&gt;"",L18&lt;&gt;"na",M18&lt;&gt;"",M18&lt;&gt;"na"),IF(J18+L17+M17=J17,"Fine","Prob"),"na")</f>
        <v>na</v>
      </c>
      <c r="AA18" s="65">
        <f t="shared" si="6"/>
        <v>0</v>
      </c>
      <c r="AB18" s="4"/>
      <c r="AC18" s="4"/>
      <c r="AG18" s="4"/>
      <c r="AH18" s="4"/>
      <c r="AI18" s="4"/>
    </row>
    <row r="19" spans="1:35" ht="11.25" customHeight="1" x14ac:dyDescent="0.15">
      <c r="A19" s="9" t="str">
        <f>IF(OR(AND(C19&lt;&gt;"",C19&lt;=C18),AND(D19&lt;&gt;"",D19&gt;D18),AND(E19&lt;&gt;"",E19&gt;E18),AND(I19&lt;&gt;"",I19&gt;I18),AND(J19&lt;&gt;"",J19&gt;J18),AND(D19&lt;&gt;"",I19=""),AND(D19="",I19&lt;&gt;"")),"Problem---&gt;","")</f>
        <v/>
      </c>
      <c r="B19" s="47" t="str">
        <f t="shared" si="15"/>
        <v/>
      </c>
      <c r="C19" s="227"/>
      <c r="D19" s="246"/>
      <c r="E19" s="230"/>
      <c r="F19" s="187" t="str">
        <f t="shared" si="7"/>
        <v>na</v>
      </c>
      <c r="G19" s="187" t="str">
        <f t="shared" si="8"/>
        <v>na</v>
      </c>
      <c r="H19" s="188" t="str">
        <f t="shared" si="9"/>
        <v>na</v>
      </c>
      <c r="I19" s="249"/>
      <c r="J19" s="230"/>
      <c r="K19" s="187" t="str">
        <f t="shared" si="0"/>
        <v>na</v>
      </c>
      <c r="L19" s="187" t="str">
        <f t="shared" si="10"/>
        <v>na</v>
      </c>
      <c r="M19" s="188" t="str">
        <f t="shared" si="11"/>
        <v>na</v>
      </c>
      <c r="N19" s="189" t="str">
        <f t="shared" si="1"/>
        <v>na</v>
      </c>
      <c r="O19" s="187" t="str">
        <f t="shared" si="2"/>
        <v>na</v>
      </c>
      <c r="P19" s="51" t="str">
        <f t="shared" si="3"/>
        <v>na</v>
      </c>
      <c r="Q19" s="51" t="str">
        <f t="shared" si="4"/>
        <v>na</v>
      </c>
      <c r="R19" s="236" t="str">
        <f t="shared" si="5"/>
        <v>na</v>
      </c>
      <c r="S19" s="186"/>
      <c r="T19" s="186"/>
      <c r="U19" s="186"/>
      <c r="V19" s="186"/>
      <c r="W19" s="6">
        <f t="shared" si="12"/>
        <v>0</v>
      </c>
      <c r="X19" s="6">
        <f t="shared" si="13"/>
        <v>0</v>
      </c>
      <c r="Y19" s="65" t="str">
        <f t="shared" si="14"/>
        <v>na</v>
      </c>
      <c r="Z19" s="65" t="str">
        <f t="shared" si="16"/>
        <v>na</v>
      </c>
      <c r="AA19" s="65">
        <f t="shared" si="6"/>
        <v>0</v>
      </c>
      <c r="AB19" s="4"/>
      <c r="AC19" s="4"/>
      <c r="AG19" s="4"/>
      <c r="AH19" s="4"/>
      <c r="AI19" s="4"/>
    </row>
    <row r="20" spans="1:35" ht="11.25" customHeight="1" x14ac:dyDescent="0.15">
      <c r="A20" s="9" t="str">
        <f>IF(OR(AND(C20&lt;&gt;"",C20&lt;=C19),AND(D20&lt;&gt;"",D20&gt;D19),AND(E20&lt;&gt;"",E20&gt;E19),AND(I20&lt;&gt;"",I20&gt;I19),AND(J20&lt;&gt;"",J20&gt;J19),AND(D20&lt;&gt;"",I20=""),AND(D20="",I20&lt;&gt;"")),"Problem---&gt;","")</f>
        <v/>
      </c>
      <c r="B20" s="47" t="str">
        <f t="shared" si="15"/>
        <v/>
      </c>
      <c r="C20" s="227"/>
      <c r="D20" s="246"/>
      <c r="E20" s="230"/>
      <c r="F20" s="187" t="str">
        <f t="shared" si="7"/>
        <v>na</v>
      </c>
      <c r="G20" s="187" t="str">
        <f t="shared" si="8"/>
        <v>na</v>
      </c>
      <c r="H20" s="188" t="str">
        <f t="shared" si="9"/>
        <v>na</v>
      </c>
      <c r="I20" s="249"/>
      <c r="J20" s="230"/>
      <c r="K20" s="187" t="str">
        <f t="shared" si="0"/>
        <v>na</v>
      </c>
      <c r="L20" s="187" t="str">
        <f t="shared" si="10"/>
        <v>na</v>
      </c>
      <c r="M20" s="188" t="str">
        <f t="shared" si="11"/>
        <v>na</v>
      </c>
      <c r="N20" s="189" t="str">
        <f t="shared" si="1"/>
        <v>na</v>
      </c>
      <c r="O20" s="187" t="str">
        <f t="shared" si="2"/>
        <v>na</v>
      </c>
      <c r="P20" s="51" t="str">
        <f t="shared" si="3"/>
        <v>na</v>
      </c>
      <c r="Q20" s="51" t="str">
        <f t="shared" si="4"/>
        <v>na</v>
      </c>
      <c r="R20" s="236" t="str">
        <f t="shared" si="5"/>
        <v>na</v>
      </c>
      <c r="S20" s="186"/>
      <c r="T20" s="186"/>
      <c r="U20" s="186"/>
      <c r="V20" s="186"/>
      <c r="W20" s="6">
        <f t="shared" si="12"/>
        <v>0</v>
      </c>
      <c r="X20" s="6">
        <f t="shared" si="13"/>
        <v>0</v>
      </c>
      <c r="Y20" s="65" t="str">
        <f t="shared" si="14"/>
        <v>na</v>
      </c>
      <c r="Z20" s="65" t="str">
        <f t="shared" si="16"/>
        <v>na</v>
      </c>
      <c r="AA20" s="65">
        <f t="shared" si="6"/>
        <v>0</v>
      </c>
      <c r="AB20" s="4"/>
      <c r="AC20" s="4"/>
      <c r="AG20" s="4"/>
      <c r="AH20" s="4"/>
      <c r="AI20" s="4"/>
    </row>
    <row r="21" spans="1:35" ht="11.25" customHeight="1" x14ac:dyDescent="0.15">
      <c r="A21" s="9" t="str">
        <f>IF(OR(AND(C21&lt;&gt;"",C21&lt;=C20),AND(D21&lt;&gt;"",D21&gt;D20),AND(E21&lt;&gt;"",E21&gt;E20),AND(I21&lt;&gt;"",I21&gt;I20),AND(J21&lt;&gt;"",J21&gt;J20),AND(D21&lt;&gt;"",I21=""),AND(D21="",I21&lt;&gt;"")),"Problem---&gt;","")</f>
        <v/>
      </c>
      <c r="B21" s="47" t="str">
        <f t="shared" si="15"/>
        <v/>
      </c>
      <c r="C21" s="227"/>
      <c r="D21" s="246"/>
      <c r="E21" s="230"/>
      <c r="F21" s="187" t="str">
        <f t="shared" si="7"/>
        <v>na</v>
      </c>
      <c r="G21" s="187" t="str">
        <f t="shared" si="8"/>
        <v>na</v>
      </c>
      <c r="H21" s="188" t="str">
        <f t="shared" si="9"/>
        <v>na</v>
      </c>
      <c r="I21" s="249"/>
      <c r="J21" s="230"/>
      <c r="K21" s="187" t="str">
        <f t="shared" si="0"/>
        <v>na</v>
      </c>
      <c r="L21" s="187" t="str">
        <f t="shared" si="10"/>
        <v>na</v>
      </c>
      <c r="M21" s="188" t="str">
        <f t="shared" si="11"/>
        <v>na</v>
      </c>
      <c r="N21" s="189" t="str">
        <f t="shared" si="1"/>
        <v>na</v>
      </c>
      <c r="O21" s="187" t="str">
        <f t="shared" si="2"/>
        <v>na</v>
      </c>
      <c r="P21" s="51" t="str">
        <f t="shared" si="3"/>
        <v>na</v>
      </c>
      <c r="Q21" s="51" t="str">
        <f t="shared" si="4"/>
        <v>na</v>
      </c>
      <c r="R21" s="236" t="str">
        <f t="shared" si="5"/>
        <v>na</v>
      </c>
      <c r="S21" s="186"/>
      <c r="T21" s="186"/>
      <c r="U21" s="186"/>
      <c r="V21" s="186"/>
      <c r="W21" s="6">
        <f t="shared" si="12"/>
        <v>0</v>
      </c>
      <c r="X21" s="6">
        <f t="shared" si="13"/>
        <v>0</v>
      </c>
      <c r="Y21" s="65" t="str">
        <f t="shared" si="14"/>
        <v>na</v>
      </c>
      <c r="Z21" s="65" t="str">
        <f t="shared" si="16"/>
        <v>na</v>
      </c>
      <c r="AA21" s="65">
        <f t="shared" si="6"/>
        <v>0</v>
      </c>
      <c r="AB21" s="4"/>
      <c r="AC21" s="4"/>
      <c r="AG21" s="4"/>
      <c r="AH21" s="4"/>
      <c r="AI21" s="4"/>
    </row>
    <row r="22" spans="1:35" ht="11.25" customHeight="1" x14ac:dyDescent="0.15">
      <c r="A22" s="9" t="str">
        <f t="shared" ref="A22:A40" si="17">IF(OR(AND(C22&lt;&gt;"",C22&lt;=C21),AND(D22&lt;&gt;"",D22&gt;D21),AND(E22&lt;&gt;"",E22&gt;E21),AND(I22&lt;&gt;"",I22&gt;I21),AND(J22&lt;&gt;"",J22&gt;J21),AND(D22&lt;&gt;"",I22=""),AND(D22="",I22&lt;&gt;"")),"Problem---&gt;","")</f>
        <v/>
      </c>
      <c r="B22" s="47" t="str">
        <f t="shared" si="15"/>
        <v/>
      </c>
      <c r="C22" s="227"/>
      <c r="D22" s="246"/>
      <c r="E22" s="230"/>
      <c r="F22" s="187" t="str">
        <f t="shared" si="7"/>
        <v>na</v>
      </c>
      <c r="G22" s="187" t="str">
        <f t="shared" si="8"/>
        <v>na</v>
      </c>
      <c r="H22" s="188" t="str">
        <f t="shared" si="9"/>
        <v>na</v>
      </c>
      <c r="I22" s="249"/>
      <c r="J22" s="230"/>
      <c r="K22" s="187" t="str">
        <f t="shared" si="0"/>
        <v>na</v>
      </c>
      <c r="L22" s="187" t="str">
        <f t="shared" si="10"/>
        <v>na</v>
      </c>
      <c r="M22" s="188" t="str">
        <f t="shared" si="11"/>
        <v>na</v>
      </c>
      <c r="N22" s="189" t="str">
        <f t="shared" si="1"/>
        <v>na</v>
      </c>
      <c r="O22" s="187" t="str">
        <f t="shared" si="2"/>
        <v>na</v>
      </c>
      <c r="P22" s="51" t="str">
        <f t="shared" si="3"/>
        <v>na</v>
      </c>
      <c r="Q22" s="51" t="str">
        <f t="shared" si="4"/>
        <v>na</v>
      </c>
      <c r="R22" s="236" t="str">
        <f t="shared" si="5"/>
        <v>na</v>
      </c>
      <c r="S22" s="186"/>
      <c r="T22" s="186"/>
      <c r="U22" s="186"/>
      <c r="V22" s="186"/>
      <c r="W22" s="6">
        <f t="shared" si="12"/>
        <v>0</v>
      </c>
      <c r="X22" s="6">
        <f t="shared" si="13"/>
        <v>0</v>
      </c>
      <c r="Y22" s="65" t="str">
        <f t="shared" si="14"/>
        <v>na</v>
      </c>
      <c r="Z22" s="65" t="str">
        <f t="shared" si="16"/>
        <v>na</v>
      </c>
      <c r="AA22" s="65">
        <f t="shared" si="6"/>
        <v>0</v>
      </c>
      <c r="AB22" s="4"/>
      <c r="AC22" s="4"/>
      <c r="AG22" s="4"/>
      <c r="AH22" s="4"/>
      <c r="AI22" s="4"/>
    </row>
    <row r="23" spans="1:35" ht="11.25" customHeight="1" x14ac:dyDescent="0.15">
      <c r="A23" s="9" t="str">
        <f t="shared" si="17"/>
        <v/>
      </c>
      <c r="B23" s="47" t="str">
        <f t="shared" si="15"/>
        <v/>
      </c>
      <c r="C23" s="227"/>
      <c r="D23" s="246"/>
      <c r="E23" s="230"/>
      <c r="F23" s="187" t="str">
        <f t="shared" si="7"/>
        <v>na</v>
      </c>
      <c r="G23" s="187" t="str">
        <f t="shared" si="8"/>
        <v>na</v>
      </c>
      <c r="H23" s="188" t="str">
        <f t="shared" si="9"/>
        <v>na</v>
      </c>
      <c r="I23" s="249"/>
      <c r="J23" s="230"/>
      <c r="K23" s="187" t="str">
        <f t="shared" si="0"/>
        <v>na</v>
      </c>
      <c r="L23" s="187" t="str">
        <f t="shared" si="10"/>
        <v>na</v>
      </c>
      <c r="M23" s="188" t="str">
        <f t="shared" si="11"/>
        <v>na</v>
      </c>
      <c r="N23" s="189" t="str">
        <f t="shared" si="1"/>
        <v>na</v>
      </c>
      <c r="O23" s="187" t="str">
        <f t="shared" si="2"/>
        <v>na</v>
      </c>
      <c r="P23" s="51" t="str">
        <f t="shared" si="3"/>
        <v>na</v>
      </c>
      <c r="Q23" s="51" t="str">
        <f t="shared" si="4"/>
        <v>na</v>
      </c>
      <c r="R23" s="236" t="str">
        <f t="shared" si="5"/>
        <v>na</v>
      </c>
      <c r="S23" s="186"/>
      <c r="T23" s="186"/>
      <c r="U23" s="186"/>
      <c r="V23" s="186"/>
      <c r="W23" s="6">
        <f t="shared" si="12"/>
        <v>0</v>
      </c>
      <c r="X23" s="6">
        <f t="shared" si="13"/>
        <v>0</v>
      </c>
      <c r="Y23" s="65" t="str">
        <f t="shared" si="14"/>
        <v>na</v>
      </c>
      <c r="Z23" s="65" t="str">
        <f t="shared" si="16"/>
        <v>na</v>
      </c>
      <c r="AA23" s="65">
        <f t="shared" si="6"/>
        <v>0</v>
      </c>
      <c r="AB23" s="4"/>
      <c r="AC23" s="4"/>
      <c r="AG23" s="4"/>
      <c r="AH23" s="4"/>
      <c r="AI23" s="4"/>
    </row>
    <row r="24" spans="1:35" ht="11.25" customHeight="1" x14ac:dyDescent="0.15">
      <c r="A24" s="9" t="str">
        <f t="shared" si="17"/>
        <v/>
      </c>
      <c r="B24" s="47" t="str">
        <f t="shared" si="15"/>
        <v/>
      </c>
      <c r="C24" s="227"/>
      <c r="D24" s="246"/>
      <c r="E24" s="230"/>
      <c r="F24" s="187" t="str">
        <f t="shared" si="7"/>
        <v>na</v>
      </c>
      <c r="G24" s="187" t="str">
        <f t="shared" si="8"/>
        <v>na</v>
      </c>
      <c r="H24" s="188" t="str">
        <f t="shared" si="9"/>
        <v>na</v>
      </c>
      <c r="I24" s="249"/>
      <c r="J24" s="230"/>
      <c r="K24" s="187" t="str">
        <f t="shared" si="0"/>
        <v>na</v>
      </c>
      <c r="L24" s="187" t="str">
        <f t="shared" si="10"/>
        <v>na</v>
      </c>
      <c r="M24" s="188" t="str">
        <f t="shared" si="11"/>
        <v>na</v>
      </c>
      <c r="N24" s="189" t="str">
        <f t="shared" si="1"/>
        <v>na</v>
      </c>
      <c r="O24" s="187" t="str">
        <f t="shared" si="2"/>
        <v>na</v>
      </c>
      <c r="P24" s="51" t="str">
        <f t="shared" si="3"/>
        <v>na</v>
      </c>
      <c r="Q24" s="51" t="str">
        <f t="shared" si="4"/>
        <v>na</v>
      </c>
      <c r="R24" s="236" t="str">
        <f t="shared" si="5"/>
        <v>na</v>
      </c>
      <c r="S24" s="186"/>
      <c r="T24" s="186"/>
      <c r="U24" s="186"/>
      <c r="V24" s="186"/>
      <c r="W24" s="6">
        <f t="shared" si="12"/>
        <v>0</v>
      </c>
      <c r="X24" s="6">
        <f t="shared" si="13"/>
        <v>0</v>
      </c>
      <c r="Y24" s="65" t="str">
        <f t="shared" si="14"/>
        <v>na</v>
      </c>
      <c r="Z24" s="65" t="str">
        <f t="shared" si="16"/>
        <v>na</v>
      </c>
      <c r="AA24" s="65">
        <f t="shared" si="6"/>
        <v>0</v>
      </c>
      <c r="AB24" s="4"/>
      <c r="AC24" s="4"/>
      <c r="AG24" s="4"/>
      <c r="AH24" s="4"/>
      <c r="AI24" s="4"/>
    </row>
    <row r="25" spans="1:35" ht="11.25" customHeight="1" x14ac:dyDescent="0.15">
      <c r="A25" s="9" t="str">
        <f t="shared" si="17"/>
        <v/>
      </c>
      <c r="B25" s="47" t="str">
        <f t="shared" si="15"/>
        <v/>
      </c>
      <c r="C25" s="227"/>
      <c r="D25" s="246"/>
      <c r="E25" s="230"/>
      <c r="F25" s="187" t="str">
        <f t="shared" si="7"/>
        <v>na</v>
      </c>
      <c r="G25" s="187" t="str">
        <f t="shared" si="8"/>
        <v>na</v>
      </c>
      <c r="H25" s="188" t="str">
        <f t="shared" si="9"/>
        <v>na</v>
      </c>
      <c r="I25" s="249"/>
      <c r="J25" s="230"/>
      <c r="K25" s="187" t="str">
        <f t="shared" si="0"/>
        <v>na</v>
      </c>
      <c r="L25" s="187" t="str">
        <f t="shared" si="10"/>
        <v>na</v>
      </c>
      <c r="M25" s="188" t="str">
        <f t="shared" si="11"/>
        <v>na</v>
      </c>
      <c r="N25" s="189" t="str">
        <f t="shared" si="1"/>
        <v>na</v>
      </c>
      <c r="O25" s="187" t="str">
        <f t="shared" si="2"/>
        <v>na</v>
      </c>
      <c r="P25" s="51" t="str">
        <f t="shared" si="3"/>
        <v>na</v>
      </c>
      <c r="Q25" s="51" t="str">
        <f t="shared" si="4"/>
        <v>na</v>
      </c>
      <c r="R25" s="236" t="str">
        <f t="shared" si="5"/>
        <v>na</v>
      </c>
      <c r="S25" s="186"/>
      <c r="T25" s="186"/>
      <c r="U25" s="186"/>
      <c r="V25" s="186"/>
      <c r="W25" s="6">
        <f t="shared" si="12"/>
        <v>0</v>
      </c>
      <c r="X25" s="6">
        <f t="shared" si="13"/>
        <v>0</v>
      </c>
      <c r="Y25" s="65" t="str">
        <f t="shared" si="14"/>
        <v>na</v>
      </c>
      <c r="Z25" s="65" t="str">
        <f t="shared" si="16"/>
        <v>na</v>
      </c>
      <c r="AA25" s="65">
        <f t="shared" si="6"/>
        <v>0</v>
      </c>
      <c r="AB25" s="4"/>
      <c r="AC25" s="4"/>
      <c r="AG25" s="4"/>
      <c r="AH25" s="4"/>
      <c r="AI25" s="4"/>
    </row>
    <row r="26" spans="1:35" ht="11.25" customHeight="1" x14ac:dyDescent="0.15">
      <c r="A26" s="9" t="str">
        <f t="shared" si="17"/>
        <v/>
      </c>
      <c r="B26" s="47" t="str">
        <f t="shared" si="15"/>
        <v/>
      </c>
      <c r="C26" s="227"/>
      <c r="D26" s="246"/>
      <c r="E26" s="230"/>
      <c r="F26" s="187" t="str">
        <f t="shared" si="7"/>
        <v>na</v>
      </c>
      <c r="G26" s="187" t="str">
        <f t="shared" si="8"/>
        <v>na</v>
      </c>
      <c r="H26" s="188" t="str">
        <f t="shared" si="9"/>
        <v>na</v>
      </c>
      <c r="I26" s="249"/>
      <c r="J26" s="230"/>
      <c r="K26" s="187" t="str">
        <f t="shared" si="0"/>
        <v>na</v>
      </c>
      <c r="L26" s="187" t="str">
        <f t="shared" si="10"/>
        <v>na</v>
      </c>
      <c r="M26" s="188" t="str">
        <f t="shared" si="11"/>
        <v>na</v>
      </c>
      <c r="N26" s="189" t="str">
        <f t="shared" si="1"/>
        <v>na</v>
      </c>
      <c r="O26" s="187" t="str">
        <f t="shared" si="2"/>
        <v>na</v>
      </c>
      <c r="P26" s="51" t="str">
        <f t="shared" si="3"/>
        <v>na</v>
      </c>
      <c r="Q26" s="51" t="str">
        <f t="shared" si="4"/>
        <v>na</v>
      </c>
      <c r="R26" s="236" t="str">
        <f t="shared" si="5"/>
        <v>na</v>
      </c>
      <c r="S26" s="186"/>
      <c r="T26" s="186"/>
      <c r="U26" s="186"/>
      <c r="V26" s="186"/>
      <c r="W26" s="6">
        <f t="shared" si="12"/>
        <v>0</v>
      </c>
      <c r="X26" s="6">
        <f t="shared" si="13"/>
        <v>0</v>
      </c>
      <c r="Y26" s="65" t="str">
        <f t="shared" si="14"/>
        <v>na</v>
      </c>
      <c r="Z26" s="65" t="str">
        <f t="shared" si="16"/>
        <v>na</v>
      </c>
      <c r="AA26" s="65">
        <f t="shared" si="6"/>
        <v>0</v>
      </c>
      <c r="AB26" s="4"/>
      <c r="AC26" s="4"/>
      <c r="AG26" s="4"/>
      <c r="AH26" s="4"/>
      <c r="AI26" s="4"/>
    </row>
    <row r="27" spans="1:35" ht="11.25" customHeight="1" x14ac:dyDescent="0.15">
      <c r="A27" s="9" t="str">
        <f t="shared" si="17"/>
        <v/>
      </c>
      <c r="B27" s="47" t="str">
        <f t="shared" si="15"/>
        <v/>
      </c>
      <c r="C27" s="227"/>
      <c r="D27" s="246"/>
      <c r="E27" s="230"/>
      <c r="F27" s="187" t="str">
        <f t="shared" si="7"/>
        <v>na</v>
      </c>
      <c r="G27" s="187" t="str">
        <f t="shared" si="8"/>
        <v>na</v>
      </c>
      <c r="H27" s="188" t="str">
        <f t="shared" si="9"/>
        <v>na</v>
      </c>
      <c r="I27" s="249"/>
      <c r="J27" s="230"/>
      <c r="K27" s="187" t="str">
        <f t="shared" si="0"/>
        <v>na</v>
      </c>
      <c r="L27" s="187" t="str">
        <f t="shared" si="10"/>
        <v>na</v>
      </c>
      <c r="M27" s="188" t="str">
        <f t="shared" si="11"/>
        <v>na</v>
      </c>
      <c r="N27" s="189" t="str">
        <f t="shared" si="1"/>
        <v>na</v>
      </c>
      <c r="O27" s="187" t="str">
        <f t="shared" si="2"/>
        <v>na</v>
      </c>
      <c r="P27" s="51" t="str">
        <f t="shared" si="3"/>
        <v>na</v>
      </c>
      <c r="Q27" s="51" t="str">
        <f t="shared" si="4"/>
        <v>na</v>
      </c>
      <c r="R27" s="236" t="str">
        <f t="shared" si="5"/>
        <v>na</v>
      </c>
      <c r="S27" s="186"/>
      <c r="T27" s="186"/>
      <c r="U27" s="186"/>
      <c r="V27" s="186"/>
      <c r="W27" s="6">
        <f t="shared" si="12"/>
        <v>0</v>
      </c>
      <c r="X27" s="6">
        <f t="shared" si="13"/>
        <v>0</v>
      </c>
      <c r="Y27" s="65" t="str">
        <f t="shared" si="14"/>
        <v>na</v>
      </c>
      <c r="Z27" s="65" t="str">
        <f t="shared" si="16"/>
        <v>na</v>
      </c>
      <c r="AA27" s="65">
        <f t="shared" si="6"/>
        <v>0</v>
      </c>
      <c r="AB27" s="4"/>
      <c r="AC27" s="4"/>
      <c r="AG27" s="4"/>
      <c r="AH27" s="4"/>
      <c r="AI27" s="4"/>
    </row>
    <row r="28" spans="1:35" ht="11.25" customHeight="1" x14ac:dyDescent="0.15">
      <c r="A28" s="9" t="str">
        <f t="shared" si="17"/>
        <v/>
      </c>
      <c r="B28" s="47" t="str">
        <f t="shared" si="15"/>
        <v/>
      </c>
      <c r="C28" s="227"/>
      <c r="D28" s="246"/>
      <c r="E28" s="230"/>
      <c r="F28" s="187" t="str">
        <f t="shared" si="7"/>
        <v>na</v>
      </c>
      <c r="G28" s="187" t="str">
        <f t="shared" si="8"/>
        <v>na</v>
      </c>
      <c r="H28" s="188" t="str">
        <f t="shared" si="9"/>
        <v>na</v>
      </c>
      <c r="I28" s="249"/>
      <c r="J28" s="230"/>
      <c r="K28" s="187" t="str">
        <f t="shared" si="0"/>
        <v>na</v>
      </c>
      <c r="L28" s="187" t="str">
        <f t="shared" si="10"/>
        <v>na</v>
      </c>
      <c r="M28" s="188" t="str">
        <f t="shared" si="11"/>
        <v>na</v>
      </c>
      <c r="N28" s="189" t="str">
        <f t="shared" si="1"/>
        <v>na</v>
      </c>
      <c r="O28" s="187" t="str">
        <f t="shared" si="2"/>
        <v>na</v>
      </c>
      <c r="P28" s="51" t="str">
        <f t="shared" si="3"/>
        <v>na</v>
      </c>
      <c r="Q28" s="51" t="str">
        <f t="shared" si="4"/>
        <v>na</v>
      </c>
      <c r="R28" s="236" t="str">
        <f t="shared" si="5"/>
        <v>na</v>
      </c>
      <c r="S28" s="186"/>
      <c r="T28" s="186"/>
      <c r="U28" s="186"/>
      <c r="V28" s="186"/>
      <c r="W28" s="6">
        <f t="shared" si="12"/>
        <v>0</v>
      </c>
      <c r="X28" s="6">
        <f t="shared" si="13"/>
        <v>0</v>
      </c>
      <c r="Y28" s="65" t="str">
        <f t="shared" si="14"/>
        <v>na</v>
      </c>
      <c r="Z28" s="65" t="str">
        <f t="shared" si="16"/>
        <v>na</v>
      </c>
      <c r="AA28" s="65">
        <f t="shared" si="6"/>
        <v>0</v>
      </c>
      <c r="AB28" s="4"/>
      <c r="AC28" s="4"/>
      <c r="AG28" s="4"/>
      <c r="AH28" s="4"/>
      <c r="AI28" s="4"/>
    </row>
    <row r="29" spans="1:35" ht="11.25" customHeight="1" x14ac:dyDescent="0.15">
      <c r="A29" s="9" t="str">
        <f t="shared" si="17"/>
        <v/>
      </c>
      <c r="B29" s="47" t="str">
        <f t="shared" si="15"/>
        <v/>
      </c>
      <c r="C29" s="227"/>
      <c r="D29" s="246"/>
      <c r="E29" s="231"/>
      <c r="F29" s="187" t="str">
        <f t="shared" si="7"/>
        <v>na</v>
      </c>
      <c r="G29" s="187" t="str">
        <f t="shared" si="8"/>
        <v>na</v>
      </c>
      <c r="H29" s="188" t="str">
        <f t="shared" si="9"/>
        <v>na</v>
      </c>
      <c r="I29" s="249"/>
      <c r="J29" s="231"/>
      <c r="K29" s="187" t="str">
        <f t="shared" si="0"/>
        <v>na</v>
      </c>
      <c r="L29" s="187" t="str">
        <f t="shared" si="10"/>
        <v>na</v>
      </c>
      <c r="M29" s="188" t="str">
        <f t="shared" si="11"/>
        <v>na</v>
      </c>
      <c r="N29" s="189" t="str">
        <f t="shared" si="1"/>
        <v>na</v>
      </c>
      <c r="O29" s="187" t="str">
        <f t="shared" si="2"/>
        <v>na</v>
      </c>
      <c r="P29" s="51" t="str">
        <f t="shared" si="3"/>
        <v>na</v>
      </c>
      <c r="Q29" s="51" t="str">
        <f t="shared" si="4"/>
        <v>na</v>
      </c>
      <c r="R29" s="236" t="str">
        <f t="shared" si="5"/>
        <v>na</v>
      </c>
      <c r="S29" s="186"/>
      <c r="T29" s="186"/>
      <c r="U29" s="186"/>
      <c r="V29" s="186"/>
      <c r="W29" s="6">
        <f t="shared" si="12"/>
        <v>0</v>
      </c>
      <c r="X29" s="6">
        <f t="shared" si="13"/>
        <v>0</v>
      </c>
      <c r="Y29" s="65" t="str">
        <f t="shared" si="14"/>
        <v>na</v>
      </c>
      <c r="Z29" s="65" t="str">
        <f t="shared" si="16"/>
        <v>na</v>
      </c>
      <c r="AA29" s="65">
        <f t="shared" si="6"/>
        <v>0</v>
      </c>
      <c r="AB29" s="4"/>
      <c r="AC29" s="4"/>
      <c r="AG29" s="4"/>
      <c r="AH29" s="4"/>
      <c r="AI29" s="4"/>
    </row>
    <row r="30" spans="1:35" ht="11.25" customHeight="1" x14ac:dyDescent="0.15">
      <c r="A30" s="9" t="str">
        <f t="shared" si="17"/>
        <v/>
      </c>
      <c r="B30" s="47" t="str">
        <f t="shared" si="15"/>
        <v/>
      </c>
      <c r="C30" s="227"/>
      <c r="D30" s="246"/>
      <c r="E30" s="231"/>
      <c r="F30" s="187" t="str">
        <f t="shared" si="7"/>
        <v>na</v>
      </c>
      <c r="G30" s="187" t="str">
        <f t="shared" si="8"/>
        <v>na</v>
      </c>
      <c r="H30" s="188" t="str">
        <f t="shared" si="9"/>
        <v>na</v>
      </c>
      <c r="I30" s="249"/>
      <c r="J30" s="231"/>
      <c r="K30" s="187" t="str">
        <f t="shared" si="0"/>
        <v>na</v>
      </c>
      <c r="L30" s="187" t="str">
        <f t="shared" si="10"/>
        <v>na</v>
      </c>
      <c r="M30" s="188" t="str">
        <f t="shared" si="11"/>
        <v>na</v>
      </c>
      <c r="N30" s="189" t="str">
        <f t="shared" si="1"/>
        <v>na</v>
      </c>
      <c r="O30" s="187" t="str">
        <f t="shared" si="2"/>
        <v>na</v>
      </c>
      <c r="P30" s="51" t="str">
        <f t="shared" si="3"/>
        <v>na</v>
      </c>
      <c r="Q30" s="51" t="str">
        <f t="shared" si="4"/>
        <v>na</v>
      </c>
      <c r="R30" s="236" t="str">
        <f t="shared" si="5"/>
        <v>na</v>
      </c>
      <c r="S30" s="186"/>
      <c r="T30" s="186"/>
      <c r="U30" s="186"/>
      <c r="V30" s="186"/>
      <c r="W30" s="6">
        <f t="shared" si="12"/>
        <v>0</v>
      </c>
      <c r="X30" s="6">
        <f t="shared" si="13"/>
        <v>0</v>
      </c>
      <c r="Y30" s="65" t="str">
        <f t="shared" si="14"/>
        <v>na</v>
      </c>
      <c r="Z30" s="65" t="str">
        <f t="shared" si="16"/>
        <v>na</v>
      </c>
      <c r="AA30" s="65">
        <f t="shared" si="6"/>
        <v>0</v>
      </c>
      <c r="AB30" s="4"/>
      <c r="AC30" s="4"/>
      <c r="AG30" s="4"/>
      <c r="AH30" s="4"/>
      <c r="AI30" s="4"/>
    </row>
    <row r="31" spans="1:35" ht="11.25" customHeight="1" x14ac:dyDescent="0.15">
      <c r="A31" s="9" t="str">
        <f t="shared" si="17"/>
        <v/>
      </c>
      <c r="B31" s="47" t="str">
        <f t="shared" si="15"/>
        <v/>
      </c>
      <c r="C31" s="227"/>
      <c r="D31" s="246"/>
      <c r="E31" s="231"/>
      <c r="F31" s="187" t="str">
        <f t="shared" si="7"/>
        <v>na</v>
      </c>
      <c r="G31" s="187" t="str">
        <f t="shared" si="8"/>
        <v>na</v>
      </c>
      <c r="H31" s="188" t="str">
        <f t="shared" si="9"/>
        <v>na</v>
      </c>
      <c r="I31" s="249"/>
      <c r="J31" s="231"/>
      <c r="K31" s="187" t="str">
        <f t="shared" si="0"/>
        <v>na</v>
      </c>
      <c r="L31" s="187" t="str">
        <f t="shared" si="10"/>
        <v>na</v>
      </c>
      <c r="M31" s="188" t="str">
        <f t="shared" si="11"/>
        <v>na</v>
      </c>
      <c r="N31" s="189" t="str">
        <f t="shared" si="1"/>
        <v>na</v>
      </c>
      <c r="O31" s="187" t="str">
        <f t="shared" si="2"/>
        <v>na</v>
      </c>
      <c r="P31" s="51" t="str">
        <f t="shared" si="3"/>
        <v>na</v>
      </c>
      <c r="Q31" s="51" t="str">
        <f t="shared" si="4"/>
        <v>na</v>
      </c>
      <c r="R31" s="236" t="str">
        <f t="shared" si="5"/>
        <v>na</v>
      </c>
      <c r="S31" s="186"/>
      <c r="T31" s="186"/>
      <c r="U31" s="186"/>
      <c r="V31" s="186"/>
      <c r="W31" s="6">
        <f t="shared" si="12"/>
        <v>0</v>
      </c>
      <c r="X31" s="6">
        <f t="shared" si="13"/>
        <v>0</v>
      </c>
      <c r="Y31" s="65" t="str">
        <f t="shared" si="14"/>
        <v>na</v>
      </c>
      <c r="Z31" s="65" t="str">
        <f t="shared" si="16"/>
        <v>na</v>
      </c>
      <c r="AA31" s="65">
        <f t="shared" si="6"/>
        <v>0</v>
      </c>
      <c r="AB31" s="4"/>
      <c r="AC31" s="4"/>
      <c r="AG31" s="4"/>
      <c r="AH31" s="4"/>
      <c r="AI31" s="4"/>
    </row>
    <row r="32" spans="1:35" ht="11.25" customHeight="1" x14ac:dyDescent="0.15">
      <c r="A32" s="9" t="str">
        <f t="shared" si="17"/>
        <v/>
      </c>
      <c r="B32" s="47" t="str">
        <f t="shared" si="15"/>
        <v/>
      </c>
      <c r="C32" s="227"/>
      <c r="D32" s="246"/>
      <c r="E32" s="231"/>
      <c r="F32" s="187" t="str">
        <f t="shared" si="7"/>
        <v>na</v>
      </c>
      <c r="G32" s="187" t="str">
        <f t="shared" si="8"/>
        <v>na</v>
      </c>
      <c r="H32" s="188" t="str">
        <f t="shared" si="9"/>
        <v>na</v>
      </c>
      <c r="I32" s="249"/>
      <c r="J32" s="231"/>
      <c r="K32" s="187" t="str">
        <f t="shared" si="0"/>
        <v>na</v>
      </c>
      <c r="L32" s="187" t="str">
        <f t="shared" si="10"/>
        <v>na</v>
      </c>
      <c r="M32" s="188" t="str">
        <f t="shared" si="11"/>
        <v>na</v>
      </c>
      <c r="N32" s="189" t="str">
        <f t="shared" si="1"/>
        <v>na</v>
      </c>
      <c r="O32" s="187" t="str">
        <f t="shared" si="2"/>
        <v>na</v>
      </c>
      <c r="P32" s="51" t="str">
        <f t="shared" si="3"/>
        <v>na</v>
      </c>
      <c r="Q32" s="51" t="str">
        <f t="shared" si="4"/>
        <v>na</v>
      </c>
      <c r="R32" s="236" t="str">
        <f t="shared" si="5"/>
        <v>na</v>
      </c>
      <c r="S32" s="186"/>
      <c r="T32" s="186"/>
      <c r="U32" s="186"/>
      <c r="V32" s="186"/>
      <c r="W32" s="6">
        <f t="shared" si="12"/>
        <v>0</v>
      </c>
      <c r="X32" s="6">
        <f t="shared" si="13"/>
        <v>0</v>
      </c>
      <c r="Y32" s="65" t="str">
        <f t="shared" si="14"/>
        <v>na</v>
      </c>
      <c r="Z32" s="65" t="str">
        <f t="shared" si="16"/>
        <v>na</v>
      </c>
      <c r="AA32" s="65">
        <f t="shared" si="6"/>
        <v>0</v>
      </c>
      <c r="AB32" s="4"/>
      <c r="AC32" s="4"/>
      <c r="AG32" s="4"/>
      <c r="AH32" s="4"/>
      <c r="AI32" s="4"/>
    </row>
    <row r="33" spans="1:35" ht="11.25" customHeight="1" x14ac:dyDescent="0.15">
      <c r="A33" s="9" t="str">
        <f t="shared" si="17"/>
        <v/>
      </c>
      <c r="B33" s="47" t="str">
        <f t="shared" si="15"/>
        <v/>
      </c>
      <c r="C33" s="227"/>
      <c r="D33" s="246"/>
      <c r="E33" s="231"/>
      <c r="F33" s="187" t="str">
        <f t="shared" si="7"/>
        <v>na</v>
      </c>
      <c r="G33" s="187" t="str">
        <f t="shared" si="8"/>
        <v>na</v>
      </c>
      <c r="H33" s="188" t="str">
        <f t="shared" si="9"/>
        <v>na</v>
      </c>
      <c r="I33" s="249"/>
      <c r="J33" s="231"/>
      <c r="K33" s="187" t="str">
        <f t="shared" si="0"/>
        <v>na</v>
      </c>
      <c r="L33" s="187" t="str">
        <f t="shared" si="10"/>
        <v>na</v>
      </c>
      <c r="M33" s="188" t="str">
        <f t="shared" si="11"/>
        <v>na</v>
      </c>
      <c r="N33" s="189" t="str">
        <f t="shared" si="1"/>
        <v>na</v>
      </c>
      <c r="O33" s="187" t="str">
        <f t="shared" si="2"/>
        <v>na</v>
      </c>
      <c r="P33" s="51" t="str">
        <f t="shared" si="3"/>
        <v>na</v>
      </c>
      <c r="Q33" s="51" t="str">
        <f t="shared" si="4"/>
        <v>na</v>
      </c>
      <c r="R33" s="236" t="str">
        <f t="shared" si="5"/>
        <v>na</v>
      </c>
      <c r="S33" s="186"/>
      <c r="T33" s="186"/>
      <c r="U33" s="186"/>
      <c r="V33" s="186"/>
      <c r="W33" s="6">
        <f t="shared" si="12"/>
        <v>0</v>
      </c>
      <c r="X33" s="6">
        <f t="shared" si="13"/>
        <v>0</v>
      </c>
      <c r="Y33" s="65" t="str">
        <f t="shared" si="14"/>
        <v>na</v>
      </c>
      <c r="Z33" s="65" t="str">
        <f t="shared" si="16"/>
        <v>na</v>
      </c>
      <c r="AA33" s="65">
        <f t="shared" si="6"/>
        <v>0</v>
      </c>
      <c r="AB33" s="4"/>
      <c r="AC33" s="4"/>
      <c r="AG33" s="4"/>
      <c r="AH33" s="4"/>
      <c r="AI33" s="4"/>
    </row>
    <row r="34" spans="1:35" ht="11.25" customHeight="1" x14ac:dyDescent="0.15">
      <c r="A34" s="9" t="str">
        <f t="shared" si="17"/>
        <v/>
      </c>
      <c r="B34" s="47" t="str">
        <f t="shared" si="15"/>
        <v/>
      </c>
      <c r="C34" s="227"/>
      <c r="D34" s="246"/>
      <c r="E34" s="231"/>
      <c r="F34" s="187" t="str">
        <f t="shared" si="7"/>
        <v>na</v>
      </c>
      <c r="G34" s="187" t="str">
        <f t="shared" si="8"/>
        <v>na</v>
      </c>
      <c r="H34" s="188" t="str">
        <f t="shared" si="9"/>
        <v>na</v>
      </c>
      <c r="I34" s="249"/>
      <c r="J34" s="231"/>
      <c r="K34" s="187" t="str">
        <f t="shared" si="0"/>
        <v>na</v>
      </c>
      <c r="L34" s="187" t="str">
        <f t="shared" si="10"/>
        <v>na</v>
      </c>
      <c r="M34" s="188" t="str">
        <f t="shared" si="11"/>
        <v>na</v>
      </c>
      <c r="N34" s="189" t="str">
        <f t="shared" si="1"/>
        <v>na</v>
      </c>
      <c r="O34" s="187" t="str">
        <f t="shared" si="2"/>
        <v>na</v>
      </c>
      <c r="P34" s="51" t="str">
        <f t="shared" si="3"/>
        <v>na</v>
      </c>
      <c r="Q34" s="51" t="str">
        <f t="shared" si="4"/>
        <v>na</v>
      </c>
      <c r="R34" s="236" t="str">
        <f t="shared" si="5"/>
        <v>na</v>
      </c>
      <c r="S34" s="186"/>
      <c r="T34" s="186"/>
      <c r="U34" s="186"/>
      <c r="V34" s="186"/>
      <c r="W34" s="6">
        <f t="shared" si="12"/>
        <v>0</v>
      </c>
      <c r="X34" s="6">
        <f t="shared" si="13"/>
        <v>0</v>
      </c>
      <c r="Y34" s="65" t="str">
        <f t="shared" si="14"/>
        <v>na</v>
      </c>
      <c r="Z34" s="65" t="str">
        <f t="shared" si="16"/>
        <v>na</v>
      </c>
      <c r="AA34" s="65">
        <f t="shared" si="6"/>
        <v>0</v>
      </c>
      <c r="AB34" s="4"/>
      <c r="AC34" s="4"/>
      <c r="AG34" s="4"/>
      <c r="AH34" s="4"/>
      <c r="AI34" s="4"/>
    </row>
    <row r="35" spans="1:35" ht="11.25" customHeight="1" x14ac:dyDescent="0.15">
      <c r="A35" s="9" t="str">
        <f t="shared" si="17"/>
        <v/>
      </c>
      <c r="B35" s="47" t="str">
        <f t="shared" si="15"/>
        <v/>
      </c>
      <c r="C35" s="227"/>
      <c r="D35" s="246"/>
      <c r="E35" s="231"/>
      <c r="F35" s="187" t="str">
        <f t="shared" si="7"/>
        <v>na</v>
      </c>
      <c r="G35" s="187" t="str">
        <f t="shared" si="8"/>
        <v>na</v>
      </c>
      <c r="H35" s="188" t="str">
        <f t="shared" si="9"/>
        <v>na</v>
      </c>
      <c r="I35" s="249"/>
      <c r="J35" s="231"/>
      <c r="K35" s="187" t="str">
        <f t="shared" si="0"/>
        <v>na</v>
      </c>
      <c r="L35" s="187" t="str">
        <f t="shared" si="10"/>
        <v>na</v>
      </c>
      <c r="M35" s="188" t="str">
        <f t="shared" si="11"/>
        <v>na</v>
      </c>
      <c r="N35" s="189" t="str">
        <f t="shared" si="1"/>
        <v>na</v>
      </c>
      <c r="O35" s="187" t="str">
        <f t="shared" si="2"/>
        <v>na</v>
      </c>
      <c r="P35" s="51" t="str">
        <f t="shared" si="3"/>
        <v>na</v>
      </c>
      <c r="Q35" s="51" t="str">
        <f t="shared" si="4"/>
        <v>na</v>
      </c>
      <c r="R35" s="236" t="str">
        <f t="shared" si="5"/>
        <v>na</v>
      </c>
      <c r="S35" s="186"/>
      <c r="T35" s="186"/>
      <c r="U35" s="186"/>
      <c r="V35" s="186"/>
      <c r="W35" s="6">
        <f t="shared" si="12"/>
        <v>0</v>
      </c>
      <c r="X35" s="6">
        <f t="shared" si="13"/>
        <v>0</v>
      </c>
      <c r="Y35" s="65" t="str">
        <f t="shared" si="14"/>
        <v>na</v>
      </c>
      <c r="Z35" s="65" t="str">
        <f t="shared" si="16"/>
        <v>na</v>
      </c>
      <c r="AA35" s="65">
        <f t="shared" si="6"/>
        <v>0</v>
      </c>
      <c r="AB35" s="4"/>
      <c r="AC35" s="4"/>
      <c r="AG35" s="4"/>
      <c r="AH35" s="4"/>
      <c r="AI35" s="4"/>
    </row>
    <row r="36" spans="1:35" ht="11.25" customHeight="1" x14ac:dyDescent="0.15">
      <c r="A36" s="9" t="str">
        <f t="shared" si="17"/>
        <v/>
      </c>
      <c r="B36" s="47" t="str">
        <f t="shared" si="15"/>
        <v/>
      </c>
      <c r="C36" s="227"/>
      <c r="D36" s="246"/>
      <c r="E36" s="231"/>
      <c r="F36" s="187" t="str">
        <f t="shared" si="7"/>
        <v>na</v>
      </c>
      <c r="G36" s="187" t="str">
        <f t="shared" si="8"/>
        <v>na</v>
      </c>
      <c r="H36" s="188" t="str">
        <f t="shared" si="9"/>
        <v>na</v>
      </c>
      <c r="I36" s="249"/>
      <c r="J36" s="231"/>
      <c r="K36" s="187" t="str">
        <f t="shared" si="0"/>
        <v>na</v>
      </c>
      <c r="L36" s="187" t="str">
        <f t="shared" si="10"/>
        <v>na</v>
      </c>
      <c r="M36" s="188" t="str">
        <f t="shared" si="11"/>
        <v>na</v>
      </c>
      <c r="N36" s="189" t="str">
        <f t="shared" si="1"/>
        <v>na</v>
      </c>
      <c r="O36" s="187" t="str">
        <f t="shared" si="2"/>
        <v>na</v>
      </c>
      <c r="P36" s="51" t="str">
        <f t="shared" si="3"/>
        <v>na</v>
      </c>
      <c r="Q36" s="51" t="str">
        <f t="shared" si="4"/>
        <v>na</v>
      </c>
      <c r="R36" s="236" t="str">
        <f t="shared" si="5"/>
        <v>na</v>
      </c>
      <c r="S36" s="186"/>
      <c r="T36" s="186"/>
      <c r="U36" s="186"/>
      <c r="V36" s="186"/>
      <c r="W36" s="6">
        <f t="shared" si="12"/>
        <v>0</v>
      </c>
      <c r="X36" s="6">
        <f t="shared" si="13"/>
        <v>0</v>
      </c>
      <c r="Y36" s="65" t="str">
        <f t="shared" si="14"/>
        <v>na</v>
      </c>
      <c r="Z36" s="65" t="str">
        <f t="shared" si="16"/>
        <v>na</v>
      </c>
      <c r="AA36" s="65">
        <f t="shared" si="6"/>
        <v>0</v>
      </c>
      <c r="AB36" s="4"/>
      <c r="AC36" s="4"/>
      <c r="AG36" s="4"/>
      <c r="AH36" s="4"/>
      <c r="AI36" s="4"/>
    </row>
    <row r="37" spans="1:35" ht="11.25" customHeight="1" x14ac:dyDescent="0.15">
      <c r="A37" s="9" t="str">
        <f t="shared" si="17"/>
        <v/>
      </c>
      <c r="B37" s="47" t="str">
        <f t="shared" si="15"/>
        <v/>
      </c>
      <c r="C37" s="227"/>
      <c r="D37" s="246"/>
      <c r="E37" s="231"/>
      <c r="F37" s="187" t="str">
        <f t="shared" si="7"/>
        <v>na</v>
      </c>
      <c r="G37" s="187" t="str">
        <f t="shared" si="8"/>
        <v>na</v>
      </c>
      <c r="H37" s="188" t="str">
        <f t="shared" si="9"/>
        <v>na</v>
      </c>
      <c r="I37" s="249"/>
      <c r="J37" s="231"/>
      <c r="K37" s="187" t="str">
        <f t="shared" si="0"/>
        <v>na</v>
      </c>
      <c r="L37" s="187" t="str">
        <f t="shared" si="10"/>
        <v>na</v>
      </c>
      <c r="M37" s="188" t="str">
        <f t="shared" si="11"/>
        <v>na</v>
      </c>
      <c r="N37" s="189" t="str">
        <f t="shared" si="1"/>
        <v>na</v>
      </c>
      <c r="O37" s="187" t="str">
        <f t="shared" si="2"/>
        <v>na</v>
      </c>
      <c r="P37" s="51" t="str">
        <f t="shared" si="3"/>
        <v>na</v>
      </c>
      <c r="Q37" s="51" t="str">
        <f t="shared" si="4"/>
        <v>na</v>
      </c>
      <c r="R37" s="236" t="str">
        <f t="shared" si="5"/>
        <v>na</v>
      </c>
      <c r="S37" s="186"/>
      <c r="T37" s="186"/>
      <c r="U37" s="186"/>
      <c r="V37" s="186"/>
      <c r="W37" s="6">
        <f t="shared" si="12"/>
        <v>0</v>
      </c>
      <c r="X37" s="6">
        <f t="shared" si="13"/>
        <v>0</v>
      </c>
      <c r="Y37" s="65" t="str">
        <f t="shared" si="14"/>
        <v>na</v>
      </c>
      <c r="Z37" s="65" t="str">
        <f t="shared" si="16"/>
        <v>na</v>
      </c>
      <c r="AA37" s="65">
        <f t="shared" si="6"/>
        <v>0</v>
      </c>
      <c r="AB37" s="4"/>
      <c r="AC37" s="4"/>
      <c r="AG37" s="4"/>
      <c r="AH37" s="4"/>
      <c r="AI37" s="4"/>
    </row>
    <row r="38" spans="1:35" ht="11.25" customHeight="1" x14ac:dyDescent="0.15">
      <c r="A38" s="9" t="str">
        <f t="shared" si="17"/>
        <v/>
      </c>
      <c r="B38" s="47" t="str">
        <f t="shared" si="15"/>
        <v/>
      </c>
      <c r="C38" s="227"/>
      <c r="D38" s="246"/>
      <c r="E38" s="231"/>
      <c r="F38" s="187" t="str">
        <f t="shared" si="7"/>
        <v>na</v>
      </c>
      <c r="G38" s="187" t="str">
        <f t="shared" si="8"/>
        <v>na</v>
      </c>
      <c r="H38" s="188" t="str">
        <f t="shared" si="9"/>
        <v>na</v>
      </c>
      <c r="I38" s="249"/>
      <c r="J38" s="231"/>
      <c r="K38" s="187" t="str">
        <f t="shared" si="0"/>
        <v>na</v>
      </c>
      <c r="L38" s="187" t="str">
        <f t="shared" si="10"/>
        <v>na</v>
      </c>
      <c r="M38" s="188" t="str">
        <f t="shared" si="11"/>
        <v>na</v>
      </c>
      <c r="N38" s="189" t="str">
        <f t="shared" si="1"/>
        <v>na</v>
      </c>
      <c r="O38" s="187" t="str">
        <f t="shared" si="2"/>
        <v>na</v>
      </c>
      <c r="P38" s="51" t="str">
        <f t="shared" si="3"/>
        <v>na</v>
      </c>
      <c r="Q38" s="51" t="str">
        <f t="shared" si="4"/>
        <v>na</v>
      </c>
      <c r="R38" s="236" t="str">
        <f t="shared" si="5"/>
        <v>na</v>
      </c>
      <c r="S38" s="186"/>
      <c r="T38" s="186"/>
      <c r="U38" s="186"/>
      <c r="V38" s="186"/>
      <c r="W38" s="6">
        <f t="shared" si="12"/>
        <v>0</v>
      </c>
      <c r="X38" s="6">
        <f t="shared" si="13"/>
        <v>0</v>
      </c>
      <c r="Y38" s="65" t="str">
        <f t="shared" si="14"/>
        <v>na</v>
      </c>
      <c r="Z38" s="65" t="str">
        <f t="shared" si="16"/>
        <v>na</v>
      </c>
      <c r="AA38" s="65">
        <f t="shared" si="6"/>
        <v>0</v>
      </c>
      <c r="AB38" s="4"/>
      <c r="AC38" s="4"/>
      <c r="AG38" s="4"/>
      <c r="AH38" s="4"/>
      <c r="AI38" s="4"/>
    </row>
    <row r="39" spans="1:35" ht="11.25" customHeight="1" x14ac:dyDescent="0.15">
      <c r="A39" s="9" t="str">
        <f t="shared" si="17"/>
        <v/>
      </c>
      <c r="B39" s="47" t="str">
        <f>C39 &amp; IF(C40&lt;&gt;"", " to " &amp; C40, IF(C39&lt;&gt;"", " onwards",""))</f>
        <v/>
      </c>
      <c r="C39" s="227"/>
      <c r="D39" s="246"/>
      <c r="E39" s="231"/>
      <c r="F39" s="187" t="str">
        <f>IF(E40&lt;&gt;"",(E39+E40)*D39/(D39+D40),"na")</f>
        <v>na</v>
      </c>
      <c r="G39" s="187" t="str">
        <f>IF(AND(E39&lt;&gt;"",E40&lt;&gt;""),(E39+E40)*(D39-D40)/(D39+D40),"na")</f>
        <v>na</v>
      </c>
      <c r="H39" s="188" t="str">
        <f>IF(AND(E39&lt;&gt;"",E40&lt;&gt;""),2*((E39*D40)-(E40*D39))/(D39+D40),"na")</f>
        <v>na</v>
      </c>
      <c r="I39" s="249"/>
      <c r="J39" s="231"/>
      <c r="K39" s="187" t="str">
        <f>IF(J40&lt;&gt;"",(J39+J40)*I39/(I39+I40),"na")</f>
        <v>na</v>
      </c>
      <c r="L39" s="187" t="str">
        <f>IF(AND(J39&lt;&gt;"",J40&lt;&gt;""),(J39+J40)*(I39-I40)/(I39+I40),"na")</f>
        <v>na</v>
      </c>
      <c r="M39" s="188" t="str">
        <f>IF(AND(J39&lt;&gt;"",J40&lt;&gt;""),2*((J39*I40)-(J40*I39))/(I39+I40),"na")</f>
        <v>na</v>
      </c>
      <c r="N39" s="189" t="str">
        <f t="shared" si="1"/>
        <v>na</v>
      </c>
      <c r="O39" s="187" t="str">
        <f t="shared" si="2"/>
        <v>na</v>
      </c>
      <c r="P39" s="51" t="str">
        <f t="shared" si="3"/>
        <v>na</v>
      </c>
      <c r="Q39" s="51" t="str">
        <f t="shared" si="4"/>
        <v>na</v>
      </c>
      <c r="R39" s="236" t="str">
        <f t="shared" si="5"/>
        <v>na</v>
      </c>
      <c r="S39" s="186"/>
      <c r="T39" s="186"/>
      <c r="U39" s="186"/>
      <c r="V39" s="186"/>
      <c r="W39" s="6">
        <f t="shared" si="12"/>
        <v>0</v>
      </c>
      <c r="X39" s="6">
        <f t="shared" si="13"/>
        <v>0</v>
      </c>
      <c r="Y39" s="65" t="str">
        <f t="shared" si="14"/>
        <v>na</v>
      </c>
      <c r="Z39" s="65" t="str">
        <f t="shared" si="16"/>
        <v>na</v>
      </c>
      <c r="AA39" s="65">
        <f t="shared" si="6"/>
        <v>0</v>
      </c>
      <c r="AB39" s="4"/>
      <c r="AC39" s="4"/>
      <c r="AG39" s="4"/>
      <c r="AH39" s="4"/>
      <c r="AI39" s="4"/>
    </row>
    <row r="40" spans="1:35" ht="11.25" customHeight="1" thickBot="1" x14ac:dyDescent="0.2">
      <c r="A40" s="9" t="str">
        <f t="shared" si="17"/>
        <v/>
      </c>
      <c r="B40" s="54" t="str">
        <f>C40 &amp; IF(C41&lt;&gt;"", " to " &amp; C41, IF(C40&lt;&gt;"", " onwards",""))</f>
        <v/>
      </c>
      <c r="C40" s="228"/>
      <c r="D40" s="247"/>
      <c r="E40" s="232"/>
      <c r="F40" s="190" t="str">
        <f>IF(E41&lt;&gt;"",(E40+E41)*D40/(D40+D41),"na")</f>
        <v>na</v>
      </c>
      <c r="G40" s="190" t="str">
        <f>IF(AND(E40&lt;&gt;"",E41&lt;&gt;""),(E40+E41)*(D40-D41)/(D40+D41),"na")</f>
        <v>na</v>
      </c>
      <c r="H40" s="191" t="str">
        <f>IF(AND(E40&lt;&gt;"",E41&lt;&gt;""),2*((E40*D41)-(E41*D40))/(D40+D41),"na")</f>
        <v>na</v>
      </c>
      <c r="I40" s="250"/>
      <c r="J40" s="232"/>
      <c r="K40" s="190" t="str">
        <f>IF(J41&lt;&gt;"",(J40+J41)*I40/(I40+I41),"na")</f>
        <v>na</v>
      </c>
      <c r="L40" s="190" t="str">
        <f>IF(AND(J40&lt;&gt;"",J41&lt;&gt;""),(J40+J41)*(I40-I41)/(I40+I41),"na")</f>
        <v>na</v>
      </c>
      <c r="M40" s="191" t="str">
        <f>IF(AND(J40&lt;&gt;"",J41&lt;&gt;""),2*((J40*I41)-(J41*I40))/(I40+I41),"na")</f>
        <v>na</v>
      </c>
      <c r="N40" s="192" t="str">
        <f t="shared" si="1"/>
        <v>na</v>
      </c>
      <c r="O40" s="190" t="str">
        <f t="shared" si="2"/>
        <v>na</v>
      </c>
      <c r="P40" s="56" t="str">
        <f t="shared" si="3"/>
        <v>na</v>
      </c>
      <c r="Q40" s="56" t="str">
        <f t="shared" si="4"/>
        <v>na</v>
      </c>
      <c r="R40" s="237" t="str">
        <f t="shared" si="5"/>
        <v>na</v>
      </c>
      <c r="S40" s="186"/>
      <c r="T40" s="186"/>
      <c r="U40" s="186"/>
      <c r="V40" s="186"/>
      <c r="W40" s="6">
        <f t="shared" si="12"/>
        <v>0</v>
      </c>
      <c r="X40" s="6">
        <f t="shared" si="13"/>
        <v>0</v>
      </c>
      <c r="Y40" s="65" t="str">
        <f t="shared" si="14"/>
        <v>na</v>
      </c>
      <c r="Z40" s="65" t="str">
        <f t="shared" si="16"/>
        <v>na</v>
      </c>
      <c r="AA40" s="65">
        <f t="shared" si="6"/>
        <v>0</v>
      </c>
      <c r="AB40" s="4"/>
      <c r="AC40" s="4"/>
      <c r="AG40" s="4"/>
      <c r="AH40" s="4"/>
      <c r="AI40" s="4"/>
    </row>
    <row r="41" spans="1:35" ht="11.25" customHeight="1" x14ac:dyDescent="0.15">
      <c r="AG41" s="4"/>
      <c r="AH41" s="4"/>
      <c r="AI41" s="4"/>
    </row>
    <row r="42" spans="1:35" ht="11.25" customHeight="1" x14ac:dyDescent="0.15">
      <c r="AG42" s="4"/>
      <c r="AH42" s="4"/>
      <c r="AI42" s="4"/>
    </row>
    <row r="43" spans="1:35" ht="11.25" customHeight="1" x14ac:dyDescent="0.15">
      <c r="AG43" s="4"/>
      <c r="AH43" s="4"/>
      <c r="AI43" s="4"/>
    </row>
    <row r="44" spans="1:35" ht="11.25" customHeight="1" x14ac:dyDescent="0.15">
      <c r="B44" s="4" t="s">
        <v>100</v>
      </c>
      <c r="AG44" s="4"/>
      <c r="AH44" s="4"/>
      <c r="AI44" s="4"/>
    </row>
    <row r="45" spans="1:35" ht="11.25" customHeight="1" x14ac:dyDescent="0.15">
      <c r="AG45" s="4"/>
      <c r="AH45" s="4"/>
      <c r="AI45" s="4"/>
    </row>
    <row r="46" spans="1:35" ht="11.25" customHeight="1" x14ac:dyDescent="0.15">
      <c r="AG46" s="4"/>
      <c r="AH46" s="4"/>
      <c r="AI46" s="4"/>
    </row>
    <row r="47" spans="1:35" ht="11.25" customHeight="1" x14ac:dyDescent="0.15">
      <c r="AG47" s="4"/>
      <c r="AH47" s="4"/>
      <c r="AI47" s="4"/>
    </row>
    <row r="48" spans="1:35" ht="11.25" customHeight="1" x14ac:dyDescent="0.15">
      <c r="AG48" s="4"/>
      <c r="AH48" s="4"/>
      <c r="AI48" s="4"/>
    </row>
    <row r="49" spans="33:35" ht="11.25" customHeight="1" x14ac:dyDescent="0.15">
      <c r="AG49" s="4"/>
      <c r="AH49" s="4"/>
      <c r="AI49" s="4"/>
    </row>
    <row r="50" spans="33:35" ht="11.25" customHeight="1" x14ac:dyDescent="0.15">
      <c r="AG50" s="4"/>
      <c r="AH50" s="4"/>
      <c r="AI50" s="4"/>
    </row>
    <row r="51" spans="33:35" ht="11.25" customHeight="1" x14ac:dyDescent="0.15">
      <c r="AG51" s="4"/>
      <c r="AH51" s="4"/>
      <c r="AI51" s="4"/>
    </row>
  </sheetData>
  <sheetProtection password="C476" sheet="1" objects="1" scenarios="1"/>
  <mergeCells count="5">
    <mergeCell ref="B2:G2"/>
    <mergeCell ref="J2:L2"/>
    <mergeCell ref="O12:P12"/>
    <mergeCell ref="D12:H12"/>
    <mergeCell ref="I12:M12"/>
  </mergeCells>
  <phoneticPr fontId="0" type="noConversion"/>
  <pageMargins left="0.22" right="0.2" top="0.4" bottom="0.3" header="0.31" footer="0.22"/>
  <pageSetup paperSize="9" orientation="landscape" horizontalDpi="200" verticalDpi="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6" r:id="rId4" name="Button 36">
              <controlPr defaultSize="0" print="0" autoFill="0" autoPict="0" macro="[0]!Clear3a">
                <anchor moveWithCells="1" sizeWithCells="1">
                  <from>
                    <xdr:col>14</xdr:col>
                    <xdr:colOff>114300</xdr:colOff>
                    <xdr:row>1</xdr:row>
                    <xdr:rowOff>38100</xdr:rowOff>
                  </from>
                  <to>
                    <xdr:col>15</xdr:col>
                    <xdr:colOff>323850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7" r:id="rId5" name="Button 37">
              <controlPr defaultSize="0" print="0" autoFill="0" autoPict="0" macro="[0]!PrintPage">
                <anchor moveWithCells="1" sizeWithCells="1">
                  <from>
                    <xdr:col>16</xdr:col>
                    <xdr:colOff>9525</xdr:colOff>
                    <xdr:row>1</xdr:row>
                    <xdr:rowOff>19050</xdr:rowOff>
                  </from>
                  <to>
                    <xdr:col>17</xdr:col>
                    <xdr:colOff>276225</xdr:colOff>
                    <xdr:row>2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T54"/>
  <sheetViews>
    <sheetView zoomScaleNormal="100" workbookViewId="0">
      <pane ySplit="43" topLeftCell="A44" activePane="bottomLeft" state="frozen"/>
      <selection pane="bottomLeft" activeCell="C12" sqref="C12"/>
    </sheetView>
  </sheetViews>
  <sheetFormatPr defaultRowHeight="10.5" x14ac:dyDescent="0.15"/>
  <cols>
    <col min="1" max="1" width="7.7109375" style="4" customWidth="1"/>
    <col min="2" max="2" width="9.85546875" style="4" customWidth="1"/>
    <col min="3" max="3" width="8.140625" style="6" customWidth="1"/>
    <col min="4" max="4" width="6.7109375" style="6" customWidth="1"/>
    <col min="5" max="15" width="6.5703125" style="6" customWidth="1"/>
    <col min="16" max="16" width="7.140625" style="4" customWidth="1"/>
    <col min="17" max="17" width="6.85546875" style="6" customWidth="1"/>
    <col min="18" max="18" width="9.42578125" style="6" customWidth="1"/>
    <col min="19" max="19" width="6.85546875" style="6" customWidth="1"/>
    <col min="20" max="16384" width="9.140625" style="4"/>
  </cols>
  <sheetData>
    <row r="1" spans="1:20" x14ac:dyDescent="0.15"/>
    <row r="2" spans="1:20" ht="10.5" customHeight="1" x14ac:dyDescent="0.15">
      <c r="A2" s="7" t="s">
        <v>90</v>
      </c>
      <c r="B2" s="299" t="str">
        <f>'(1)_Summary_Data'!B2</f>
        <v>[Enter trial name]</v>
      </c>
      <c r="C2" s="300"/>
      <c r="D2" s="300"/>
      <c r="E2" s="300"/>
      <c r="F2" s="301"/>
      <c r="P2" s="298">
        <f ca="1">NOW()</f>
        <v>44969.70508634259</v>
      </c>
      <c r="Q2" s="298"/>
      <c r="R2" s="298"/>
    </row>
    <row r="3" spans="1:20" x14ac:dyDescent="0.15">
      <c r="C3" s="4"/>
      <c r="D3" s="4"/>
      <c r="E3" s="4"/>
      <c r="I3" s="73"/>
      <c r="R3" s="5" t="s">
        <v>75</v>
      </c>
    </row>
    <row r="4" spans="1:20" x14ac:dyDescent="0.15">
      <c r="A4" s="7"/>
      <c r="B4" s="7"/>
      <c r="C4" s="7"/>
      <c r="D4" s="305" t="s">
        <v>172</v>
      </c>
      <c r="E4" s="305"/>
      <c r="F4" s="305"/>
      <c r="G4" s="305"/>
      <c r="H4" s="305"/>
      <c r="I4" s="305"/>
      <c r="J4" s="305"/>
      <c r="K4" s="305"/>
      <c r="L4" s="305"/>
      <c r="M4" s="305"/>
      <c r="N4" s="305"/>
      <c r="O4" s="305"/>
    </row>
    <row r="5" spans="1:20" ht="11.25" thickBot="1" x14ac:dyDescent="0.2">
      <c r="A5" s="7"/>
      <c r="B5" s="7"/>
      <c r="C5" s="7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112"/>
      <c r="O5" s="112"/>
    </row>
    <row r="6" spans="1:20" ht="11.25" thickBot="1" x14ac:dyDescent="0.2">
      <c r="B6" s="46"/>
      <c r="C6" s="264" t="s">
        <v>3</v>
      </c>
      <c r="D6" s="23">
        <v>1</v>
      </c>
      <c r="E6" s="261" t="s">
        <v>79</v>
      </c>
      <c r="F6" s="261" t="s">
        <v>80</v>
      </c>
      <c r="G6" s="261" t="s">
        <v>81</v>
      </c>
      <c r="H6" s="261">
        <v>3</v>
      </c>
      <c r="I6" s="261">
        <v>4</v>
      </c>
      <c r="J6" s="261">
        <v>5</v>
      </c>
      <c r="K6" s="261">
        <v>6</v>
      </c>
      <c r="L6" s="261">
        <v>7</v>
      </c>
      <c r="M6" s="261">
        <v>8</v>
      </c>
      <c r="N6" s="261">
        <v>9</v>
      </c>
      <c r="O6" s="262">
        <v>10</v>
      </c>
      <c r="P6" s="263">
        <v>11</v>
      </c>
      <c r="Q6" s="4"/>
      <c r="T6" s="6"/>
    </row>
    <row r="7" spans="1:20" ht="11.25" thickBot="1" x14ac:dyDescent="0.2">
      <c r="B7" s="13"/>
      <c r="C7" s="265" t="s">
        <v>203</v>
      </c>
      <c r="D7" s="266" t="str">
        <f>'(1)_Summary_Data'!$X$12</f>
        <v>No</v>
      </c>
      <c r="E7" s="267" t="str">
        <f>'(1)_Summary_Data'!$X$9</f>
        <v>No</v>
      </c>
      <c r="F7" s="267" t="str">
        <f>'(1)_Summary_Data'!$X$10</f>
        <v>No</v>
      </c>
      <c r="G7" s="267" t="str">
        <f>'(1)_Summary_Data'!$X$11</f>
        <v>No</v>
      </c>
      <c r="H7" s="267" t="str">
        <f>'(1)_Summary_Data'!$X$13</f>
        <v>No</v>
      </c>
      <c r="I7" s="267" t="str">
        <f>'(1)_Summary_Data'!$X$15</f>
        <v>No</v>
      </c>
      <c r="J7" s="267" t="str">
        <f>'(1)_Summary_Data'!$X$14</f>
        <v>No</v>
      </c>
      <c r="K7" s="267" t="str">
        <f>'(1)_Summary_Data'!$X$16</f>
        <v>No</v>
      </c>
      <c r="L7" s="267" t="str">
        <f>'(1)_Summary_Data'!$X$18</f>
        <v>No</v>
      </c>
      <c r="M7" s="267" t="str">
        <f>'(1)_Summary_Data'!$X$17</f>
        <v>No</v>
      </c>
      <c r="N7" s="267" t="str">
        <f>'(1)_Summary_Data'!$X$19</f>
        <v>No</v>
      </c>
      <c r="O7" s="267" t="e">
        <f>IF(AND('(2a)_Curve_Data'!$Q$14&lt;&gt;"na",'(2a)_Curve_Data'!$Q$17&lt;&gt;""), "Yes","No")</f>
        <v>#VALUE!</v>
      </c>
      <c r="P7" s="268" t="str">
        <f>IF('(3a)_Curve_Data_with_n(risk)'!$R$5&lt;&gt;"na", "Yes","No")</f>
        <v>No</v>
      </c>
      <c r="Q7" s="106"/>
      <c r="T7" s="6"/>
    </row>
    <row r="8" spans="1:20" x14ac:dyDescent="0.15">
      <c r="B8" s="15" t="s">
        <v>202</v>
      </c>
      <c r="C8" s="269"/>
      <c r="D8" s="275"/>
      <c r="E8" s="276"/>
      <c r="F8" s="276"/>
      <c r="G8" s="276"/>
      <c r="H8" s="276"/>
      <c r="I8" s="276"/>
      <c r="J8" s="276"/>
      <c r="K8" s="276"/>
      <c r="L8" s="276"/>
      <c r="M8" s="276"/>
      <c r="N8" s="276"/>
      <c r="O8" s="276"/>
      <c r="P8" s="277"/>
      <c r="Q8" s="16" t="s">
        <v>202</v>
      </c>
      <c r="T8" s="6"/>
    </row>
    <row r="9" spans="1:20" x14ac:dyDescent="0.15">
      <c r="B9" s="5" t="s">
        <v>0</v>
      </c>
      <c r="C9" s="125" t="str">
        <f>IF('(1)_Summary_Data'!$D$15&lt;&gt;"",'(1)_Summary_Data'!$D$15,"na")</f>
        <v>na</v>
      </c>
      <c r="D9" s="242" t="str">
        <f>IF('(1)_Summary_Data'!$W$12=1,((D21/D23)/(D22/D24)),"na")</f>
        <v>na</v>
      </c>
      <c r="E9" s="109" t="str">
        <f>IF('(1)_Summary_Data'!$W$9=1,'(1)_Summary_Data'!$D$15,"na")</f>
        <v>na</v>
      </c>
      <c r="F9" s="109" t="str">
        <f>IF('(1)_Summary_Data'!$W$10=1,'(1)_Summary_Data'!$D$15,"na")</f>
        <v>na</v>
      </c>
      <c r="G9" s="117" t="str">
        <f>IF('(1)_Summary_Data'!$W$11=1,EXP(G$15/(G$14)),"na")</f>
        <v>na</v>
      </c>
      <c r="H9" s="109" t="str">
        <f>IF('(1)_Summary_Data'!$W$13=1,'(1)_Summary_Data'!$D$15,"na")</f>
        <v>na</v>
      </c>
      <c r="I9" s="109" t="str">
        <f>IF('(1)_Summary_Data'!$W$15=1,'(1)_Summary_Data'!$D$15,"na")</f>
        <v>na</v>
      </c>
      <c r="J9" s="109" t="str">
        <f>IF('(1)_Summary_Data'!$W$14=1,'(1)_Summary_Data'!$D$15,"na")</f>
        <v>na</v>
      </c>
      <c r="K9" s="109" t="str">
        <f>IF('(1)_Summary_Data'!$W$16&gt;0,'(1)_Summary_Data'!$D$15,"na")</f>
        <v>na</v>
      </c>
      <c r="L9" s="117" t="str">
        <f>IF('(1)_Summary_Data'!$W$18=1,EXP(L$15/L$14),"na")</f>
        <v>na</v>
      </c>
      <c r="M9" s="117" t="str">
        <f>IF('(1)_Summary_Data'!$W$17=1,EXP(M$15/M$14),"na")</f>
        <v>na</v>
      </c>
      <c r="N9" s="117" t="str">
        <f>IF(OR('(1)_Summary_Data'!$W$19=1,'(1)_Summary_Data'!$W$19=2),EXP(N$15/N$14),"na")</f>
        <v>na</v>
      </c>
      <c r="O9" s="243" t="e">
        <f>IF(AND('(2a)_Curve_Data'!$P$17&lt;&gt;0,'(2a)_Curve_Data'!$Q$17&lt;&gt;0), '(2a)_Curve_Data'!$Q$14,"na")</f>
        <v>#VALUE!</v>
      </c>
      <c r="P9" s="194" t="str">
        <f>IF('(3a)_Curve_Data_with_n(risk)'!$R$5&lt;&gt;"na", '(3a)_Curve_Data_with_n(risk)'!$R$5,"na")</f>
        <v>na</v>
      </c>
      <c r="Q9" s="4" t="str">
        <f>B9</f>
        <v>HR</v>
      </c>
      <c r="T9" s="6"/>
    </row>
    <row r="10" spans="1:20" x14ac:dyDescent="0.15">
      <c r="B10" s="5" t="s">
        <v>173</v>
      </c>
      <c r="C10" s="125" t="str">
        <f>IF('(1)_Summary_Data'!$E$15&lt;&gt;"",'(1)_Summary_Data'!$E$15,"na")</f>
        <v>na</v>
      </c>
      <c r="D10" s="242" t="str">
        <f>IF(AND(D$9&lt;&gt;"na",D$13&lt;&gt;"na"),EXP(LN(D$9)-(1.96*D$13)),"na")</f>
        <v>na</v>
      </c>
      <c r="E10" s="117" t="str">
        <f t="shared" ref="E10:P10" si="0">IF(AND(E$9&lt;&gt;"na",E$13&lt;&gt;"na"),EXP(LN(E$9)-(1.96*E$13)),"na")</f>
        <v>na</v>
      </c>
      <c r="F10" s="117" t="str">
        <f t="shared" si="0"/>
        <v>na</v>
      </c>
      <c r="G10" s="117" t="str">
        <f t="shared" si="0"/>
        <v>na</v>
      </c>
      <c r="H10" s="117" t="str">
        <f t="shared" si="0"/>
        <v>na</v>
      </c>
      <c r="I10" s="117" t="str">
        <f t="shared" si="0"/>
        <v>na</v>
      </c>
      <c r="J10" s="117" t="str">
        <f t="shared" si="0"/>
        <v>na</v>
      </c>
      <c r="K10" s="117" t="str">
        <f t="shared" si="0"/>
        <v>na</v>
      </c>
      <c r="L10" s="117" t="str">
        <f t="shared" si="0"/>
        <v>na</v>
      </c>
      <c r="M10" s="117" t="str">
        <f t="shared" si="0"/>
        <v>na</v>
      </c>
      <c r="N10" s="117" t="str">
        <f t="shared" si="0"/>
        <v>na</v>
      </c>
      <c r="O10" s="243" t="e">
        <f t="shared" si="0"/>
        <v>#VALUE!</v>
      </c>
      <c r="P10" s="194" t="str">
        <f t="shared" si="0"/>
        <v>na</v>
      </c>
      <c r="Q10" s="63" t="s">
        <v>173</v>
      </c>
      <c r="T10" s="6"/>
    </row>
    <row r="11" spans="1:20" x14ac:dyDescent="0.15">
      <c r="B11" s="5" t="s">
        <v>174</v>
      </c>
      <c r="C11" s="125" t="str">
        <f>IF('(1)_Summary_Data'!$G$15&lt;&gt;"",'(1)_Summary_Data'!$G$15,"na")</f>
        <v>na</v>
      </c>
      <c r="D11" s="242" t="str">
        <f>IF(AND(D$9&lt;&gt;"na",D$13&lt;&gt;"na"),EXP(LN(D$9)+(1.96*D$13)),"na")</f>
        <v>na</v>
      </c>
      <c r="E11" s="117" t="str">
        <f t="shared" ref="E11:P11" si="1">IF(AND(E$9&lt;&gt;"na",E$13&lt;&gt;"na"),EXP(LN(E$9)+(1.96*E$13)),"na")</f>
        <v>na</v>
      </c>
      <c r="F11" s="117" t="str">
        <f t="shared" si="1"/>
        <v>na</v>
      </c>
      <c r="G11" s="117" t="str">
        <f t="shared" si="1"/>
        <v>na</v>
      </c>
      <c r="H11" s="117" t="str">
        <f t="shared" si="1"/>
        <v>na</v>
      </c>
      <c r="I11" s="117" t="str">
        <f t="shared" si="1"/>
        <v>na</v>
      </c>
      <c r="J11" s="117" t="str">
        <f t="shared" si="1"/>
        <v>na</v>
      </c>
      <c r="K11" s="117" t="str">
        <f t="shared" si="1"/>
        <v>na</v>
      </c>
      <c r="L11" s="117" t="str">
        <f t="shared" si="1"/>
        <v>na</v>
      </c>
      <c r="M11" s="117" t="str">
        <f t="shared" si="1"/>
        <v>na</v>
      </c>
      <c r="N11" s="117" t="str">
        <f t="shared" si="1"/>
        <v>na</v>
      </c>
      <c r="O11" s="243" t="e">
        <f t="shared" si="1"/>
        <v>#VALUE!</v>
      </c>
      <c r="P11" s="194" t="str">
        <f t="shared" si="1"/>
        <v>na</v>
      </c>
      <c r="Q11" s="63" t="s">
        <v>174</v>
      </c>
      <c r="T11" s="6"/>
    </row>
    <row r="12" spans="1:20" x14ac:dyDescent="0.15">
      <c r="B12" s="5" t="s">
        <v>127</v>
      </c>
      <c r="C12" s="278" t="str">
        <f>IF(C9&lt;&gt;"na",LN(C9),"na")</f>
        <v>na</v>
      </c>
      <c r="D12" s="242" t="str">
        <f t="shared" ref="D12:P12" si="2">IF(D9&lt;&gt;"na",LN(D9),"na")</f>
        <v>na</v>
      </c>
      <c r="E12" s="117" t="str">
        <f t="shared" si="2"/>
        <v>na</v>
      </c>
      <c r="F12" s="117" t="str">
        <f t="shared" si="2"/>
        <v>na</v>
      </c>
      <c r="G12" s="117" t="str">
        <f t="shared" si="2"/>
        <v>na</v>
      </c>
      <c r="H12" s="117" t="str">
        <f t="shared" si="2"/>
        <v>na</v>
      </c>
      <c r="I12" s="117" t="str">
        <f t="shared" si="2"/>
        <v>na</v>
      </c>
      <c r="J12" s="117" t="str">
        <f t="shared" si="2"/>
        <v>na</v>
      </c>
      <c r="K12" s="117" t="str">
        <f t="shared" si="2"/>
        <v>na</v>
      </c>
      <c r="L12" s="117" t="str">
        <f t="shared" si="2"/>
        <v>na</v>
      </c>
      <c r="M12" s="117" t="str">
        <f t="shared" si="2"/>
        <v>na</v>
      </c>
      <c r="N12" s="117" t="str">
        <f t="shared" si="2"/>
        <v>na</v>
      </c>
      <c r="O12" s="243" t="e">
        <f t="shared" si="2"/>
        <v>#VALUE!</v>
      </c>
      <c r="P12" s="194" t="str">
        <f t="shared" si="2"/>
        <v>na</v>
      </c>
      <c r="Q12" s="63"/>
      <c r="T12" s="6"/>
    </row>
    <row r="13" spans="1:20" x14ac:dyDescent="0.15">
      <c r="B13" s="104" t="s">
        <v>128</v>
      </c>
      <c r="C13" s="137" t="s">
        <v>101</v>
      </c>
      <c r="D13" s="193" t="str">
        <f>IF(AND($D$14&lt;&gt;"",D$14&lt;&gt;"na"),1/SQRT(ABS(D$14)),"na")</f>
        <v>na</v>
      </c>
      <c r="E13" s="116" t="str">
        <f>IF(AND($E$14&lt;&gt;"",E$14&lt;&gt;"na"),1/SQRT(ABS(E$14)),"na")</f>
        <v>na</v>
      </c>
      <c r="F13" s="116" t="str">
        <f>IF(AND($F$14&lt;&gt;"",F$14&lt;&gt;"na"),1/SQRT(ABS(F$14)),"na")</f>
        <v>na</v>
      </c>
      <c r="G13" s="116" t="str">
        <f>IF(AND($G$14&lt;&gt;"",G$14&lt;&gt;"na"),1/SQRT(ABS(G$14)),"na")</f>
        <v>na</v>
      </c>
      <c r="H13" s="116" t="str">
        <f>IF('(1)_Summary_Data'!W13=1,(LN(H18)-LN(H17))/(2*NORMSINV(1-(1-'(1)_Summary_Data'!$H$15)/2)),"na")</f>
        <v>na</v>
      </c>
      <c r="I13" s="116" t="str">
        <f t="shared" ref="I13:N13" si="3">IF(AND(I$14&lt;&gt;"",I$14&lt;&gt;"na"),1/SQRT(ABS(I$14)),"na")</f>
        <v>na</v>
      </c>
      <c r="J13" s="116" t="str">
        <f t="shared" si="3"/>
        <v>na</v>
      </c>
      <c r="K13" s="116" t="str">
        <f t="shared" si="3"/>
        <v>na</v>
      </c>
      <c r="L13" s="116" t="str">
        <f t="shared" si="3"/>
        <v>na</v>
      </c>
      <c r="M13" s="116" t="str">
        <f t="shared" si="3"/>
        <v>na</v>
      </c>
      <c r="N13" s="116" t="str">
        <f t="shared" si="3"/>
        <v>na</v>
      </c>
      <c r="O13" s="139" t="e">
        <f>IF(AND($E$14&lt;&gt;"",O$14&lt;&gt;"na"),1/SQRT(ABS(O$14)),"na")</f>
        <v>#VALUE!</v>
      </c>
      <c r="P13" s="194" t="str">
        <f>IF('(3a)_Curve_Data_with_n(risk)'!$R$5&lt;&gt;"na", '(3a)_Curve_Data_with_n(risk)'!$R$7,"na")</f>
        <v>na</v>
      </c>
      <c r="Q13" s="4" t="str">
        <f>B13</f>
        <v>se(ln(HR))</v>
      </c>
      <c r="T13" s="6"/>
    </row>
    <row r="14" spans="1:20" x14ac:dyDescent="0.15">
      <c r="B14" s="5" t="s">
        <v>66</v>
      </c>
      <c r="C14" s="126" t="str">
        <f>IF('(1)_Summary_Data'!$D$17&lt;&gt;"",'(1)_Summary_Data'!$D$17,"na")</f>
        <v>na</v>
      </c>
      <c r="D14" s="193" t="str">
        <f>IF('(1)_Summary_Data'!$W$12=1,1/((1/D24)+(1/D23)),"na")</f>
        <v>na</v>
      </c>
      <c r="E14" s="74" t="str">
        <f>IF('(1)_Summary_Data'!$W$9=1,'(1)_Summary_Data'!$D$17,"na")</f>
        <v>na</v>
      </c>
      <c r="F14" s="116" t="str">
        <f>IF('(1)_Summary_Data'!$W$10=1,ABS($F$15/LN($F$9)),"na")</f>
        <v>na</v>
      </c>
      <c r="G14" s="74" t="str">
        <f>IF('(1)_Summary_Data'!$W$11=1,'(1)_Summary_Data'!$D$17,"na")</f>
        <v>na</v>
      </c>
      <c r="H14" s="116" t="str">
        <f>IF('(1)_Summary_Data'!$W$13=1,1/(POWER($H$13,2)),"na")</f>
        <v>na</v>
      </c>
      <c r="I14" s="116" t="str">
        <f>IF('(1)_Summary_Data'!$W$15=1,I22*I21/I25,"na")</f>
        <v>na</v>
      </c>
      <c r="J14" s="116" t="str">
        <f>IF('(1)_Summary_Data'!$W$14=1,J25/4,"na")</f>
        <v>na</v>
      </c>
      <c r="K14" s="116" t="str">
        <f>IF('(1)_Summary_Data'!$W$16&gt;0,(K25*K27*K26/(POWER((K27+K26),2))),"na")</f>
        <v>na</v>
      </c>
      <c r="L14" s="116" t="str">
        <f>IF('(1)_Summary_Data'!$W$18=1,L$21*L$22/L$25,"na")</f>
        <v>na</v>
      </c>
      <c r="M14" s="116" t="str">
        <f>IF('(1)_Summary_Data'!$W$17=1,M25/4,"na")</f>
        <v>na</v>
      </c>
      <c r="N14" s="116" t="str">
        <f>IF(OR('(1)_Summary_Data'!$W$19=1,'(1)_Summary_Data'!$W$19=2),(N$25*N$26*N$27/(POWER(N$26+N$27,2))),"na")</f>
        <v>na</v>
      </c>
      <c r="O14" s="139" t="e">
        <f>IF(AND('(2a)_Curve_Data'!$P$17&lt;&gt;0,'(2a)_Curve_Data'!$Q$17&lt;&gt;0), '(2a)_Curve_Data'!$Q$17,"na")</f>
        <v>#VALUE!</v>
      </c>
      <c r="P14" s="194" t="str">
        <f>IF('(3a)_Curve_Data_with_n(risk)'!$R$5&lt;&gt;"na", '(3a)_Curve_Data_with_n(risk)'!$P$13,"na")</f>
        <v>na</v>
      </c>
      <c r="Q14" s="4" t="str">
        <f t="shared" ref="Q14:Q27" si="4">B14</f>
        <v>Variance</v>
      </c>
      <c r="T14" s="6"/>
    </row>
    <row r="15" spans="1:20" ht="11.25" thickBot="1" x14ac:dyDescent="0.2">
      <c r="A15" s="255"/>
      <c r="B15" s="256" t="s">
        <v>2</v>
      </c>
      <c r="C15" s="127" t="str">
        <f>IF('(1)_Summary_Data'!$D$16&lt;&gt;"",'(1)_Summary_Data'!$D$16,"na")</f>
        <v>na</v>
      </c>
      <c r="D15" s="195" t="str">
        <f>IF('(1)_Summary_Data'!$W$12=1,LN(D$9)*D$14,"na")</f>
        <v>na</v>
      </c>
      <c r="E15" s="115" t="str">
        <f>IF('(1)_Summary_Data'!$W$9=1,LN(E$9)*E$14,"na")</f>
        <v>na</v>
      </c>
      <c r="F15" s="111" t="str">
        <f>IF('(1)_Summary_Data'!$W$10=1,'(1)_Summary_Data'!$D$16,"na")</f>
        <v>na</v>
      </c>
      <c r="G15" s="111" t="str">
        <f>IF('(1)_Summary_Data'!$W$11=1,'(1)_Summary_Data'!$D$16,"na")</f>
        <v>na</v>
      </c>
      <c r="H15" s="115" t="str">
        <f>IF('(1)_Summary_Data'!$W$13=1,LN(H$9)*H$14,"na")</f>
        <v>na</v>
      </c>
      <c r="I15" s="115" t="str">
        <f>IF('(1)_Summary_Data'!$W$15=1,LN(I$9)*I$14,"na")</f>
        <v>na</v>
      </c>
      <c r="J15" s="115" t="str">
        <f>IF('(1)_Summary_Data'!$W$14=1,LN(J$9)*J$14,"na")</f>
        <v>na</v>
      </c>
      <c r="K15" s="115" t="str">
        <f>IF('(1)_Summary_Data'!$W$16&gt;0,LN(K$9)*K$14,"na")</f>
        <v>na</v>
      </c>
      <c r="L15" s="115" t="str">
        <f>IF('(1)_Summary_Data'!$W$18=1,'(1)_Summary_Data'!$T$11*(SQRT((L$21*L$22)/L$25)*NORMSINV(1-(L$19/2))),"na")</f>
        <v>na</v>
      </c>
      <c r="M15" s="115" t="str">
        <f>IF('(1)_Summary_Data'!$W$17=1,'(1)_Summary_Data'!$T$11*(1/2*(SQRT(M$25))*NORMSINV(1-(M$19/2))),"na")</f>
        <v>na</v>
      </c>
      <c r="N15" s="115" t="str">
        <f>IF(OR('(1)_Summary_Data'!$W$19=1,'(1)_Summary_Data'!$W$19=2),'(1)_Summary_Data'!$T$11*SQRT(N26*N27*N25)/(N26+N27)*NORMSINV(1-(N19/2)),"na")</f>
        <v>na</v>
      </c>
      <c r="O15" s="140" t="e">
        <f>IF(AND('(2a)_Curve_Data'!$P$17&lt;&gt;0,'(2a)_Curve_Data'!$Q$17&lt;&gt;0), '(2a)_Curve_Data'!$P$17,"na")</f>
        <v>#VALUE!</v>
      </c>
      <c r="P15" s="196" t="str">
        <f>IF('(3a)_Curve_Data_with_n(risk)'!$R$5&lt;&gt;"na", '(3a)_Curve_Data_with_n(risk)'!$O$13,"na")</f>
        <v>na</v>
      </c>
      <c r="Q15" s="257" t="str">
        <f t="shared" si="4"/>
        <v>O-E</v>
      </c>
      <c r="R15" s="258"/>
      <c r="T15" s="6"/>
    </row>
    <row r="16" spans="1:20" x14ac:dyDescent="0.15">
      <c r="B16" s="15" t="s">
        <v>82</v>
      </c>
      <c r="C16" s="270"/>
      <c r="D16" s="271"/>
      <c r="E16" s="272"/>
      <c r="F16" s="273"/>
      <c r="G16" s="273"/>
      <c r="H16" s="272"/>
      <c r="I16" s="272"/>
      <c r="J16" s="272"/>
      <c r="K16" s="272"/>
      <c r="L16" s="272"/>
      <c r="M16" s="272"/>
      <c r="N16" s="272"/>
      <c r="O16" s="272"/>
      <c r="P16" s="274"/>
      <c r="Q16" s="16" t="s">
        <v>82</v>
      </c>
      <c r="T16" s="6"/>
    </row>
    <row r="17" spans="1:20" x14ac:dyDescent="0.15">
      <c r="B17" s="5" t="str">
        <f>"Lower CI ("&amp;IF('(1)_Summary_Data'!$H$15&lt;&gt;"",(100*'(1)_Summary_Data'!$H$15),"--")&amp;"%)"</f>
        <v>Lower CI (--%)</v>
      </c>
      <c r="C17" s="125" t="str">
        <f>IF('(1)_Summary_Data'!$E$15&lt;&gt;"",'(1)_Summary_Data'!$E$15,"na")</f>
        <v>na</v>
      </c>
      <c r="D17" s="98"/>
      <c r="E17" s="96"/>
      <c r="F17" s="108"/>
      <c r="G17" s="108"/>
      <c r="H17" s="109" t="str">
        <f>IF('(1)_Summary_Data'!$W$13=1,'(1)_Summary_Data'!$E$15,"na")</f>
        <v>na</v>
      </c>
      <c r="I17" s="110"/>
      <c r="J17" s="108"/>
      <c r="K17" s="110"/>
      <c r="L17" s="110"/>
      <c r="M17" s="110"/>
      <c r="N17" s="110"/>
      <c r="O17" s="260"/>
      <c r="P17" s="141"/>
      <c r="Q17" s="4" t="str">
        <f t="shared" si="4"/>
        <v>Lower CI (--%)</v>
      </c>
      <c r="T17" s="6"/>
    </row>
    <row r="18" spans="1:20" x14ac:dyDescent="0.15">
      <c r="B18" s="5" t="str">
        <f>"Upper CI ("&amp;IF('(1)_Summary_Data'!$H$15&lt;&gt;"",(100*'(1)_Summary_Data'!$H$15),"--")&amp;"%)"</f>
        <v>Upper CI (--%)</v>
      </c>
      <c r="C18" s="126" t="str">
        <f>IF('(1)_Summary_Data'!$G$15&lt;&gt;"",'(1)_Summary_Data'!$G$15,"na")</f>
        <v>na</v>
      </c>
      <c r="D18" s="95"/>
      <c r="E18" s="94"/>
      <c r="F18" s="75"/>
      <c r="G18" s="75"/>
      <c r="H18" s="74" t="str">
        <f>IF('(1)_Summary_Data'!$W$13=1,'(1)_Summary_Data'!$G$15,"na")</f>
        <v>na</v>
      </c>
      <c r="I18" s="76"/>
      <c r="J18" s="75"/>
      <c r="K18" s="76"/>
      <c r="L18" s="77"/>
      <c r="M18" s="77"/>
      <c r="N18" s="77"/>
      <c r="O18" s="251"/>
      <c r="P18" s="142"/>
      <c r="Q18" s="4" t="str">
        <f t="shared" si="4"/>
        <v>Upper CI (--%)</v>
      </c>
      <c r="T18" s="6"/>
    </row>
    <row r="19" spans="1:20" x14ac:dyDescent="0.15">
      <c r="B19" s="5" t="s">
        <v>91</v>
      </c>
      <c r="C19" s="128" t="str">
        <f>IF('(1)_Summary_Data'!$G$18&lt;&gt;"",'(1)_Summary_Data'!$G$18,"na")</f>
        <v>na</v>
      </c>
      <c r="D19" s="79"/>
      <c r="E19" s="78"/>
      <c r="F19" s="79"/>
      <c r="G19" s="79"/>
      <c r="H19" s="80"/>
      <c r="I19" s="78"/>
      <c r="J19" s="78"/>
      <c r="K19" s="81"/>
      <c r="L19" s="82" t="str">
        <f>IF('(1)_Summary_Data'!$W$18=1,'(1)_Summary_Data'!$G$18,"na")</f>
        <v>na</v>
      </c>
      <c r="M19" s="82" t="str">
        <f>IF('(1)_Summary_Data'!$W$17=1,'(1)_Summary_Data'!$G$18,"na")</f>
        <v>na</v>
      </c>
      <c r="N19" s="82" t="str">
        <f>IF(OR('(1)_Summary_Data'!$W$19=1,'(1)_Summary_Data'!$W$19=2),'(1)_Summary_Data'!$G$18,"na")</f>
        <v>na</v>
      </c>
      <c r="O19" s="252"/>
      <c r="P19" s="83"/>
      <c r="Q19" s="4" t="str">
        <f t="shared" si="4"/>
        <v>P value</v>
      </c>
      <c r="T19" s="6"/>
    </row>
    <row r="20" spans="1:20" x14ac:dyDescent="0.15">
      <c r="B20" s="5" t="s">
        <v>69</v>
      </c>
      <c r="C20" s="128" t="str">
        <f>IF('(1)_Summary_Data'!$H$18&lt;&gt;"",'(1)_Summary_Data'!$H$18,"na")</f>
        <v>na</v>
      </c>
      <c r="D20" s="113"/>
      <c r="E20" s="78"/>
      <c r="F20" s="79"/>
      <c r="G20" s="79"/>
      <c r="H20" s="78"/>
      <c r="I20" s="84"/>
      <c r="J20" s="78"/>
      <c r="K20" s="81"/>
      <c r="L20" s="85" t="str">
        <f>IF('(1)_Summary_Data'!$W$18=1,'(1)_Summary_Data'!$H$18,"na")</f>
        <v>na</v>
      </c>
      <c r="M20" s="82" t="str">
        <f>IF('(1)_Summary_Data'!$W$17=1,'(1)_Summary_Data'!$H$18,"na")</f>
        <v>na</v>
      </c>
      <c r="N20" s="82" t="str">
        <f>IF(OR('(1)_Summary_Data'!$W$19=1,'(1)_Summary_Data'!$W$19=2),'(1)_Summary_Data'!$H$18,"na")</f>
        <v>na</v>
      </c>
      <c r="O20" s="252"/>
      <c r="P20" s="83"/>
      <c r="Q20" s="4" t="str">
        <f t="shared" si="4"/>
        <v>Advantage to R or C?</v>
      </c>
      <c r="T20" s="6"/>
    </row>
    <row r="21" spans="1:20" x14ac:dyDescent="0.15">
      <c r="A21" s="89"/>
      <c r="B21" s="5" t="s">
        <v>116</v>
      </c>
      <c r="C21" s="129" t="str">
        <f>IF('(1)_Summary_Data'!$B$10&lt;&gt;"",'(1)_Summary_Data'!$B$10,"na")</f>
        <v>na</v>
      </c>
      <c r="D21" s="114" t="str">
        <f>IF('(1)_Summary_Data'!$W$12=1,'(1)_Summary_Data'!$B$10,"na")</f>
        <v>na</v>
      </c>
      <c r="E21" s="86"/>
      <c r="F21" s="87"/>
      <c r="G21" s="86"/>
      <c r="H21" s="86"/>
      <c r="I21" s="88" t="str">
        <f>IF('(1)_Summary_Data'!$W$15=1,'(1)_Summary_Data'!$B$10,"na")</f>
        <v>na</v>
      </c>
      <c r="J21" s="121"/>
      <c r="K21" s="122"/>
      <c r="L21" s="88" t="str">
        <f>IF('(1)_Summary_Data'!$W$18=1,'(1)_Summary_Data'!$B$10,"na")</f>
        <v>na</v>
      </c>
      <c r="M21" s="123"/>
      <c r="N21" s="124"/>
      <c r="O21" s="253"/>
      <c r="P21" s="143"/>
      <c r="Q21" s="4" t="str">
        <f t="shared" si="4"/>
        <v>Obs events Research</v>
      </c>
      <c r="T21" s="6"/>
    </row>
    <row r="22" spans="1:20" x14ac:dyDescent="0.15">
      <c r="B22" s="5" t="s">
        <v>117</v>
      </c>
      <c r="C22" s="129" t="str">
        <f>IF('(1)_Summary_Data'!$C$10&lt;&gt;"",'(1)_Summary_Data'!$C$10,"na")</f>
        <v>na</v>
      </c>
      <c r="D22" s="114" t="str">
        <f>IF('(1)_Summary_Data'!$W$12=1,'(1)_Summary_Data'!$C$10,"na")</f>
        <v>na</v>
      </c>
      <c r="E22" s="86"/>
      <c r="F22" s="87"/>
      <c r="G22" s="86"/>
      <c r="H22" s="86"/>
      <c r="I22" s="88" t="str">
        <f>IF('(1)_Summary_Data'!$W$15=1,'(1)_Summary_Data'!$C$10,"na")</f>
        <v>na</v>
      </c>
      <c r="J22" s="121"/>
      <c r="K22" s="122"/>
      <c r="L22" s="88" t="str">
        <f>IF('(1)_Summary_Data'!$W$18=1,'(1)_Summary_Data'!$C$10,"na")</f>
        <v>na</v>
      </c>
      <c r="M22" s="121"/>
      <c r="N22" s="91"/>
      <c r="O22" s="253"/>
      <c r="P22" s="143"/>
      <c r="Q22" s="4" t="str">
        <f t="shared" si="4"/>
        <v xml:space="preserve">Obs events Control </v>
      </c>
      <c r="T22" s="6"/>
    </row>
    <row r="23" spans="1:20" x14ac:dyDescent="0.15">
      <c r="B23" s="5" t="s">
        <v>118</v>
      </c>
      <c r="C23" s="130" t="str">
        <f>IF('(1)_Summary_Data'!$B$11&lt;&gt;"",'(1)_Summary_Data'!$B$11,"na")</f>
        <v>na</v>
      </c>
      <c r="D23" s="114" t="str">
        <f>IF('(1)_Summary_Data'!$W$12=1,'(1)_Summary_Data'!$B$11,"na")</f>
        <v>na</v>
      </c>
      <c r="E23" s="91"/>
      <c r="F23" s="90"/>
      <c r="G23" s="91"/>
      <c r="H23" s="91"/>
      <c r="I23" s="91"/>
      <c r="J23" s="91"/>
      <c r="K23" s="91"/>
      <c r="L23" s="91"/>
      <c r="M23" s="91"/>
      <c r="N23" s="91"/>
      <c r="O23" s="253"/>
      <c r="P23" s="143"/>
      <c r="Q23" s="4" t="str">
        <f t="shared" si="4"/>
        <v>Expt events Research</v>
      </c>
      <c r="T23" s="6"/>
    </row>
    <row r="24" spans="1:20" x14ac:dyDescent="0.15">
      <c r="B24" s="5" t="s">
        <v>119</v>
      </c>
      <c r="C24" s="130" t="str">
        <f>IF('(1)_Summary_Data'!$C$11&lt;&gt;"",'(1)_Summary_Data'!$C$11,"na")</f>
        <v>na</v>
      </c>
      <c r="D24" s="114" t="str">
        <f>IF('(1)_Summary_Data'!$W$12=1,'(1)_Summary_Data'!$C$11,"na")</f>
        <v>na</v>
      </c>
      <c r="E24" s="91"/>
      <c r="F24" s="90"/>
      <c r="G24" s="91"/>
      <c r="H24" s="91"/>
      <c r="I24" s="91"/>
      <c r="J24" s="91"/>
      <c r="K24" s="91"/>
      <c r="L24" s="91"/>
      <c r="M24" s="91"/>
      <c r="N24" s="91"/>
      <c r="O24" s="253"/>
      <c r="P24" s="143"/>
      <c r="Q24" s="4" t="str">
        <f t="shared" si="4"/>
        <v>Expt events Control</v>
      </c>
      <c r="T24" s="6"/>
    </row>
    <row r="25" spans="1:20" x14ac:dyDescent="0.15">
      <c r="B25" s="5" t="s">
        <v>8</v>
      </c>
      <c r="C25" s="130" t="str">
        <f>IF('(1)_Summary_Data'!$D$10&lt;&gt;"",'(1)_Summary_Data'!$D$10,"na")</f>
        <v>na</v>
      </c>
      <c r="D25" s="92"/>
      <c r="E25" s="86"/>
      <c r="F25" s="87"/>
      <c r="G25" s="87"/>
      <c r="H25" s="86"/>
      <c r="I25" s="88" t="str">
        <f>IF('(1)_Summary_Data'!$W$15=1,'(1)_Summary_Data'!$D$10,"na")</f>
        <v>na</v>
      </c>
      <c r="J25" s="88" t="str">
        <f>IF('(1)_Summary_Data'!$W$14=1,'(1)_Summary_Data'!$D$10,"na")</f>
        <v>na</v>
      </c>
      <c r="K25" s="93" t="str">
        <f>IF('(1)_Summary_Data'!$W$16&gt;0,'(1)_Summary_Data'!$D$10,"na")</f>
        <v>na</v>
      </c>
      <c r="L25" s="88" t="str">
        <f>IF('(1)_Summary_Data'!$W$18=1,'(1)_Summary_Data'!$D$10,"na")</f>
        <v>na</v>
      </c>
      <c r="M25" s="88" t="str">
        <f>IF('(1)_Summary_Data'!$W$17=1,'(1)_Summary_Data'!$D$10,"na")</f>
        <v>na</v>
      </c>
      <c r="N25" s="93" t="str">
        <f>IF(OR('(1)_Summary_Data'!$W$19=1,'(1)_Summary_Data'!$W$19=2),'(1)_Summary_Data'!$D$10,"na")</f>
        <v>na</v>
      </c>
      <c r="O25" s="252"/>
      <c r="P25" s="83"/>
      <c r="Q25" s="4" t="str">
        <f t="shared" si="4"/>
        <v>Total events</v>
      </c>
      <c r="T25" s="6"/>
    </row>
    <row r="26" spans="1:20" ht="10.5" customHeight="1" x14ac:dyDescent="0.15">
      <c r="B26" s="5" t="str">
        <f>"Pts " &amp; IF('(1)_Summary_Data'!$W$19=1, "entered","analysed") &amp; " Research"</f>
        <v>Pts analysed Research</v>
      </c>
      <c r="C26" s="130">
        <f>IF('(1)_Summary_Data'!$B$9&lt;&gt;"",'(1)_Summary_Data'!$B$9,IF('(1)_Summary_Data'!$B8&lt;&gt;"",'(1)_Summary_Data'!$B8,"na"))</f>
        <v>9386</v>
      </c>
      <c r="D26" s="95"/>
      <c r="E26" s="94"/>
      <c r="F26" s="95"/>
      <c r="G26" s="95"/>
      <c r="H26" s="94"/>
      <c r="I26" s="97"/>
      <c r="J26" s="96"/>
      <c r="K26" s="88" t="str">
        <f>IF('(1)_Summary_Data'!$W$16=2,'(1)_Summary_Data'!$B$9,IF('(1)_Summary_Data'!$W$16=1,'(1)_Summary_Data'!$B$8,"na"))</f>
        <v>na</v>
      </c>
      <c r="L26" s="97"/>
      <c r="M26" s="205"/>
      <c r="N26" s="88" t="str">
        <f>IF('(1)_Summary_Data'!$W$19=2,'(1)_Summary_Data'!$B$9,IF('(1)_Summary_Data'!$W$19=1,'(1)_Summary_Data'!$B$8,"na"))</f>
        <v>na</v>
      </c>
      <c r="O26" s="252"/>
      <c r="P26" s="83"/>
      <c r="Q26" s="4" t="str">
        <f t="shared" si="4"/>
        <v>Pts analysed Research</v>
      </c>
      <c r="T26" s="6"/>
    </row>
    <row r="27" spans="1:20" ht="10.5" customHeight="1" thickBot="1" x14ac:dyDescent="0.2">
      <c r="B27" s="5" t="str">
        <f>"Pts " &amp; IF('(1)_Summary_Data'!$W$19=1, "entered","analysed") &amp; " Control"</f>
        <v>Pts analysed Control</v>
      </c>
      <c r="C27" s="118" t="str">
        <f>IF('(1)_Summary_Data'!$C$9&lt;&gt;"",'(1)_Summary_Data'!$C$9,IF('(1)_Summary_Data'!$C8&lt;&gt;"",'(1)_Summary_Data'!$C8,"na"))</f>
        <v>na</v>
      </c>
      <c r="D27" s="100"/>
      <c r="E27" s="99"/>
      <c r="F27" s="100"/>
      <c r="G27" s="100"/>
      <c r="H27" s="99"/>
      <c r="I27" s="101"/>
      <c r="J27" s="99"/>
      <c r="K27" s="102" t="str">
        <f>IF('(1)_Summary_Data'!$W$16=2,'(1)_Summary_Data'!$C$9,IF('(1)_Summary_Data'!$W$16=1,'(1)_Summary_Data'!$C$8,"na"))</f>
        <v>na</v>
      </c>
      <c r="L27" s="101"/>
      <c r="M27" s="206"/>
      <c r="N27" s="102" t="str">
        <f>IF('(1)_Summary_Data'!$W$19=2,'(1)_Summary_Data'!$C$9,IF('(1)_Summary_Data'!$W$19=1,'(1)_Summary_Data'!$C$8,"na"))</f>
        <v>na</v>
      </c>
      <c r="O27" s="254"/>
      <c r="P27" s="103"/>
      <c r="Q27" s="4" t="str">
        <f t="shared" si="4"/>
        <v>Pts analysed Control</v>
      </c>
      <c r="T27" s="6"/>
    </row>
    <row r="28" spans="1:20" x14ac:dyDescent="0.15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"/>
      <c r="S28" s="4"/>
    </row>
    <row r="29" spans="1:20" x14ac:dyDescent="0.15">
      <c r="A29" s="106" t="s">
        <v>85</v>
      </c>
      <c r="C29" s="16"/>
      <c r="K29" s="13" t="s">
        <v>84</v>
      </c>
      <c r="L29" s="105"/>
      <c r="O29" s="4"/>
    </row>
    <row r="30" spans="1:20" ht="11.25" thickBot="1" x14ac:dyDescent="0.2">
      <c r="A30" s="15">
        <v>1</v>
      </c>
      <c r="B30" s="4" t="s">
        <v>70</v>
      </c>
      <c r="C30" s="16"/>
    </row>
    <row r="31" spans="1:20" x14ac:dyDescent="0.15">
      <c r="A31" s="15" t="s">
        <v>79</v>
      </c>
      <c r="B31" s="4" t="s">
        <v>15</v>
      </c>
      <c r="G31" s="63"/>
      <c r="K31" s="131" t="s">
        <v>10</v>
      </c>
      <c r="L31" s="207" t="s">
        <v>148</v>
      </c>
    </row>
    <row r="32" spans="1:20" ht="11.25" thickBot="1" x14ac:dyDescent="0.2">
      <c r="A32" s="15" t="s">
        <v>80</v>
      </c>
      <c r="B32" s="4" t="s">
        <v>16</v>
      </c>
      <c r="K32" s="132" t="s">
        <v>10</v>
      </c>
      <c r="L32" s="208" t="s">
        <v>83</v>
      </c>
    </row>
    <row r="33" spans="1:17" x14ac:dyDescent="0.15">
      <c r="A33" s="15" t="s">
        <v>81</v>
      </c>
      <c r="B33" s="4" t="s">
        <v>13</v>
      </c>
    </row>
    <row r="34" spans="1:17" ht="11.25" customHeight="1" thickBot="1" x14ac:dyDescent="0.2">
      <c r="A34" s="15">
        <v>3</v>
      </c>
      <c r="B34" s="4" t="s">
        <v>14</v>
      </c>
    </row>
    <row r="35" spans="1:17" x14ac:dyDescent="0.15">
      <c r="A35" s="15">
        <v>4</v>
      </c>
      <c r="B35" s="4" t="s">
        <v>72</v>
      </c>
      <c r="N35" s="180"/>
      <c r="O35" s="197" t="s">
        <v>18</v>
      </c>
      <c r="P35" s="197" t="s">
        <v>20</v>
      </c>
      <c r="Q35" s="198" t="s">
        <v>65</v>
      </c>
    </row>
    <row r="36" spans="1:17" x14ac:dyDescent="0.15">
      <c r="A36" s="15">
        <v>5</v>
      </c>
      <c r="B36" s="107" t="s">
        <v>71</v>
      </c>
      <c r="N36" s="199" t="s">
        <v>0</v>
      </c>
      <c r="O36" s="200" t="e">
        <f>MIN($C9:$P9)</f>
        <v>#VALUE!</v>
      </c>
      <c r="P36" s="200" t="e">
        <f>MAX($C9:$P9)</f>
        <v>#VALUE!</v>
      </c>
      <c r="Q36" s="201" t="e">
        <f>P36-O36</f>
        <v>#VALUE!</v>
      </c>
    </row>
    <row r="37" spans="1:17" x14ac:dyDescent="0.15">
      <c r="A37" s="15">
        <v>6</v>
      </c>
      <c r="B37" s="4" t="s">
        <v>103</v>
      </c>
      <c r="J37" s="4"/>
      <c r="K37" s="4"/>
      <c r="L37" s="4"/>
      <c r="N37" s="199" t="s">
        <v>1</v>
      </c>
      <c r="O37" s="200" t="e">
        <f>MIN($C14:$P14)</f>
        <v>#VALUE!</v>
      </c>
      <c r="P37" s="200" t="e">
        <f>MAX($C14:$P14)</f>
        <v>#VALUE!</v>
      </c>
      <c r="Q37" s="201" t="e">
        <f>P37-O37</f>
        <v>#VALUE!</v>
      </c>
    </row>
    <row r="38" spans="1:17" ht="11.25" thickBot="1" x14ac:dyDescent="0.2">
      <c r="A38" s="15">
        <v>7</v>
      </c>
      <c r="B38" s="4" t="s">
        <v>74</v>
      </c>
      <c r="N38" s="202" t="s">
        <v>2</v>
      </c>
      <c r="O38" s="203" t="e">
        <f>MIN($C15:$P15)</f>
        <v>#VALUE!</v>
      </c>
      <c r="P38" s="203" t="e">
        <f>MAX($C15:$P15)</f>
        <v>#VALUE!</v>
      </c>
      <c r="Q38" s="204" t="e">
        <f>P38-O38</f>
        <v>#VALUE!</v>
      </c>
    </row>
    <row r="39" spans="1:17" x14ac:dyDescent="0.15">
      <c r="A39" s="15">
        <v>8</v>
      </c>
      <c r="B39" s="4" t="s">
        <v>73</v>
      </c>
    </row>
    <row r="40" spans="1:17" x14ac:dyDescent="0.15">
      <c r="A40" s="15">
        <v>9</v>
      </c>
      <c r="B40" s="4" t="s">
        <v>157</v>
      </c>
      <c r="L40" s="13"/>
    </row>
    <row r="41" spans="1:17" x14ac:dyDescent="0.15">
      <c r="A41" s="15">
        <v>10</v>
      </c>
      <c r="B41" s="4" t="s">
        <v>123</v>
      </c>
    </row>
    <row r="42" spans="1:17" x14ac:dyDescent="0.15">
      <c r="A42" s="14">
        <v>11</v>
      </c>
      <c r="B42" s="4" t="s">
        <v>124</v>
      </c>
    </row>
    <row r="43" spans="1:17" x14ac:dyDescent="0.15">
      <c r="A43" s="14">
        <v>12</v>
      </c>
      <c r="B43" s="4" t="s">
        <v>125</v>
      </c>
    </row>
    <row r="44" spans="1:17" x14ac:dyDescent="0.15">
      <c r="A44" s="14"/>
    </row>
    <row r="46" spans="1:17" x14ac:dyDescent="0.15">
      <c r="A46" s="60"/>
      <c r="B46" s="60"/>
    </row>
    <row r="47" spans="1:17" x14ac:dyDescent="0.15">
      <c r="A47" s="119"/>
      <c r="B47" s="119"/>
      <c r="C47" s="120"/>
    </row>
    <row r="48" spans="1:17" x14ac:dyDescent="0.15">
      <c r="A48" s="119"/>
      <c r="B48" s="119"/>
      <c r="C48" s="120"/>
    </row>
    <row r="49" spans="1:19" x14ac:dyDescent="0.15">
      <c r="A49" s="119"/>
      <c r="B49" s="119"/>
      <c r="C49" s="120"/>
    </row>
    <row r="54" spans="1:19" x14ac:dyDescent="0.15">
      <c r="S54" s="6" t="s">
        <v>77</v>
      </c>
    </row>
  </sheetData>
  <sheetProtection password="C476" sheet="1" objects="1" scenarios="1"/>
  <mergeCells count="3">
    <mergeCell ref="P2:R2"/>
    <mergeCell ref="D4:O4"/>
    <mergeCell ref="B2:F2"/>
  </mergeCells>
  <phoneticPr fontId="0" type="noConversion"/>
  <pageMargins left="0.59055118110236227" right="0.59055118110236227" top="0.59055118110236227" bottom="0.59055118110236227" header="0.51181102362204722" footer="0.51181102362204722"/>
  <pageSetup paperSize="9" orientation="landscape" horizontalDpi="200" verticalDpi="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43" r:id="rId4" name="Button 27">
              <controlPr defaultSize="0" print="0" autoFill="0" autoPict="0" macro="[0]!PrintPage">
                <anchor moveWithCells="1" sizeWithCells="1">
                  <from>
                    <xdr:col>15</xdr:col>
                    <xdr:colOff>76200</xdr:colOff>
                    <xdr:row>39</xdr:row>
                    <xdr:rowOff>19050</xdr:rowOff>
                  </from>
                  <to>
                    <xdr:col>16</xdr:col>
                    <xdr:colOff>323850</xdr:colOff>
                    <xdr:row>41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B3:N34"/>
  <sheetViews>
    <sheetView workbookViewId="0">
      <pane xSplit="14" ySplit="30" topLeftCell="O31" activePane="bottomRight" state="frozen"/>
      <selection pane="topRight" activeCell="O1" sqref="O1"/>
      <selection pane="bottomLeft" activeCell="A31" sqref="A31"/>
      <selection pane="bottomRight" activeCell="E22" sqref="E22"/>
    </sheetView>
  </sheetViews>
  <sheetFormatPr defaultRowHeight="12.75" x14ac:dyDescent="0.2"/>
  <cols>
    <col min="1" max="14" width="9.140625" style="210"/>
    <col min="15" max="15" width="2.42578125" style="210" customWidth="1"/>
    <col min="16" max="16384" width="9.140625" style="210"/>
  </cols>
  <sheetData>
    <row r="3" spans="2:12" ht="13.5" thickBot="1" x14ac:dyDescent="0.25"/>
    <row r="4" spans="2:12" ht="13.5" thickBot="1" x14ac:dyDescent="0.25">
      <c r="B4" s="211" t="s">
        <v>158</v>
      </c>
      <c r="D4" s="306"/>
      <c r="E4" s="307"/>
      <c r="F4" s="307"/>
      <c r="G4" s="307"/>
      <c r="H4" s="308"/>
    </row>
    <row r="5" spans="2:12" ht="13.5" thickBot="1" x14ac:dyDescent="0.25">
      <c r="B5" s="211"/>
    </row>
    <row r="6" spans="2:12" ht="13.5" thickBot="1" x14ac:dyDescent="0.25">
      <c r="B6" s="211" t="s">
        <v>159</v>
      </c>
      <c r="D6" s="306"/>
      <c r="E6" s="307"/>
      <c r="F6" s="307"/>
      <c r="G6" s="307"/>
      <c r="H6" s="308"/>
    </row>
    <row r="7" spans="2:12" ht="13.5" thickBot="1" x14ac:dyDescent="0.25">
      <c r="B7" s="211"/>
    </row>
    <row r="8" spans="2:12" ht="13.5" thickBot="1" x14ac:dyDescent="0.25">
      <c r="B8" s="211" t="s">
        <v>170</v>
      </c>
      <c r="D8" s="306"/>
      <c r="E8" s="308"/>
    </row>
    <row r="9" spans="2:12" x14ac:dyDescent="0.2">
      <c r="B9" s="211"/>
    </row>
    <row r="10" spans="2:12" x14ac:dyDescent="0.2">
      <c r="B10" s="211"/>
    </row>
    <row r="11" spans="2:12" x14ac:dyDescent="0.2">
      <c r="B11" s="212"/>
      <c r="C11" s="213"/>
      <c r="D11" s="213"/>
      <c r="E11" s="213"/>
      <c r="F11" s="213"/>
      <c r="G11" s="213"/>
      <c r="H11" s="213"/>
      <c r="I11" s="213"/>
      <c r="J11" s="213"/>
      <c r="K11" s="213"/>
      <c r="L11" s="213"/>
    </row>
    <row r="12" spans="2:12" x14ac:dyDescent="0.2">
      <c r="B12" s="211"/>
    </row>
    <row r="14" spans="2:12" x14ac:dyDescent="0.2">
      <c r="B14" s="211"/>
    </row>
    <row r="15" spans="2:12" x14ac:dyDescent="0.2">
      <c r="B15" s="214" t="s">
        <v>160</v>
      </c>
      <c r="C15" s="215"/>
      <c r="D15" s="215"/>
      <c r="E15" s="215"/>
      <c r="F15" s="215"/>
      <c r="G15" s="215"/>
    </row>
    <row r="16" spans="2:12" x14ac:dyDescent="0.2">
      <c r="B16" s="214"/>
      <c r="C16" s="215"/>
      <c r="D16" s="215"/>
      <c r="E16" s="215"/>
      <c r="F16" s="215"/>
      <c r="G16" s="215"/>
    </row>
    <row r="17" spans="2:7" x14ac:dyDescent="0.2">
      <c r="B17" s="214" t="s">
        <v>161</v>
      </c>
      <c r="C17" s="215"/>
      <c r="D17" s="215"/>
      <c r="E17" s="215" t="s">
        <v>162</v>
      </c>
      <c r="F17" s="215"/>
      <c r="G17" s="215"/>
    </row>
    <row r="18" spans="2:7" x14ac:dyDescent="0.2">
      <c r="B18" s="214"/>
      <c r="C18" s="215"/>
      <c r="D18" s="215"/>
      <c r="E18" s="215" t="s">
        <v>163</v>
      </c>
      <c r="F18" s="215"/>
      <c r="G18" s="215" t="s">
        <v>164</v>
      </c>
    </row>
    <row r="19" spans="2:7" x14ac:dyDescent="0.2">
      <c r="B19" s="214"/>
      <c r="C19" s="215"/>
      <c r="D19" s="215"/>
      <c r="E19" s="215"/>
      <c r="F19" s="215"/>
      <c r="G19" s="215"/>
    </row>
    <row r="20" spans="2:7" x14ac:dyDescent="0.2">
      <c r="B20" s="214" t="s">
        <v>165</v>
      </c>
      <c r="C20" s="215"/>
      <c r="D20" s="215"/>
      <c r="E20" s="215" t="s">
        <v>166</v>
      </c>
      <c r="F20" s="215"/>
      <c r="G20" s="215"/>
    </row>
    <row r="21" spans="2:7" x14ac:dyDescent="0.2">
      <c r="B21" s="214"/>
      <c r="C21" s="215"/>
      <c r="D21" s="215"/>
      <c r="E21" s="215"/>
      <c r="F21" s="215" t="s">
        <v>169</v>
      </c>
      <c r="G21" s="215"/>
    </row>
    <row r="22" spans="2:7" x14ac:dyDescent="0.2">
      <c r="B22" s="214"/>
      <c r="C22" s="215"/>
      <c r="D22" s="215"/>
      <c r="E22" s="215"/>
      <c r="F22" s="215"/>
      <c r="G22" s="215"/>
    </row>
    <row r="23" spans="2:7" x14ac:dyDescent="0.2">
      <c r="B23" s="214"/>
      <c r="C23" s="215"/>
      <c r="D23" s="215"/>
      <c r="E23" s="215" t="s">
        <v>167</v>
      </c>
      <c r="F23" s="215"/>
      <c r="G23" s="215"/>
    </row>
    <row r="24" spans="2:7" x14ac:dyDescent="0.2">
      <c r="B24" s="214"/>
      <c r="C24" s="215"/>
      <c r="D24" s="215"/>
      <c r="E24" s="215"/>
      <c r="F24" s="215" t="s">
        <v>168</v>
      </c>
      <c r="G24" s="215"/>
    </row>
    <row r="34" spans="14:14" x14ac:dyDescent="0.2">
      <c r="N34" s="210" t="s">
        <v>77</v>
      </c>
    </row>
  </sheetData>
  <mergeCells count="3">
    <mergeCell ref="D6:H6"/>
    <mergeCell ref="D4:H4"/>
    <mergeCell ref="D8:E8"/>
  </mergeCells>
  <phoneticPr fontId="0" type="noConversion"/>
  <pageMargins left="0.75" right="0.75" top="1" bottom="1" header="0.5" footer="0.5"/>
  <pageSetup paperSize="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PrintPage">
                <anchor moveWithCells="1" sizeWithCells="1">
                  <from>
                    <xdr:col>0</xdr:col>
                    <xdr:colOff>523875</xdr:colOff>
                    <xdr:row>23</xdr:row>
                    <xdr:rowOff>66675</xdr:rowOff>
                  </from>
                  <to>
                    <xdr:col>2</xdr:col>
                    <xdr:colOff>28575</xdr:colOff>
                    <xdr:row>25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(1)_Summary_Data</vt:lpstr>
      <vt:lpstr>(2a)_Curve_Data</vt:lpstr>
      <vt:lpstr>(3a)_Curve_Data_with_n(risk)</vt:lpstr>
      <vt:lpstr>(4)_Output_Information</vt:lpstr>
      <vt:lpstr>WorkSummary</vt:lpstr>
      <vt:lpstr>(2b)_Curve_Copy</vt:lpstr>
      <vt:lpstr>(3b)_Curve_Copy</vt:lpstr>
    </vt:vector>
  </TitlesOfParts>
  <Company>MRC CTU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Sydes</dc:creator>
  <cp:lastModifiedBy>mbounthavong</cp:lastModifiedBy>
  <cp:lastPrinted>2023-02-11T22:35:10Z</cp:lastPrinted>
  <dcterms:created xsi:type="dcterms:W3CDTF">2003-08-15T16:52:13Z</dcterms:created>
  <dcterms:modified xsi:type="dcterms:W3CDTF">2023-02-13T00:55:20Z</dcterms:modified>
</cp:coreProperties>
</file>