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n.boisseaux\Dropbox\Mon PC (Jaboty20)\Post_doc_CalState_LA\ScoffoniLab_Kleaf\data\"/>
    </mc:Choice>
  </mc:AlternateContent>
  <xr:revisionPtr revIDLastSave="0" documentId="13_ncr:1_{164031C8-66A6-416C-ADD1-059A1B0526B9}" xr6:coauthVersionLast="47" xr6:coauthVersionMax="47" xr10:uidLastSave="{00000000-0000-0000-0000-000000000000}"/>
  <bookViews>
    <workbookView xWindow="-120" yWindow="-16320" windowWidth="29040" windowHeight="16440" activeTab="9" xr2:uid="{63D1BA6E-C94C-4260-825C-85D06C6809A1}"/>
  </bookViews>
  <sheets>
    <sheet name="CESE" sheetId="1" r:id="rId1"/>
    <sheet name="PADI" sheetId="2" r:id="rId2"/>
    <sheet name="AVSA" sheetId="3" r:id="rId3"/>
    <sheet name="STDE" sheetId="4" r:id="rId4"/>
    <sheet name="DASP" sheetId="5" r:id="rId5"/>
    <sheet name="CHLA" sheetId="6" r:id="rId6"/>
    <sheet name="ZEMA" sheetId="7" r:id="rId7"/>
    <sheet name="NAVI" sheetId="8" r:id="rId8"/>
    <sheet name="PABI" sheetId="9" r:id="rId9"/>
    <sheet name="ECCG" sheetId="10" r:id="rId10"/>
    <sheet name="SEIT" sheetId="11" r:id="rId11"/>
  </sheets>
  <definedNames>
    <definedName name="_xlnm._FilterDatabase" localSheetId="0" hidden="1">CESE!$A$1:$AE$23</definedName>
    <definedName name="_xlnm._FilterDatabase" localSheetId="9" hidden="1">ECCG!$A$1:$AE$39</definedName>
    <definedName name="_xlnm._FilterDatabase" localSheetId="10" hidden="1">SEIT!$A$1:$AE$21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1" i="10" l="1"/>
  <c r="V41" i="10" s="1"/>
  <c r="W41" i="10" s="1"/>
  <c r="X41" i="10"/>
  <c r="U42" i="10"/>
  <c r="V42" i="10" s="1"/>
  <c r="W42" i="10" s="1"/>
  <c r="X42" i="10"/>
  <c r="U43" i="10"/>
  <c r="V43" i="10" s="1"/>
  <c r="W43" i="10" s="1"/>
  <c r="X43" i="10"/>
  <c r="U44" i="10"/>
  <c r="V44" i="10"/>
  <c r="W44" i="10" s="1"/>
  <c r="X44" i="10"/>
  <c r="U45" i="10"/>
  <c r="V45" i="10" s="1"/>
  <c r="W45" i="10" s="1"/>
  <c r="X45" i="10"/>
  <c r="U46" i="10"/>
  <c r="V46" i="10" s="1"/>
  <c r="W46" i="10" s="1"/>
  <c r="X46" i="10"/>
  <c r="U47" i="10"/>
  <c r="V47" i="10" s="1"/>
  <c r="W47" i="10" s="1"/>
  <c r="X47" i="10"/>
  <c r="U48" i="10"/>
  <c r="V48" i="10" s="1"/>
  <c r="W48" i="10" s="1"/>
  <c r="X48" i="10"/>
  <c r="U49" i="10"/>
  <c r="V49" i="10" s="1"/>
  <c r="W49" i="10" s="1"/>
  <c r="X49" i="10"/>
  <c r="U50" i="10"/>
  <c r="V50" i="10" s="1"/>
  <c r="W50" i="10" s="1"/>
  <c r="X50" i="10"/>
  <c r="U51" i="10"/>
  <c r="V51" i="10" s="1"/>
  <c r="W51" i="10" s="1"/>
  <c r="X51" i="10"/>
  <c r="U52" i="10"/>
  <c r="V52" i="10" s="1"/>
  <c r="W52" i="10" s="1"/>
  <c r="X52" i="10"/>
  <c r="U53" i="10"/>
  <c r="V53" i="10" s="1"/>
  <c r="W53" i="10" s="1"/>
  <c r="X53" i="10"/>
  <c r="U54" i="10"/>
  <c r="V54" i="10"/>
  <c r="W54" i="10"/>
  <c r="X54" i="10"/>
  <c r="U55" i="10"/>
  <c r="V55" i="10"/>
  <c r="W55" i="10" s="1"/>
  <c r="X55" i="10"/>
  <c r="U56" i="10"/>
  <c r="V56" i="10"/>
  <c r="W56" i="10"/>
  <c r="X56" i="10"/>
  <c r="U57" i="10"/>
  <c r="V57" i="10"/>
  <c r="W57" i="10" s="1"/>
  <c r="X57" i="10"/>
  <c r="U58" i="10"/>
  <c r="V58" i="10"/>
  <c r="W58" i="10"/>
  <c r="X58" i="10"/>
  <c r="U59" i="10"/>
  <c r="V59" i="10"/>
  <c r="W59" i="10" s="1"/>
  <c r="X59" i="10"/>
  <c r="U60" i="10"/>
  <c r="V60" i="10"/>
  <c r="W60" i="10"/>
  <c r="X60" i="10"/>
  <c r="U32" i="1"/>
  <c r="V32" i="1" s="1"/>
  <c r="W32" i="1" s="1"/>
  <c r="X32" i="1"/>
  <c r="U33" i="1"/>
  <c r="V33" i="1"/>
  <c r="W33" i="1"/>
  <c r="X33" i="1"/>
  <c r="U34" i="1"/>
  <c r="V34" i="1" s="1"/>
  <c r="W34" i="1" s="1"/>
  <c r="X34" i="1"/>
  <c r="U35" i="1"/>
  <c r="V35" i="1"/>
  <c r="W35" i="1"/>
  <c r="X35" i="1"/>
  <c r="U36" i="1"/>
  <c r="V36" i="1" s="1"/>
  <c r="W36" i="1" s="1"/>
  <c r="X36" i="1"/>
  <c r="U37" i="1"/>
  <c r="V37" i="1"/>
  <c r="W37" i="1"/>
  <c r="X37" i="1"/>
  <c r="U38" i="1"/>
  <c r="V38" i="1" s="1"/>
  <c r="W38" i="1" s="1"/>
  <c r="X38" i="1"/>
  <c r="U39" i="1"/>
  <c r="V39" i="1"/>
  <c r="W39" i="1"/>
  <c r="X39" i="1"/>
  <c r="U40" i="1"/>
  <c r="V40" i="1" s="1"/>
  <c r="W40" i="1" s="1"/>
  <c r="X40" i="1"/>
  <c r="U41" i="1"/>
  <c r="V41" i="1"/>
  <c r="W41" i="1"/>
  <c r="X41" i="1"/>
  <c r="U42" i="1"/>
  <c r="V42" i="1" s="1"/>
  <c r="W42" i="1" s="1"/>
  <c r="X42" i="1"/>
  <c r="U43" i="1"/>
  <c r="V43" i="1"/>
  <c r="W43" i="1"/>
  <c r="X43" i="1"/>
  <c r="U44" i="1"/>
  <c r="V44" i="1" s="1"/>
  <c r="W44" i="1" s="1"/>
  <c r="X44" i="1"/>
  <c r="U29" i="3" l="1"/>
  <c r="V29" i="3" s="1"/>
  <c r="W29" i="3" s="1"/>
  <c r="U20" i="3"/>
  <c r="V20" i="3" s="1"/>
  <c r="W20" i="3" s="1"/>
  <c r="X20" i="3"/>
  <c r="U21" i="3"/>
  <c r="V21" i="3"/>
  <c r="W21" i="3" s="1"/>
  <c r="X21" i="3"/>
  <c r="U22" i="3"/>
  <c r="V22" i="3"/>
  <c r="W22" i="3" s="1"/>
  <c r="X22" i="3"/>
  <c r="U23" i="3"/>
  <c r="V23" i="3" s="1"/>
  <c r="W23" i="3" s="1"/>
  <c r="X23" i="3"/>
  <c r="U24" i="3"/>
  <c r="V24" i="3" s="1"/>
  <c r="W24" i="3" s="1"/>
  <c r="X24" i="3"/>
  <c r="U25" i="3"/>
  <c r="V25" i="3" s="1"/>
  <c r="W25" i="3" s="1"/>
  <c r="X25" i="3"/>
  <c r="U26" i="3"/>
  <c r="V26" i="3"/>
  <c r="W26" i="3" s="1"/>
  <c r="X26" i="3"/>
  <c r="U27" i="3"/>
  <c r="V27" i="3"/>
  <c r="W27" i="3"/>
  <c r="X27" i="3"/>
  <c r="U28" i="3"/>
  <c r="V28" i="3" s="1"/>
  <c r="W28" i="3" s="1"/>
  <c r="X28" i="3"/>
  <c r="X29" i="3"/>
  <c r="U30" i="3"/>
  <c r="V30" i="3" s="1"/>
  <c r="W30" i="3" s="1"/>
  <c r="X30" i="3"/>
  <c r="U31" i="3"/>
  <c r="V31" i="3" s="1"/>
  <c r="W31" i="3" s="1"/>
  <c r="X31" i="3"/>
  <c r="U25" i="5"/>
  <c r="V25" i="5"/>
  <c r="W25" i="5"/>
  <c r="U26" i="5"/>
  <c r="V26" i="5" s="1"/>
  <c r="W26" i="5" s="1"/>
  <c r="U27" i="5"/>
  <c r="V27" i="5" s="1"/>
  <c r="W27" i="5" s="1"/>
  <c r="U28" i="5"/>
  <c r="V28" i="5"/>
  <c r="W28" i="5" s="1"/>
  <c r="U29" i="5"/>
  <c r="V29" i="5" s="1"/>
  <c r="W29" i="5" s="1"/>
  <c r="U30" i="5"/>
  <c r="V30" i="5"/>
  <c r="W30" i="5" s="1"/>
  <c r="U31" i="5"/>
  <c r="V31" i="5"/>
  <c r="W31" i="5"/>
  <c r="U32" i="5"/>
  <c r="V32" i="5"/>
  <c r="W32" i="5"/>
  <c r="U33" i="5"/>
  <c r="V33" i="5"/>
  <c r="W33" i="5"/>
  <c r="U34" i="5"/>
  <c r="V34" i="5"/>
  <c r="W34" i="5" s="1"/>
  <c r="U35" i="5"/>
  <c r="V35" i="5"/>
  <c r="W35" i="5"/>
  <c r="U36" i="5"/>
  <c r="V36" i="5"/>
  <c r="W36" i="5" s="1"/>
  <c r="X36" i="5"/>
  <c r="X35" i="5"/>
  <c r="X34" i="5"/>
  <c r="X33" i="5"/>
  <c r="K34" i="5"/>
  <c r="X32" i="5"/>
  <c r="X31" i="5"/>
  <c r="X30" i="5"/>
  <c r="X29" i="5"/>
  <c r="X28" i="5"/>
  <c r="X27" i="5"/>
  <c r="X26" i="5"/>
  <c r="X25" i="5"/>
  <c r="K65" i="11"/>
  <c r="U28" i="11"/>
  <c r="V28" i="11" s="1"/>
  <c r="W28" i="11" s="1"/>
  <c r="U25" i="11"/>
  <c r="V25" i="11" s="1"/>
  <c r="W25" i="11" s="1"/>
  <c r="U12" i="11"/>
  <c r="V12" i="11" s="1"/>
  <c r="W12" i="11" s="1"/>
  <c r="U29" i="11"/>
  <c r="V29" i="11" s="1"/>
  <c r="W29" i="11" s="1"/>
  <c r="U10" i="11"/>
  <c r="V10" i="11" s="1"/>
  <c r="W10" i="11" s="1"/>
  <c r="U11" i="11"/>
  <c r="V11" i="11" s="1"/>
  <c r="W11" i="11" s="1"/>
  <c r="U26" i="11"/>
  <c r="V26" i="11" s="1"/>
  <c r="W26" i="11" s="1"/>
  <c r="U27" i="11"/>
  <c r="V27" i="11" s="1"/>
  <c r="W27" i="11" s="1"/>
  <c r="U30" i="11"/>
  <c r="V30" i="11" s="1"/>
  <c r="W30" i="11" s="1"/>
  <c r="U31" i="11"/>
  <c r="V31" i="11" s="1"/>
  <c r="W31" i="11" s="1"/>
  <c r="U32" i="11"/>
  <c r="V32" i="11" s="1"/>
  <c r="W32" i="11" s="1"/>
  <c r="U33" i="11"/>
  <c r="V33" i="11" s="1"/>
  <c r="W33" i="11" s="1"/>
  <c r="U34" i="11"/>
  <c r="V34" i="11" s="1"/>
  <c r="W34" i="11" s="1"/>
  <c r="X33" i="11"/>
  <c r="X34" i="11"/>
  <c r="X32" i="11"/>
  <c r="X31" i="11"/>
  <c r="X30" i="11"/>
  <c r="X29" i="11"/>
  <c r="X28" i="11"/>
  <c r="X27" i="11"/>
  <c r="X26" i="11"/>
  <c r="X25" i="11"/>
  <c r="X12" i="11"/>
  <c r="X11" i="11"/>
  <c r="X10" i="11"/>
  <c r="U14" i="11"/>
  <c r="V14" i="11" s="1"/>
  <c r="W14" i="11" s="1"/>
  <c r="X14" i="11"/>
  <c r="U19" i="11"/>
  <c r="V19" i="11" s="1"/>
  <c r="W19" i="11" s="1"/>
  <c r="X19" i="11"/>
  <c r="U16" i="11"/>
  <c r="V16" i="11" s="1"/>
  <c r="W16" i="11" s="1"/>
  <c r="X16" i="11"/>
  <c r="U15" i="11"/>
  <c r="V15" i="11" s="1"/>
  <c r="W15" i="11" s="1"/>
  <c r="X15" i="11"/>
  <c r="U22" i="11"/>
  <c r="V22" i="11" s="1"/>
  <c r="W22" i="11" s="1"/>
  <c r="X22" i="11"/>
  <c r="U23" i="11"/>
  <c r="V23" i="11" s="1"/>
  <c r="W23" i="11" s="1"/>
  <c r="X23" i="11"/>
  <c r="U17" i="11"/>
  <c r="V17" i="11" s="1"/>
  <c r="W17" i="11" s="1"/>
  <c r="X17" i="11"/>
  <c r="U6" i="11"/>
  <c r="V6" i="11" s="1"/>
  <c r="W6" i="11" s="1"/>
  <c r="X6" i="11"/>
  <c r="U2" i="11"/>
  <c r="V2" i="11" s="1"/>
  <c r="W2" i="11" s="1"/>
  <c r="X2" i="11"/>
  <c r="U5" i="11"/>
  <c r="V5" i="11" s="1"/>
  <c r="W5" i="11" s="1"/>
  <c r="X5" i="11"/>
  <c r="U9" i="11"/>
  <c r="V9" i="11" s="1"/>
  <c r="W9" i="11" s="1"/>
  <c r="X9" i="11"/>
  <c r="U7" i="11"/>
  <c r="V7" i="11" s="1"/>
  <c r="W7" i="11" s="1"/>
  <c r="X7" i="11"/>
  <c r="U3" i="11"/>
  <c r="V3" i="11" s="1"/>
  <c r="W3" i="11" s="1"/>
  <c r="X3" i="11"/>
  <c r="U8" i="11"/>
  <c r="V8" i="11" s="1"/>
  <c r="W8" i="11" s="1"/>
  <c r="X8" i="11"/>
  <c r="U4" i="11"/>
  <c r="V4" i="11" s="1"/>
  <c r="W4" i="11" s="1"/>
  <c r="X4" i="11"/>
  <c r="U24" i="11"/>
  <c r="V24" i="11" s="1"/>
  <c r="W24" i="11" s="1"/>
  <c r="X24" i="11"/>
  <c r="U18" i="11"/>
  <c r="V18" i="11" s="1"/>
  <c r="W18" i="11" s="1"/>
  <c r="X18" i="11"/>
  <c r="U20" i="11"/>
  <c r="V20" i="11" s="1"/>
  <c r="W20" i="11" s="1"/>
  <c r="X20" i="11"/>
  <c r="U21" i="11"/>
  <c r="V21" i="11" s="1"/>
  <c r="W21" i="11" s="1"/>
  <c r="X21" i="11"/>
  <c r="X13" i="11"/>
  <c r="U13" i="11"/>
  <c r="V13" i="11" s="1"/>
  <c r="S13" i="11"/>
  <c r="K13" i="11"/>
  <c r="X32" i="10"/>
  <c r="X22" i="10"/>
  <c r="U22" i="10"/>
  <c r="V22" i="10" s="1"/>
  <c r="U23" i="10"/>
  <c r="V23" i="10" s="1"/>
  <c r="W23" i="10" s="1"/>
  <c r="X23" i="10"/>
  <c r="U24" i="10"/>
  <c r="V24" i="10" s="1"/>
  <c r="W24" i="10" s="1"/>
  <c r="X24" i="10"/>
  <c r="U2" i="10"/>
  <c r="V2" i="10" s="1"/>
  <c r="W2" i="10" s="1"/>
  <c r="X2" i="10"/>
  <c r="U3" i="10"/>
  <c r="V3" i="10" s="1"/>
  <c r="W3" i="10" s="1"/>
  <c r="X3" i="10"/>
  <c r="U4" i="10"/>
  <c r="V4" i="10" s="1"/>
  <c r="W4" i="10" s="1"/>
  <c r="X4" i="10"/>
  <c r="U5" i="10"/>
  <c r="V5" i="10" s="1"/>
  <c r="W5" i="10" s="1"/>
  <c r="X5" i="10"/>
  <c r="U25" i="10"/>
  <c r="V25" i="10" s="1"/>
  <c r="W25" i="10" s="1"/>
  <c r="X25" i="10"/>
  <c r="U26" i="10"/>
  <c r="V26" i="10" s="1"/>
  <c r="W26" i="10" s="1"/>
  <c r="X26" i="10"/>
  <c r="U6" i="10"/>
  <c r="V6" i="10" s="1"/>
  <c r="W6" i="10" s="1"/>
  <c r="X6" i="10"/>
  <c r="U7" i="10"/>
  <c r="V7" i="10" s="1"/>
  <c r="W7" i="10" s="1"/>
  <c r="X7" i="10"/>
  <c r="U8" i="10"/>
  <c r="V8" i="10" s="1"/>
  <c r="W8" i="10" s="1"/>
  <c r="X8" i="10"/>
  <c r="U9" i="10"/>
  <c r="V9" i="10" s="1"/>
  <c r="W9" i="10" s="1"/>
  <c r="X9" i="10"/>
  <c r="U10" i="10"/>
  <c r="V10" i="10" s="1"/>
  <c r="W10" i="10" s="1"/>
  <c r="X10" i="10"/>
  <c r="U11" i="10"/>
  <c r="V11" i="10" s="1"/>
  <c r="W11" i="10" s="1"/>
  <c r="X11" i="10"/>
  <c r="U27" i="10"/>
  <c r="V27" i="10" s="1"/>
  <c r="W27" i="10" s="1"/>
  <c r="X27" i="10"/>
  <c r="U28" i="10"/>
  <c r="V28" i="10" s="1"/>
  <c r="W28" i="10" s="1"/>
  <c r="X28" i="10"/>
  <c r="U29" i="10"/>
  <c r="V29" i="10" s="1"/>
  <c r="W29" i="10" s="1"/>
  <c r="X29" i="10"/>
  <c r="U30" i="10"/>
  <c r="V30" i="10" s="1"/>
  <c r="W30" i="10" s="1"/>
  <c r="X30" i="10"/>
  <c r="U31" i="10"/>
  <c r="V31" i="10" s="1"/>
  <c r="W31" i="10" s="1"/>
  <c r="X31" i="10"/>
  <c r="U32" i="10"/>
  <c r="V32" i="10" s="1"/>
  <c r="W32" i="10" s="1"/>
  <c r="U12" i="10"/>
  <c r="V12" i="10" s="1"/>
  <c r="W12" i="10" s="1"/>
  <c r="X12" i="10"/>
  <c r="U13" i="10"/>
  <c r="V13" i="10" s="1"/>
  <c r="W13" i="10" s="1"/>
  <c r="X13" i="10"/>
  <c r="U14" i="10"/>
  <c r="V14" i="10" s="1"/>
  <c r="W14" i="10" s="1"/>
  <c r="X14" i="10"/>
  <c r="U15" i="10"/>
  <c r="V15" i="10" s="1"/>
  <c r="W15" i="10" s="1"/>
  <c r="X15" i="10"/>
  <c r="U16" i="10"/>
  <c r="V16" i="10" s="1"/>
  <c r="W16" i="10" s="1"/>
  <c r="X16" i="10"/>
  <c r="U17" i="10"/>
  <c r="V17" i="10" s="1"/>
  <c r="W17" i="10" s="1"/>
  <c r="X17" i="10"/>
  <c r="U18" i="10"/>
  <c r="V18" i="10" s="1"/>
  <c r="W18" i="10" s="1"/>
  <c r="X18" i="10"/>
  <c r="U19" i="10"/>
  <c r="V19" i="10" s="1"/>
  <c r="W19" i="10" s="1"/>
  <c r="X19" i="10"/>
  <c r="U20" i="10"/>
  <c r="V20" i="10" s="1"/>
  <c r="W20" i="10" s="1"/>
  <c r="X20" i="10"/>
  <c r="U33" i="10"/>
  <c r="V33" i="10" s="1"/>
  <c r="W33" i="10" s="1"/>
  <c r="X33" i="10"/>
  <c r="U34" i="10"/>
  <c r="V34" i="10"/>
  <c r="W34" i="10" s="1"/>
  <c r="X34" i="10"/>
  <c r="U35" i="10"/>
  <c r="V35" i="10" s="1"/>
  <c r="W35" i="10" s="1"/>
  <c r="X35" i="10"/>
  <c r="U36" i="10"/>
  <c r="V36" i="10" s="1"/>
  <c r="W36" i="10" s="1"/>
  <c r="X36" i="10"/>
  <c r="U37" i="10"/>
  <c r="V37" i="10" s="1"/>
  <c r="W37" i="10" s="1"/>
  <c r="X37" i="10"/>
  <c r="U38" i="10"/>
  <c r="V38" i="10" s="1"/>
  <c r="W38" i="10" s="1"/>
  <c r="X38" i="10"/>
  <c r="U39" i="10"/>
  <c r="V39" i="10" s="1"/>
  <c r="W39" i="10" s="1"/>
  <c r="X39" i="10"/>
  <c r="K22" i="10"/>
  <c r="X21" i="10"/>
  <c r="S21" i="10"/>
  <c r="U21" i="10" s="1"/>
  <c r="V21" i="10" s="1"/>
  <c r="K21" i="10"/>
  <c r="U23" i="9"/>
  <c r="V23" i="9" s="1"/>
  <c r="W23" i="9" s="1"/>
  <c r="U24" i="9"/>
  <c r="V24" i="9"/>
  <c r="W24" i="9"/>
  <c r="U25" i="9"/>
  <c r="V25" i="9"/>
  <c r="W25" i="9"/>
  <c r="U26" i="9"/>
  <c r="V26" i="9"/>
  <c r="W26" i="9" s="1"/>
  <c r="U27" i="9"/>
  <c r="V27" i="9"/>
  <c r="W27" i="9"/>
  <c r="U28" i="9"/>
  <c r="V28" i="9"/>
  <c r="W28" i="9"/>
  <c r="U29" i="9"/>
  <c r="V29" i="9" s="1"/>
  <c r="W29" i="9" s="1"/>
  <c r="U30" i="9"/>
  <c r="V30" i="9"/>
  <c r="W30" i="9" s="1"/>
  <c r="U31" i="9"/>
  <c r="V31" i="9"/>
  <c r="W31" i="9"/>
  <c r="U32" i="9"/>
  <c r="V32" i="9"/>
  <c r="W32" i="9"/>
  <c r="U33" i="9"/>
  <c r="V33" i="9" s="1"/>
  <c r="W33" i="9" s="1"/>
  <c r="U34" i="9"/>
  <c r="V34" i="9"/>
  <c r="W34" i="9" s="1"/>
  <c r="U35" i="9"/>
  <c r="V35" i="9"/>
  <c r="W35" i="9"/>
  <c r="U36" i="9"/>
  <c r="V36" i="9"/>
  <c r="W36" i="9"/>
  <c r="U37" i="9"/>
  <c r="V37" i="9" s="1"/>
  <c r="W37" i="9" s="1"/>
  <c r="U38" i="9"/>
  <c r="V38" i="9"/>
  <c r="W38" i="9" s="1"/>
  <c r="W22" i="10" l="1"/>
  <c r="W13" i="11"/>
  <c r="W21" i="10"/>
  <c r="X38" i="9"/>
  <c r="X37" i="9"/>
  <c r="X36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9" i="6"/>
  <c r="X28" i="6"/>
  <c r="X26" i="6"/>
  <c r="Y26" i="6" s="1"/>
  <c r="X24" i="6"/>
  <c r="Y24" i="6" s="1"/>
  <c r="X22" i="6"/>
  <c r="Y22" i="6" s="1"/>
  <c r="X23" i="6"/>
  <c r="X21" i="6"/>
  <c r="X20" i="6"/>
  <c r="X19" i="6"/>
  <c r="X18" i="6"/>
  <c r="Y18" i="6" s="1"/>
  <c r="X27" i="6"/>
  <c r="Y27" i="6" s="1"/>
  <c r="Y28" i="6"/>
  <c r="X2" i="6"/>
  <c r="S20" i="6"/>
  <c r="Z20" i="6" s="1"/>
  <c r="S18" i="6"/>
  <c r="Z18" i="6" s="1"/>
  <c r="W19" i="6"/>
  <c r="Y19" i="6"/>
  <c r="Y4" i="6"/>
  <c r="Z4" i="6"/>
  <c r="Y5" i="6"/>
  <c r="Z5" i="6"/>
  <c r="Y6" i="6"/>
  <c r="Z6" i="6"/>
  <c r="Y7" i="6"/>
  <c r="Z7" i="6"/>
  <c r="Y8" i="6"/>
  <c r="Z8" i="6"/>
  <c r="Y9" i="6"/>
  <c r="Z9" i="6"/>
  <c r="Y10" i="6"/>
  <c r="Z10" i="6"/>
  <c r="Y11" i="6"/>
  <c r="Z11" i="6"/>
  <c r="Y12" i="6"/>
  <c r="Z12" i="6"/>
  <c r="Y13" i="6"/>
  <c r="Z13" i="6"/>
  <c r="Y14" i="6"/>
  <c r="Z14" i="6"/>
  <c r="Y15" i="6"/>
  <c r="Z15" i="6"/>
  <c r="Y16" i="6"/>
  <c r="Z16" i="6"/>
  <c r="Y17" i="6"/>
  <c r="Z17" i="6"/>
  <c r="Z19" i="6"/>
  <c r="Y20" i="6"/>
  <c r="Y21" i="6"/>
  <c r="Z21" i="6"/>
  <c r="Z22" i="6"/>
  <c r="Y23" i="6"/>
  <c r="Z23" i="6"/>
  <c r="Z24" i="6"/>
  <c r="Y25" i="6"/>
  <c r="Z25" i="6"/>
  <c r="Z26" i="6"/>
  <c r="Z27" i="6"/>
  <c r="Z28" i="6"/>
  <c r="Y29" i="6"/>
  <c r="Z29" i="6"/>
  <c r="Y30" i="6"/>
  <c r="Z30" i="6"/>
  <c r="Y31" i="6"/>
  <c r="Z31" i="6"/>
  <c r="Y32" i="6"/>
  <c r="Z32" i="6"/>
  <c r="Y33" i="6"/>
  <c r="Z33" i="6"/>
  <c r="Y34" i="6"/>
  <c r="Z34" i="6"/>
  <c r="Y35" i="6"/>
  <c r="Z35" i="6"/>
  <c r="Y36" i="6"/>
  <c r="Z36" i="6"/>
  <c r="Y37" i="6"/>
  <c r="Z37" i="6"/>
  <c r="W25" i="1"/>
  <c r="W26" i="1"/>
  <c r="W27" i="1"/>
  <c r="W28" i="1"/>
  <c r="W29" i="1"/>
  <c r="W30" i="1"/>
  <c r="W23" i="1"/>
  <c r="W2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U19" i="9"/>
  <c r="V19" i="9" s="1"/>
  <c r="W19" i="9" s="1"/>
  <c r="U10" i="9"/>
  <c r="V10" i="9" s="1"/>
  <c r="W10" i="9" s="1"/>
  <c r="U11" i="9"/>
  <c r="V11" i="9" s="1"/>
  <c r="W11" i="9" s="1"/>
  <c r="U12" i="9"/>
  <c r="V12" i="9" s="1"/>
  <c r="W12" i="9" s="1"/>
  <c r="U13" i="9"/>
  <c r="V13" i="9" s="1"/>
  <c r="W13" i="9" s="1"/>
  <c r="U14" i="9"/>
  <c r="V14" i="9" s="1"/>
  <c r="W14" i="9" s="1"/>
  <c r="U15" i="9"/>
  <c r="V15" i="9" s="1"/>
  <c r="W15" i="9" s="1"/>
  <c r="U16" i="9"/>
  <c r="V16" i="9" s="1"/>
  <c r="W16" i="9" s="1"/>
  <c r="U17" i="9"/>
  <c r="V17" i="9" s="1"/>
  <c r="W17" i="9" s="1"/>
  <c r="U18" i="9"/>
  <c r="V18" i="9" s="1"/>
  <c r="W18" i="9" s="1"/>
  <c r="U20" i="9"/>
  <c r="V20" i="9" s="1"/>
  <c r="W20" i="9" s="1"/>
  <c r="U21" i="9"/>
  <c r="V21" i="9" s="1"/>
  <c r="W21" i="9" s="1"/>
  <c r="U22" i="9"/>
  <c r="V22" i="9" s="1"/>
  <c r="W22" i="9" s="1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3" i="9" l="1"/>
  <c r="X4" i="9"/>
  <c r="X5" i="9"/>
  <c r="X6" i="9"/>
  <c r="X7" i="9"/>
  <c r="X8" i="9"/>
  <c r="X9" i="9"/>
  <c r="U3" i="9"/>
  <c r="V3" i="9" s="1"/>
  <c r="W3" i="9" s="1"/>
  <c r="U4" i="9"/>
  <c r="V4" i="9" s="1"/>
  <c r="W4" i="9" s="1"/>
  <c r="U5" i="9"/>
  <c r="V5" i="9" s="1"/>
  <c r="W5" i="9" s="1"/>
  <c r="U6" i="9"/>
  <c r="V6" i="9" s="1"/>
  <c r="W6" i="9" s="1"/>
  <c r="U7" i="9"/>
  <c r="V7" i="9" s="1"/>
  <c r="W7" i="9" s="1"/>
  <c r="U8" i="9"/>
  <c r="V8" i="9" s="1"/>
  <c r="W8" i="9" s="1"/>
  <c r="U9" i="9"/>
  <c r="V9" i="9" s="1"/>
  <c r="W9" i="9" s="1"/>
  <c r="X2" i="9"/>
  <c r="S2" i="9"/>
  <c r="U2" i="9" s="1"/>
  <c r="V2" i="9" s="1"/>
  <c r="K2" i="9"/>
  <c r="U32" i="4"/>
  <c r="V32" i="4" s="1"/>
  <c r="W32" i="4" s="1"/>
  <c r="X32" i="4"/>
  <c r="U31" i="4"/>
  <c r="V31" i="4"/>
  <c r="W31" i="4" s="1"/>
  <c r="U30" i="4"/>
  <c r="V30" i="4"/>
  <c r="W30" i="4"/>
  <c r="X31" i="4"/>
  <c r="X30" i="4"/>
  <c r="U32" i="8"/>
  <c r="V32" i="8"/>
  <c r="W32" i="8" s="1"/>
  <c r="U33" i="8"/>
  <c r="V33" i="8"/>
  <c r="W33" i="8"/>
  <c r="U34" i="8"/>
  <c r="V34" i="8" s="1"/>
  <c r="W34" i="8" s="1"/>
  <c r="U31" i="8"/>
  <c r="V31" i="8" s="1"/>
  <c r="W31" i="8" s="1"/>
  <c r="U30" i="8"/>
  <c r="V30" i="8" s="1"/>
  <c r="W30" i="8" s="1"/>
  <c r="U29" i="8"/>
  <c r="V29" i="8"/>
  <c r="W29" i="8" s="1"/>
  <c r="U28" i="8"/>
  <c r="V28" i="8" s="1"/>
  <c r="W28" i="8" s="1"/>
  <c r="X34" i="8"/>
  <c r="X33" i="8"/>
  <c r="X32" i="8"/>
  <c r="X31" i="8"/>
  <c r="X30" i="8"/>
  <c r="X29" i="8"/>
  <c r="X28" i="8"/>
  <c r="S21" i="8"/>
  <c r="U21" i="8" s="1"/>
  <c r="V21" i="8" s="1"/>
  <c r="W21" i="8" s="1"/>
  <c r="U3" i="8"/>
  <c r="V3" i="8"/>
  <c r="W3" i="8" s="1"/>
  <c r="X3" i="8"/>
  <c r="U4" i="8"/>
  <c r="V4" i="8"/>
  <c r="W4" i="8" s="1"/>
  <c r="X4" i="8"/>
  <c r="U5" i="8"/>
  <c r="V5" i="8"/>
  <c r="W5" i="8"/>
  <c r="X5" i="8"/>
  <c r="U6" i="8"/>
  <c r="V6" i="8"/>
  <c r="W6" i="8"/>
  <c r="X6" i="8"/>
  <c r="U7" i="8"/>
  <c r="V7" i="8"/>
  <c r="W7" i="8"/>
  <c r="X7" i="8"/>
  <c r="U8" i="8"/>
  <c r="V8" i="8"/>
  <c r="W8" i="8"/>
  <c r="X8" i="8"/>
  <c r="U9" i="8"/>
  <c r="V9" i="8"/>
  <c r="W9" i="8"/>
  <c r="X9" i="8"/>
  <c r="U10" i="8"/>
  <c r="V10" i="8"/>
  <c r="W10" i="8"/>
  <c r="X10" i="8"/>
  <c r="U11" i="8"/>
  <c r="V11" i="8"/>
  <c r="W11" i="8"/>
  <c r="X11" i="8"/>
  <c r="U12" i="8"/>
  <c r="V12" i="8"/>
  <c r="W12" i="8"/>
  <c r="X12" i="8"/>
  <c r="U13" i="8"/>
  <c r="V13" i="8"/>
  <c r="W13" i="8"/>
  <c r="X13" i="8"/>
  <c r="U14" i="8"/>
  <c r="V14" i="8"/>
  <c r="W14" i="8"/>
  <c r="X14" i="8"/>
  <c r="U15" i="8"/>
  <c r="V15" i="8"/>
  <c r="W15" i="8"/>
  <c r="X15" i="8"/>
  <c r="U16" i="8"/>
  <c r="V16" i="8"/>
  <c r="W16" i="8"/>
  <c r="X16" i="8"/>
  <c r="U17" i="8"/>
  <c r="V17" i="8" s="1"/>
  <c r="W17" i="8" s="1"/>
  <c r="X17" i="8"/>
  <c r="U18" i="8"/>
  <c r="V18" i="8" s="1"/>
  <c r="W18" i="8" s="1"/>
  <c r="X18" i="8"/>
  <c r="U19" i="8"/>
  <c r="V19" i="8" s="1"/>
  <c r="W19" i="8" s="1"/>
  <c r="X19" i="8"/>
  <c r="U20" i="8"/>
  <c r="V20" i="8" s="1"/>
  <c r="W20" i="8" s="1"/>
  <c r="X20" i="8"/>
  <c r="X21" i="8"/>
  <c r="U22" i="8"/>
  <c r="V22" i="8" s="1"/>
  <c r="W22" i="8" s="1"/>
  <c r="X22" i="8"/>
  <c r="U23" i="8"/>
  <c r="V23" i="8" s="1"/>
  <c r="W23" i="8" s="1"/>
  <c r="X23" i="8"/>
  <c r="U24" i="8"/>
  <c r="V24" i="8" s="1"/>
  <c r="W24" i="8" s="1"/>
  <c r="X24" i="8"/>
  <c r="U25" i="8"/>
  <c r="V25" i="8" s="1"/>
  <c r="W25" i="8" s="1"/>
  <c r="X25" i="8"/>
  <c r="U26" i="8"/>
  <c r="V26" i="8" s="1"/>
  <c r="W26" i="8" s="1"/>
  <c r="X26" i="8"/>
  <c r="U27" i="8"/>
  <c r="V27" i="8" s="1"/>
  <c r="W27" i="8" s="1"/>
  <c r="X27" i="8"/>
  <c r="W2" i="9" l="1"/>
  <c r="K11" i="8"/>
  <c r="X2" i="8"/>
  <c r="S2" i="8"/>
  <c r="U2" i="8" s="1"/>
  <c r="V2" i="8" s="1"/>
  <c r="K2" i="8"/>
  <c r="V18" i="4"/>
  <c r="X26" i="4"/>
  <c r="X27" i="4"/>
  <c r="X28" i="4"/>
  <c r="X29" i="4"/>
  <c r="U24" i="4"/>
  <c r="V24" i="4" s="1"/>
  <c r="W24" i="4" s="1"/>
  <c r="U25" i="4"/>
  <c r="V25" i="4" s="1"/>
  <c r="W25" i="4" s="1"/>
  <c r="U26" i="4"/>
  <c r="V26" i="4" s="1"/>
  <c r="W26" i="4" s="1"/>
  <c r="U27" i="4"/>
  <c r="V27" i="4" s="1"/>
  <c r="W27" i="4" s="1"/>
  <c r="U28" i="4"/>
  <c r="V28" i="4"/>
  <c r="W28" i="4" s="1"/>
  <c r="U29" i="4"/>
  <c r="V29" i="4" s="1"/>
  <c r="W29" i="4" s="1"/>
  <c r="X31" i="7"/>
  <c r="X32" i="7"/>
  <c r="U29" i="7"/>
  <c r="V29" i="7"/>
  <c r="W29" i="7" s="1"/>
  <c r="U30" i="7"/>
  <c r="V30" i="7"/>
  <c r="W30" i="7" s="1"/>
  <c r="U31" i="7"/>
  <c r="V31" i="7" s="1"/>
  <c r="W31" i="7" s="1"/>
  <c r="U32" i="7"/>
  <c r="V32" i="7"/>
  <c r="W32" i="7" s="1"/>
  <c r="X25" i="4"/>
  <c r="X24" i="4"/>
  <c r="X30" i="7"/>
  <c r="U28" i="7"/>
  <c r="V28" i="7"/>
  <c r="W28" i="7"/>
  <c r="U27" i="7"/>
  <c r="V27" i="7" s="1"/>
  <c r="W27" i="7" s="1"/>
  <c r="U26" i="7"/>
  <c r="V26" i="7"/>
  <c r="W26" i="7" s="1"/>
  <c r="X29" i="7"/>
  <c r="X28" i="7"/>
  <c r="X27" i="7"/>
  <c r="X26" i="7"/>
  <c r="U19" i="7"/>
  <c r="V19" i="7"/>
  <c r="W19" i="7"/>
  <c r="U20" i="7"/>
  <c r="V20" i="7"/>
  <c r="W20" i="7"/>
  <c r="U21" i="7"/>
  <c r="V21" i="7"/>
  <c r="W21" i="7"/>
  <c r="U22" i="7"/>
  <c r="V22" i="7"/>
  <c r="W22" i="7"/>
  <c r="U23" i="7"/>
  <c r="V23" i="7"/>
  <c r="W23" i="7"/>
  <c r="U24" i="7"/>
  <c r="V24" i="7"/>
  <c r="W24" i="7"/>
  <c r="U25" i="7"/>
  <c r="V25" i="7"/>
  <c r="W25" i="7"/>
  <c r="X25" i="7"/>
  <c r="X24" i="7"/>
  <c r="X23" i="7"/>
  <c r="X22" i="7"/>
  <c r="X21" i="7"/>
  <c r="X20" i="7"/>
  <c r="X19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V3" i="7"/>
  <c r="W3" i="7"/>
  <c r="X3" i="7"/>
  <c r="V4" i="7"/>
  <c r="W4" i="7"/>
  <c r="X4" i="7"/>
  <c r="V5" i="7"/>
  <c r="W5" i="7"/>
  <c r="X5" i="7"/>
  <c r="V6" i="7"/>
  <c r="W6" i="7"/>
  <c r="X6" i="7"/>
  <c r="V7" i="7"/>
  <c r="W7" i="7"/>
  <c r="X7" i="7"/>
  <c r="V8" i="7"/>
  <c r="W8" i="7"/>
  <c r="X8" i="7"/>
  <c r="V9" i="7"/>
  <c r="W9" i="7"/>
  <c r="X9" i="7"/>
  <c r="V10" i="7"/>
  <c r="W10" i="7"/>
  <c r="X10" i="7"/>
  <c r="V11" i="7"/>
  <c r="W11" i="7"/>
  <c r="X11" i="7"/>
  <c r="V12" i="7"/>
  <c r="W12" i="7"/>
  <c r="X12" i="7"/>
  <c r="V13" i="7"/>
  <c r="W13" i="7"/>
  <c r="X13" i="7"/>
  <c r="V14" i="7"/>
  <c r="W14" i="7"/>
  <c r="X14" i="7"/>
  <c r="V15" i="7"/>
  <c r="W15" i="7"/>
  <c r="X15" i="7"/>
  <c r="V16" i="7"/>
  <c r="W16" i="7"/>
  <c r="X16" i="7"/>
  <c r="V17" i="7"/>
  <c r="W17" i="7"/>
  <c r="X17" i="7"/>
  <c r="V18" i="7"/>
  <c r="W18" i="7"/>
  <c r="X18" i="7"/>
  <c r="X2" i="7"/>
  <c r="S2" i="7"/>
  <c r="U2" i="7"/>
  <c r="V2" i="7"/>
  <c r="K2" i="7"/>
  <c r="W2" i="7"/>
  <c r="U37" i="6"/>
  <c r="U36" i="6"/>
  <c r="U32" i="6"/>
  <c r="W22" i="6"/>
  <c r="W23" i="6"/>
  <c r="W24" i="6"/>
  <c r="W25" i="6"/>
  <c r="X25" i="6"/>
  <c r="W26" i="6"/>
  <c r="W27" i="6"/>
  <c r="W28" i="6"/>
  <c r="W29" i="6"/>
  <c r="W30" i="6"/>
  <c r="X30" i="6"/>
  <c r="W31" i="6"/>
  <c r="X31" i="6"/>
  <c r="W32" i="6"/>
  <c r="X32" i="6"/>
  <c r="W33" i="6"/>
  <c r="X33" i="6"/>
  <c r="W34" i="6"/>
  <c r="X34" i="6"/>
  <c r="W35" i="6"/>
  <c r="X35" i="6"/>
  <c r="W36" i="6"/>
  <c r="X36" i="6"/>
  <c r="W37" i="6"/>
  <c r="X37" i="6"/>
  <c r="S28" i="6"/>
  <c r="S27" i="6"/>
  <c r="S26" i="6"/>
  <c r="S24" i="6"/>
  <c r="S25" i="6"/>
  <c r="S23" i="6"/>
  <c r="S22" i="6"/>
  <c r="U19" i="6"/>
  <c r="U21" i="6"/>
  <c r="U20" i="6"/>
  <c r="W20" i="6"/>
  <c r="W21" i="6"/>
  <c r="U18" i="6"/>
  <c r="S21" i="6"/>
  <c r="S19" i="6"/>
  <c r="W18" i="6"/>
  <c r="X2" i="1"/>
  <c r="Q2" i="1"/>
  <c r="U17" i="6"/>
  <c r="U13" i="6"/>
  <c r="U12" i="6"/>
  <c r="U14" i="6"/>
  <c r="U9" i="6"/>
  <c r="U8" i="6"/>
  <c r="U16" i="6"/>
  <c r="U15" i="6"/>
  <c r="U11" i="6"/>
  <c r="W11" i="6"/>
  <c r="X11" i="6"/>
  <c r="W12" i="6"/>
  <c r="X12" i="6"/>
  <c r="W13" i="6"/>
  <c r="X13" i="6"/>
  <c r="W14" i="6"/>
  <c r="X14" i="6"/>
  <c r="W15" i="6"/>
  <c r="X15" i="6"/>
  <c r="W16" i="6"/>
  <c r="X16" i="6"/>
  <c r="W17" i="6"/>
  <c r="X17" i="6"/>
  <c r="U10" i="6"/>
  <c r="U7" i="6"/>
  <c r="U6" i="6"/>
  <c r="U5" i="6"/>
  <c r="U4" i="6"/>
  <c r="U3" i="6"/>
  <c r="W3" i="6"/>
  <c r="X3" i="6"/>
  <c r="Y3" i="6"/>
  <c r="Z3" i="6"/>
  <c r="W4" i="6"/>
  <c r="X4" i="6"/>
  <c r="W5" i="6"/>
  <c r="X5" i="6"/>
  <c r="W6" i="6"/>
  <c r="X6" i="6"/>
  <c r="W7" i="6"/>
  <c r="X7" i="6"/>
  <c r="W8" i="6"/>
  <c r="X8" i="6"/>
  <c r="W9" i="6"/>
  <c r="X9" i="6"/>
  <c r="W10" i="6"/>
  <c r="X10" i="6"/>
  <c r="Z2" i="6"/>
  <c r="U2" i="6"/>
  <c r="W2" i="6"/>
  <c r="M2" i="6"/>
  <c r="Y2" i="6"/>
  <c r="V14" i="5"/>
  <c r="U19" i="5"/>
  <c r="V19" i="5"/>
  <c r="W19" i="5"/>
  <c r="X19" i="5"/>
  <c r="U20" i="5"/>
  <c r="V20" i="5"/>
  <c r="W20" i="5"/>
  <c r="X20" i="5"/>
  <c r="U21" i="5"/>
  <c r="V21" i="5"/>
  <c r="W21" i="5"/>
  <c r="X21" i="5"/>
  <c r="U22" i="5"/>
  <c r="V22" i="5"/>
  <c r="W22" i="5"/>
  <c r="X22" i="5"/>
  <c r="U23" i="5"/>
  <c r="V23" i="5"/>
  <c r="W23" i="5"/>
  <c r="X23" i="5"/>
  <c r="U24" i="5"/>
  <c r="V24" i="5"/>
  <c r="W24" i="5"/>
  <c r="X24" i="5"/>
  <c r="K23" i="5"/>
  <c r="U3" i="5"/>
  <c r="V3" i="5"/>
  <c r="W3" i="5"/>
  <c r="X3" i="5"/>
  <c r="U4" i="5"/>
  <c r="V4" i="5"/>
  <c r="W4" i="5"/>
  <c r="X4" i="5"/>
  <c r="U5" i="5"/>
  <c r="V5" i="5"/>
  <c r="W5" i="5"/>
  <c r="X5" i="5"/>
  <c r="U6" i="5"/>
  <c r="V6" i="5"/>
  <c r="W6" i="5"/>
  <c r="X6" i="5"/>
  <c r="U7" i="5"/>
  <c r="V7" i="5"/>
  <c r="W7" i="5"/>
  <c r="X7" i="5"/>
  <c r="U8" i="5"/>
  <c r="V8" i="5"/>
  <c r="W8" i="5"/>
  <c r="X8" i="5"/>
  <c r="U9" i="5"/>
  <c r="V9" i="5"/>
  <c r="W9" i="5"/>
  <c r="X9" i="5"/>
  <c r="U10" i="5"/>
  <c r="V10" i="5"/>
  <c r="W10" i="5"/>
  <c r="X10" i="5"/>
  <c r="U11" i="5"/>
  <c r="V11" i="5"/>
  <c r="W11" i="5"/>
  <c r="X11" i="5"/>
  <c r="U12" i="5"/>
  <c r="V12" i="5"/>
  <c r="W12" i="5"/>
  <c r="X12" i="5"/>
  <c r="U13" i="5"/>
  <c r="V13" i="5"/>
  <c r="W13" i="5"/>
  <c r="X13" i="5"/>
  <c r="U14" i="5"/>
  <c r="W14" i="5"/>
  <c r="X14" i="5"/>
  <c r="U15" i="5"/>
  <c r="V15" i="5"/>
  <c r="W15" i="5"/>
  <c r="X15" i="5"/>
  <c r="U16" i="5"/>
  <c r="V16" i="5"/>
  <c r="W16" i="5"/>
  <c r="X16" i="5"/>
  <c r="U17" i="5"/>
  <c r="V17" i="5"/>
  <c r="W17" i="5"/>
  <c r="X17" i="5"/>
  <c r="U18" i="5"/>
  <c r="V18" i="5"/>
  <c r="W18" i="5"/>
  <c r="X18" i="5"/>
  <c r="S12" i="5"/>
  <c r="S11" i="5"/>
  <c r="S10" i="5"/>
  <c r="S9" i="5"/>
  <c r="S8" i="5"/>
  <c r="S7" i="5"/>
  <c r="S6" i="5"/>
  <c r="S3" i="5"/>
  <c r="X2" i="5"/>
  <c r="S2" i="5"/>
  <c r="U2" i="5"/>
  <c r="V2" i="5"/>
  <c r="K2" i="5"/>
  <c r="W2" i="5"/>
  <c r="S23" i="4"/>
  <c r="S22" i="4"/>
  <c r="S21" i="4"/>
  <c r="S20" i="4"/>
  <c r="S19" i="4"/>
  <c r="U20" i="4"/>
  <c r="V20" i="4"/>
  <c r="W20" i="4"/>
  <c r="X20" i="4"/>
  <c r="U21" i="4"/>
  <c r="V21" i="4"/>
  <c r="W21" i="4"/>
  <c r="X21" i="4"/>
  <c r="U22" i="4"/>
  <c r="V22" i="4"/>
  <c r="W22" i="4"/>
  <c r="X22" i="4"/>
  <c r="U23" i="4"/>
  <c r="V23" i="4"/>
  <c r="W23" i="4"/>
  <c r="X23" i="4"/>
  <c r="K13" i="4"/>
  <c r="S18" i="4"/>
  <c r="S17" i="4"/>
  <c r="S15" i="4"/>
  <c r="S14" i="4"/>
  <c r="S13" i="4"/>
  <c r="S16" i="4"/>
  <c r="U13" i="4"/>
  <c r="V13" i="4"/>
  <c r="W13" i="4"/>
  <c r="X13" i="4"/>
  <c r="U14" i="4"/>
  <c r="V14" i="4"/>
  <c r="W14" i="4"/>
  <c r="X14" i="4"/>
  <c r="U15" i="4"/>
  <c r="V15" i="4"/>
  <c r="W15" i="4"/>
  <c r="X15" i="4"/>
  <c r="U16" i="4"/>
  <c r="V16" i="4"/>
  <c r="W16" i="4"/>
  <c r="X16" i="4"/>
  <c r="U17" i="4"/>
  <c r="V17" i="4"/>
  <c r="W17" i="4"/>
  <c r="X17" i="4"/>
  <c r="U18" i="4"/>
  <c r="W18" i="4"/>
  <c r="X18" i="4"/>
  <c r="U19" i="4"/>
  <c r="V19" i="4"/>
  <c r="W19" i="4"/>
  <c r="X19" i="4"/>
  <c r="S12" i="4"/>
  <c r="S11" i="4"/>
  <c r="S9" i="4"/>
  <c r="S8" i="4"/>
  <c r="S10" i="4"/>
  <c r="S7" i="4"/>
  <c r="V6" i="4"/>
  <c r="W6" i="4"/>
  <c r="X6" i="4"/>
  <c r="U7" i="4"/>
  <c r="V7" i="4"/>
  <c r="W7" i="4"/>
  <c r="X7" i="4"/>
  <c r="U8" i="4"/>
  <c r="V8" i="4"/>
  <c r="W8" i="4"/>
  <c r="X8" i="4"/>
  <c r="U9" i="4"/>
  <c r="V9" i="4"/>
  <c r="W9" i="4"/>
  <c r="X9" i="4"/>
  <c r="U10" i="4"/>
  <c r="V10" i="4"/>
  <c r="W10" i="4"/>
  <c r="X10" i="4"/>
  <c r="U11" i="4"/>
  <c r="V11" i="4"/>
  <c r="W11" i="4"/>
  <c r="X11" i="4"/>
  <c r="U12" i="4"/>
  <c r="V12" i="4"/>
  <c r="W12" i="4"/>
  <c r="X12" i="4"/>
  <c r="S6" i="4"/>
  <c r="S5" i="4"/>
  <c r="S3" i="4"/>
  <c r="S4" i="4"/>
  <c r="X3" i="4"/>
  <c r="X4" i="4"/>
  <c r="X5" i="4"/>
  <c r="U3" i="4"/>
  <c r="V3" i="4"/>
  <c r="W3" i="4"/>
  <c r="U4" i="4"/>
  <c r="V4" i="4"/>
  <c r="W4" i="4"/>
  <c r="U5" i="4"/>
  <c r="V5" i="4"/>
  <c r="W5" i="4"/>
  <c r="U6" i="4"/>
  <c r="X2" i="4"/>
  <c r="S2" i="4"/>
  <c r="U2" i="4"/>
  <c r="V2" i="4"/>
  <c r="K2" i="4"/>
  <c r="W2" i="4"/>
  <c r="S18" i="3"/>
  <c r="S17" i="3"/>
  <c r="S16" i="3"/>
  <c r="U17" i="3"/>
  <c r="V17" i="3"/>
  <c r="W17" i="3"/>
  <c r="X17" i="3"/>
  <c r="U18" i="3"/>
  <c r="V18" i="3"/>
  <c r="W18" i="3"/>
  <c r="X18" i="3"/>
  <c r="X16" i="3"/>
  <c r="X15" i="3"/>
  <c r="X14" i="3"/>
  <c r="X12" i="3"/>
  <c r="X13" i="3"/>
  <c r="U12" i="3"/>
  <c r="V12" i="3"/>
  <c r="W12" i="3"/>
  <c r="U13" i="3"/>
  <c r="V13" i="3"/>
  <c r="W13" i="3"/>
  <c r="U14" i="3"/>
  <c r="V14" i="3"/>
  <c r="W14" i="3"/>
  <c r="U15" i="3"/>
  <c r="V15" i="3"/>
  <c r="W15" i="3"/>
  <c r="U16" i="3"/>
  <c r="V16" i="3"/>
  <c r="W16" i="3"/>
  <c r="S15" i="3"/>
  <c r="S14" i="3"/>
  <c r="S13" i="3"/>
  <c r="S12" i="3"/>
  <c r="U9" i="3"/>
  <c r="V9" i="3"/>
  <c r="W9" i="3"/>
  <c r="X9" i="3"/>
  <c r="U10" i="3"/>
  <c r="V10" i="3"/>
  <c r="W10" i="3"/>
  <c r="X10" i="3"/>
  <c r="U11" i="3"/>
  <c r="V11" i="3"/>
  <c r="W11" i="3"/>
  <c r="X11" i="3"/>
  <c r="S11" i="3"/>
  <c r="S10" i="3"/>
  <c r="S9" i="3"/>
  <c r="U3" i="3"/>
  <c r="V3" i="3"/>
  <c r="W3" i="3"/>
  <c r="X3" i="3"/>
  <c r="U4" i="3"/>
  <c r="V4" i="3"/>
  <c r="W4" i="3"/>
  <c r="X4" i="3"/>
  <c r="U5" i="3"/>
  <c r="V5" i="3"/>
  <c r="W5" i="3"/>
  <c r="X5" i="3"/>
  <c r="U6" i="3"/>
  <c r="V6" i="3"/>
  <c r="W6" i="3"/>
  <c r="X6" i="3"/>
  <c r="U7" i="3"/>
  <c r="V7" i="3"/>
  <c r="W7" i="3"/>
  <c r="X7" i="3"/>
  <c r="U8" i="3"/>
  <c r="V8" i="3"/>
  <c r="W8" i="3"/>
  <c r="X8" i="3"/>
  <c r="S6" i="3"/>
  <c r="S8" i="3"/>
  <c r="S5" i="3"/>
  <c r="S4" i="3"/>
  <c r="S3" i="3"/>
  <c r="S7" i="3"/>
  <c r="X2" i="3"/>
  <c r="S2" i="3"/>
  <c r="U2" i="3"/>
  <c r="V2" i="3"/>
  <c r="K2" i="3"/>
  <c r="W2" i="3"/>
  <c r="U18" i="2"/>
  <c r="V18" i="2"/>
  <c r="W18" i="2"/>
  <c r="X18" i="2"/>
  <c r="U19" i="2"/>
  <c r="V19" i="2"/>
  <c r="W19" i="2"/>
  <c r="X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S24" i="2"/>
  <c r="S25" i="2"/>
  <c r="S26" i="2"/>
  <c r="S23" i="2"/>
  <c r="S22" i="2"/>
  <c r="S21" i="2"/>
  <c r="S19" i="2"/>
  <c r="S20" i="2"/>
  <c r="U4" i="2"/>
  <c r="V4" i="2"/>
  <c r="W4" i="2"/>
  <c r="X4" i="2"/>
  <c r="U5" i="2"/>
  <c r="V5" i="2"/>
  <c r="W5" i="2"/>
  <c r="X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X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S15" i="2"/>
  <c r="S16" i="2"/>
  <c r="S17" i="2"/>
  <c r="S14" i="2"/>
  <c r="S13" i="2"/>
  <c r="S12" i="2"/>
  <c r="S10" i="2"/>
  <c r="S9" i="2"/>
  <c r="S11" i="2"/>
  <c r="S8" i="2"/>
  <c r="S7" i="2"/>
  <c r="S6" i="2"/>
  <c r="S5" i="2"/>
  <c r="S4" i="2"/>
  <c r="S3" i="2"/>
  <c r="X3" i="2"/>
  <c r="U3" i="2"/>
  <c r="V3" i="2"/>
  <c r="W3" i="2"/>
  <c r="X2" i="2"/>
  <c r="S2" i="2"/>
  <c r="U2" i="2"/>
  <c r="V2" i="2"/>
  <c r="K2" i="2"/>
  <c r="W2" i="2"/>
  <c r="V30" i="1"/>
  <c r="U29" i="1"/>
  <c r="V29" i="1"/>
  <c r="U30" i="1"/>
  <c r="X30" i="1"/>
  <c r="X29" i="1"/>
  <c r="S30" i="1"/>
  <c r="S29" i="1"/>
  <c r="U15" i="1"/>
  <c r="V15" i="1"/>
  <c r="X15" i="1"/>
  <c r="S15" i="1"/>
  <c r="S14" i="1"/>
  <c r="U14" i="1"/>
  <c r="V14" i="1"/>
  <c r="S13" i="1"/>
  <c r="U13" i="1"/>
  <c r="V13" i="1"/>
  <c r="X13" i="1"/>
  <c r="U27" i="1"/>
  <c r="V27" i="1"/>
  <c r="X27" i="1"/>
  <c r="U28" i="1"/>
  <c r="V28" i="1"/>
  <c r="X28" i="1"/>
  <c r="X14" i="1"/>
  <c r="S28" i="1"/>
  <c r="S27" i="1"/>
  <c r="U10" i="1"/>
  <c r="V10" i="1"/>
  <c r="U11" i="1"/>
  <c r="V11" i="1"/>
  <c r="U12" i="1"/>
  <c r="V12" i="1"/>
  <c r="U26" i="1"/>
  <c r="V26" i="1"/>
  <c r="U25" i="1"/>
  <c r="V25" i="1"/>
  <c r="X25" i="1"/>
  <c r="X26" i="1"/>
  <c r="X12" i="1"/>
  <c r="X11" i="1"/>
  <c r="X10" i="1"/>
  <c r="S12" i="1"/>
  <c r="S11" i="1"/>
  <c r="S10" i="1"/>
  <c r="S26" i="1"/>
  <c r="S25" i="1"/>
  <c r="U24" i="1"/>
  <c r="V24" i="1"/>
  <c r="S24" i="1"/>
  <c r="S23" i="1"/>
  <c r="U23" i="1"/>
  <c r="V23" i="1"/>
  <c r="U22" i="1"/>
  <c r="V22" i="1"/>
  <c r="S22" i="1"/>
  <c r="X24" i="1"/>
  <c r="X23" i="1"/>
  <c r="X22" i="1"/>
  <c r="U8" i="1"/>
  <c r="V8" i="1"/>
  <c r="X8" i="1"/>
  <c r="U9" i="1"/>
  <c r="V9" i="1"/>
  <c r="X9" i="1"/>
  <c r="S9" i="1"/>
  <c r="S8" i="1"/>
  <c r="S3" i="1"/>
  <c r="U3" i="1"/>
  <c r="V3" i="1"/>
  <c r="X3" i="1"/>
  <c r="X4" i="1"/>
  <c r="X5" i="1"/>
  <c r="X6" i="1"/>
  <c r="X7" i="1"/>
  <c r="X16" i="1"/>
  <c r="X17" i="1"/>
  <c r="X18" i="1"/>
  <c r="X19" i="1"/>
  <c r="X20" i="1"/>
  <c r="X21" i="1"/>
  <c r="K18" i="1"/>
  <c r="K3" i="1"/>
  <c r="S21" i="1"/>
  <c r="U21" i="1"/>
  <c r="V21" i="1"/>
  <c r="S20" i="1"/>
  <c r="U20" i="1"/>
  <c r="V20" i="1"/>
  <c r="S19" i="1"/>
  <c r="U19" i="1"/>
  <c r="V19" i="1"/>
  <c r="S18" i="1"/>
  <c r="U18" i="1"/>
  <c r="V18" i="1"/>
  <c r="S17" i="1"/>
  <c r="U17" i="1"/>
  <c r="V17" i="1"/>
  <c r="S16" i="1"/>
  <c r="U16" i="1"/>
  <c r="V16" i="1"/>
  <c r="S7" i="1"/>
  <c r="U7" i="1"/>
  <c r="V7" i="1"/>
  <c r="S6" i="1"/>
  <c r="U6" i="1"/>
  <c r="V6" i="1"/>
  <c r="S5" i="1"/>
  <c r="U5" i="1"/>
  <c r="V5" i="1"/>
  <c r="S4" i="1"/>
  <c r="U4" i="1"/>
  <c r="V4" i="1"/>
  <c r="AC2" i="1"/>
  <c r="AE2" i="1"/>
  <c r="AB2" i="1"/>
  <c r="AD2" i="1"/>
  <c r="U2" i="1"/>
  <c r="V2" i="1"/>
  <c r="W2" i="1"/>
  <c r="W2" i="8" l="1"/>
</calcChain>
</file>

<file path=xl/sharedStrings.xml><?xml version="1.0" encoding="utf-8"?>
<sst xmlns="http://schemas.openxmlformats.org/spreadsheetml/2006/main" count="1133" uniqueCount="125">
  <si>
    <t>Specie</t>
  </si>
  <si>
    <t>E</t>
  </si>
  <si>
    <t>cv</t>
  </si>
  <si>
    <t>Tleaf (C°)</t>
  </si>
  <si>
    <t>Tair (C°)</t>
  </si>
  <si>
    <t>T weather station (C°)</t>
  </si>
  <si>
    <t>RH (%)</t>
  </si>
  <si>
    <t>VP_leaf</t>
  </si>
  <si>
    <t>VP_P</t>
  </si>
  <si>
    <t>VPD_leaf</t>
  </si>
  <si>
    <t>VPDprob</t>
  </si>
  <si>
    <t>Psileaf_ini_1 (Mpa)</t>
  </si>
  <si>
    <t>Psileaf_ini_2 (Mpa)</t>
  </si>
  <si>
    <t>mean_Psi_ini(Mpa)</t>
  </si>
  <si>
    <t>Psileaf_fin (Mpa)</t>
  </si>
  <si>
    <t>Area_p (pixel)</t>
  </si>
  <si>
    <t>Scale</t>
  </si>
  <si>
    <t>Area (cm²)</t>
  </si>
  <si>
    <t>Kleaf (mmol m-2 s-1 MPa-1)</t>
  </si>
  <si>
    <t>Kleaf Tcorr (mmol m-2 s-1 MPa-1)</t>
  </si>
  <si>
    <t>Lowest Psileaf (Mpa)</t>
  </si>
  <si>
    <t>Individual</t>
  </si>
  <si>
    <t>Leaf</t>
  </si>
  <si>
    <t>Start time</t>
  </si>
  <si>
    <t>End time</t>
  </si>
  <si>
    <t>Light</t>
  </si>
  <si>
    <t>example</t>
  </si>
  <si>
    <t>CESE</t>
  </si>
  <si>
    <t>&gt;1000</t>
  </si>
  <si>
    <t>Computer number</t>
  </si>
  <si>
    <t>Date</t>
  </si>
  <si>
    <t>Notes</t>
  </si>
  <si>
    <t>data lost on excel only written in my lab book</t>
  </si>
  <si>
    <t>cv too high</t>
  </si>
  <si>
    <t>psileaf value in the middle but value on the side was 0.190</t>
  </si>
  <si>
    <t>ok</t>
  </si>
  <si>
    <t>middle water potential 1.757 but side water potential 0.613</t>
  </si>
  <si>
    <t>PADI</t>
  </si>
  <si>
    <t>could not do the potential, the leaf broke while doing it</t>
  </si>
  <si>
    <t>AVSA</t>
  </si>
  <si>
    <t>STDE</t>
  </si>
  <si>
    <t>flow is very low</t>
  </si>
  <si>
    <t>cv is high</t>
  </si>
  <si>
    <t>leaf teared during pressure bomb</t>
  </si>
  <si>
    <t>DASP</t>
  </si>
  <si>
    <t>but the leaf broke</t>
  </si>
  <si>
    <t>flow was constant</t>
  </si>
  <si>
    <t>CHLA</t>
  </si>
  <si>
    <t>was long to stabilize</t>
  </si>
  <si>
    <t>there was a leak, it was fixed</t>
  </si>
  <si>
    <t>:</t>
  </si>
  <si>
    <t>there was a leak but was fixed</t>
  </si>
  <si>
    <t>measurement before cleaning the system</t>
  </si>
  <si>
    <t>but stable; measurement before cleaning the system</t>
  </si>
  <si>
    <t>when doing pressure bomb, leaf recut and the little leaf piece not taken into account in LA calculations</t>
  </si>
  <si>
    <t>very low flow but stable</t>
  </si>
  <si>
    <t>Indiv_correct</t>
  </si>
  <si>
    <t>Leaf_correct</t>
  </si>
  <si>
    <t>very low flow but was stable</t>
  </si>
  <si>
    <t>ZEMA</t>
  </si>
  <si>
    <t>no PsiLeaf, leaf broke</t>
  </si>
  <si>
    <t>the leaf was smooched, not ideal, need to find better fitting</t>
  </si>
  <si>
    <t>first bubbles at 0.024</t>
  </si>
  <si>
    <t>long wait because was interrupted by tax form department</t>
  </si>
  <si>
    <t>shorter leaf for the pressure bomb, measured at leaf tip around 9 cm</t>
  </si>
  <si>
    <t>one hour to stabilise, very weird</t>
  </si>
  <si>
    <t xml:space="preserve">but there was a leak so start'again' at 09:09 but then was really stable </t>
  </si>
  <si>
    <t>running cv 0.02, stable</t>
  </si>
  <si>
    <t>running cv 0.01 very stable</t>
  </si>
  <si>
    <t xml:space="preserve">running cv 0.01 </t>
  </si>
  <si>
    <t>NAVI</t>
  </si>
  <si>
    <t>leaf broke teared a little doing pressure bomb</t>
  </si>
  <si>
    <t>but running cv 0.03and stable</t>
  </si>
  <si>
    <t>running CV 0.07 but stable cf drawing in my notes</t>
  </si>
  <si>
    <t>running cv is 0.02</t>
  </si>
  <si>
    <t>leaf teared in the pressure bomb</t>
  </si>
  <si>
    <t>but running cv was 0.026</t>
  </si>
  <si>
    <t>but running cv was 0.01</t>
  </si>
  <si>
    <t>leaf broke, noticed after the measurement</t>
  </si>
  <si>
    <t>running cv 0.009</t>
  </si>
  <si>
    <t>PABI</t>
  </si>
  <si>
    <t>started a little late because of balance connexion problem</t>
  </si>
  <si>
    <t>running cv 0.026</t>
  </si>
  <si>
    <t>running cv 0.011</t>
  </si>
  <si>
    <t>this is the running cv</t>
  </si>
  <si>
    <t>but already building was as a tightened, i wipped it first before applying pressure</t>
  </si>
  <si>
    <t>ECCG</t>
  </si>
  <si>
    <t>in notebook written individual 4 but it is 8</t>
  </si>
  <si>
    <t>in notebook written individual 5 but it is 7</t>
  </si>
  <si>
    <t>runing average registered / in notebook written individual 5 but it is 7</t>
  </si>
  <si>
    <t>side 0.208</t>
  </si>
  <si>
    <t>running average is 0.05 / is written 4.2 in notebook (but actually other individual than #4)/ side 0.161</t>
  </si>
  <si>
    <t>forgot to record temperature / leaf area a little bit cut</t>
  </si>
  <si>
    <t>side 0.332 / middle 0.376</t>
  </si>
  <si>
    <t>dixon test reveals not an outlier</t>
  </si>
  <si>
    <t xml:space="preserve">oulier : dixon test reveals </t>
  </si>
  <si>
    <t>side 0.527 / middle 0.646 / weird outlier dixon test does not reveal it as outlier</t>
  </si>
  <si>
    <t>i can't do the outlier test because only 2 measures in the bin but would consider outlier</t>
  </si>
  <si>
    <t>not an outlier</t>
  </si>
  <si>
    <t>SEIT</t>
  </si>
  <si>
    <t>running cv</t>
  </si>
  <si>
    <t>side 0.793/ wide leaf cut corner</t>
  </si>
  <si>
    <t xml:space="preserve"> wide leaf cut corner</t>
  </si>
  <si>
    <t>side 1.24 wide leaf cut corner</t>
  </si>
  <si>
    <t>side 0.658</t>
  </si>
  <si>
    <t>side 0.182</t>
  </si>
  <si>
    <t>side 0.240</t>
  </si>
  <si>
    <t>running cv/ side 0.09</t>
  </si>
  <si>
    <t>side 0.286</t>
  </si>
  <si>
    <t>side 0.08</t>
  </si>
  <si>
    <t xml:space="preserve">DASP </t>
  </si>
  <si>
    <t>indv 1-4 are not the same as the indv 1-4 as they were not labelled</t>
  </si>
  <si>
    <t>running average cv</t>
  </si>
  <si>
    <t>side 0.196</t>
  </si>
  <si>
    <t>running average cv; side 0.377</t>
  </si>
  <si>
    <t>running average</t>
  </si>
  <si>
    <t>0.078 side</t>
  </si>
  <si>
    <t>0.269 side</t>
  </si>
  <si>
    <t>Area</t>
  </si>
  <si>
    <t>0.862 side, running cv</t>
  </si>
  <si>
    <t>0.082 side</t>
  </si>
  <si>
    <t>0.662 (side); running cv</t>
  </si>
  <si>
    <t>looks low for light</t>
  </si>
  <si>
    <t>running cv; looks low for light</t>
  </si>
  <si>
    <t>cv was very stable and 0.05 just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</si>
</sst>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3332422979095855E-2"/>
                  <c:y val="-0.48586097519703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</c:trendlineLbl>
          </c:trendline>
          <c:xVal>
            <c:numRef>
              <c:f>CESE!$X$3:$X$30</c:f>
              <c:numCache>
                <c:formatCode>0.000</c:formatCode>
                <c:ptCount val="28"/>
                <c:pt idx="0">
                  <c:v>0.155</c:v>
                </c:pt>
                <c:pt idx="1">
                  <c:v>0.41</c:v>
                </c:pt>
                <c:pt idx="2">
                  <c:v>0.38</c:v>
                </c:pt>
                <c:pt idx="3">
                  <c:v>0.99</c:v>
                </c:pt>
                <c:pt idx="4">
                  <c:v>0.32</c:v>
                </c:pt>
                <c:pt idx="5">
                  <c:v>0.215</c:v>
                </c:pt>
                <c:pt idx="6">
                  <c:v>0.75</c:v>
                </c:pt>
                <c:pt idx="7">
                  <c:v>0.26500000000000001</c:v>
                </c:pt>
                <c:pt idx="8">
                  <c:v>0.23699999999999999</c:v>
                </c:pt>
                <c:pt idx="9">
                  <c:v>0.39700000000000002</c:v>
                </c:pt>
                <c:pt idx="10">
                  <c:v>0.25600000000000001</c:v>
                </c:pt>
                <c:pt idx="11">
                  <c:v>0.40699999999999997</c:v>
                </c:pt>
                <c:pt idx="12">
                  <c:v>0.2</c:v>
                </c:pt>
                <c:pt idx="13">
                  <c:v>0.23</c:v>
                </c:pt>
                <c:pt idx="14">
                  <c:v>0.73</c:v>
                </c:pt>
                <c:pt idx="15">
                  <c:v>0.22</c:v>
                </c:pt>
                <c:pt idx="16">
                  <c:v>0.28000000000000003</c:v>
                </c:pt>
                <c:pt idx="17">
                  <c:v>1.96</c:v>
                </c:pt>
                <c:pt idx="18">
                  <c:v>0.06</c:v>
                </c:pt>
                <c:pt idx="19">
                  <c:v>0.39400000000000002</c:v>
                </c:pt>
                <c:pt idx="20">
                  <c:v>0.05</c:v>
                </c:pt>
                <c:pt idx="21">
                  <c:v>0.25800000000000001</c:v>
                </c:pt>
                <c:pt idx="22">
                  <c:v>0.63500000000000001</c:v>
                </c:pt>
                <c:pt idx="23">
                  <c:v>0.89</c:v>
                </c:pt>
                <c:pt idx="24">
                  <c:v>1.4770000000000001</c:v>
                </c:pt>
                <c:pt idx="25">
                  <c:v>0.39300000000000002</c:v>
                </c:pt>
                <c:pt idx="26">
                  <c:v>1.7569999999999999</c:v>
                </c:pt>
                <c:pt idx="27">
                  <c:v>0.83299999999999996</c:v>
                </c:pt>
              </c:numCache>
            </c:numRef>
          </c:xVal>
          <c:yVal>
            <c:numRef>
              <c:f>CESE!$W$3:$W$30</c:f>
              <c:numCache>
                <c:formatCode>0.000</c:formatCode>
                <c:ptCount val="28"/>
                <c:pt idx="0">
                  <c:v>7.3619320095278127</c:v>
                </c:pt>
                <c:pt idx="1">
                  <c:v>5.0033269473846742</c:v>
                </c:pt>
                <c:pt idx="2">
                  <c:v>12.901415356821239</c:v>
                </c:pt>
                <c:pt idx="3">
                  <c:v>1.7217957884264539</c:v>
                </c:pt>
                <c:pt idx="4">
                  <c:v>8.4428566413426669</c:v>
                </c:pt>
                <c:pt idx="5">
                  <c:v>11.245369650062386</c:v>
                </c:pt>
                <c:pt idx="6">
                  <c:v>1.1568338363698625</c:v>
                </c:pt>
                <c:pt idx="7">
                  <c:v>4.6039204485416718</c:v>
                </c:pt>
                <c:pt idx="8">
                  <c:v>30.539904847747835</c:v>
                </c:pt>
                <c:pt idx="9">
                  <c:v>2.1531427937055092</c:v>
                </c:pt>
                <c:pt idx="10">
                  <c:v>13.884159288295567</c:v>
                </c:pt>
                <c:pt idx="11">
                  <c:v>4.1994102626647241</c:v>
                </c:pt>
                <c:pt idx="12">
                  <c:v>11.498389608227583</c:v>
                </c:pt>
                <c:pt idx="13">
                  <c:v>10.037452030841736</c:v>
                </c:pt>
                <c:pt idx="14">
                  <c:v>3.3065983252733466</c:v>
                </c:pt>
                <c:pt idx="15">
                  <c:v>8.3428226636098692</c:v>
                </c:pt>
                <c:pt idx="16">
                  <c:v>12.796323814364923</c:v>
                </c:pt>
                <c:pt idx="17">
                  <c:v>0.77904348189660955</c:v>
                </c:pt>
                <c:pt idx="18">
                  <c:v>33.786613558198361</c:v>
                </c:pt>
                <c:pt idx="19">
                  <c:v>6.4782847510677168</c:v>
                </c:pt>
                <c:pt idx="20">
                  <c:v>60.139863517462565</c:v>
                </c:pt>
                <c:pt idx="21">
                  <c:v>5.0367789985377067</c:v>
                </c:pt>
                <c:pt idx="22">
                  <c:v>0.13757458189717575</c:v>
                </c:pt>
                <c:pt idx="23">
                  <c:v>1.694071098222929</c:v>
                </c:pt>
                <c:pt idx="24">
                  <c:v>2.3612189931130394</c:v>
                </c:pt>
                <c:pt idx="25">
                  <c:v>3.9071513834929439</c:v>
                </c:pt>
                <c:pt idx="26">
                  <c:v>2.2213417198360363</c:v>
                </c:pt>
                <c:pt idx="27">
                  <c:v>1.7391231388436081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8-44A2-A155-3B8D8DA89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14431"/>
        <c:axId val="1329500031"/>
      </c:scatterChart>
      <c:valAx>
        <c:axId val="132951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Lowest Psileaf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9500031"/>
        <c:crosses val="autoZero"/>
        <c:crossBetween val="midCat"/>
      </c:valAx>
      <c:valAx>
        <c:axId val="13295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Kleaf</a:t>
                </a:r>
                <a:r>
                  <a:rPr lang="en-US" baseline="0"/>
                  <a:t> Tcorr (mmol m-2 s-1 MPa-1)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951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Kleaf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PADI!$X$3:$X$17</c:f>
              <c:numCache>
                <c:formatCode>0.000</c:formatCode>
                <c:ptCount val="15"/>
                <c:pt idx="0">
                  <c:v>0.92400000000000004</c:v>
                </c:pt>
                <c:pt idx="1">
                  <c:v>6.9000000000000006E-2</c:v>
                </c:pt>
                <c:pt idx="2">
                  <c:v>1.075</c:v>
                </c:pt>
                <c:pt idx="3">
                  <c:v>9.8000000000000004E-2</c:v>
                </c:pt>
                <c:pt idx="4">
                  <c:v>0.95899999999999996</c:v>
                </c:pt>
                <c:pt idx="5">
                  <c:v>1.0900000000000001</c:v>
                </c:pt>
                <c:pt idx="6">
                  <c:v>0.27800000000000002</c:v>
                </c:pt>
                <c:pt idx="7">
                  <c:v>0.76</c:v>
                </c:pt>
                <c:pt idx="8">
                  <c:v>0.92500000000000004</c:v>
                </c:pt>
                <c:pt idx="9">
                  <c:v>0.21099999999999999</c:v>
                </c:pt>
                <c:pt idx="10">
                  <c:v>0.88400000000000001</c:v>
                </c:pt>
                <c:pt idx="11">
                  <c:v>0.68799999999999994</c:v>
                </c:pt>
                <c:pt idx="12">
                  <c:v>6.3E-2</c:v>
                </c:pt>
                <c:pt idx="13">
                  <c:v>6.7000000000000004E-2</c:v>
                </c:pt>
                <c:pt idx="14">
                  <c:v>0.11700000000000001</c:v>
                </c:pt>
              </c:numCache>
            </c:numRef>
          </c:xVal>
          <c:yVal>
            <c:numRef>
              <c:f>PADI!$W$3:$W$17</c:f>
              <c:numCache>
                <c:formatCode>0.000</c:formatCode>
                <c:ptCount val="15"/>
                <c:pt idx="0">
                  <c:v>1.6588820843428438</c:v>
                </c:pt>
                <c:pt idx="1">
                  <c:v>75.374833526691248</c:v>
                </c:pt>
                <c:pt idx="2">
                  <c:v>0.6019228638124352</c:v>
                </c:pt>
                <c:pt idx="3">
                  <c:v>30.46140123557058</c:v>
                </c:pt>
                <c:pt idx="4">
                  <c:v>2.458878537998741</c:v>
                </c:pt>
                <c:pt idx="5">
                  <c:v>0.88420649912393312</c:v>
                </c:pt>
                <c:pt idx="6">
                  <c:v>10.552298839107099</c:v>
                </c:pt>
                <c:pt idx="7">
                  <c:v>3.6430951275139472</c:v>
                </c:pt>
                <c:pt idx="8">
                  <c:v>0.75951343974434249</c:v>
                </c:pt>
                <c:pt idx="9">
                  <c:v>14.810455045659179</c:v>
                </c:pt>
                <c:pt idx="10">
                  <c:v>2.2503816096316034</c:v>
                </c:pt>
                <c:pt idx="11">
                  <c:v>1.942767763669117</c:v>
                </c:pt>
                <c:pt idx="12">
                  <c:v>40.509885266170855</c:v>
                </c:pt>
                <c:pt idx="13">
                  <c:v>29.455391836261956</c:v>
                </c:pt>
                <c:pt idx="14">
                  <c:v>8.9253041603633623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D5-4973-A265-7DEF7E3F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049087"/>
        <c:axId val="1645017407"/>
      </c:scatterChart>
      <c:valAx>
        <c:axId val="164504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5017407"/>
        <c:crosses val="autoZero"/>
        <c:crossBetween val="midCat"/>
      </c:valAx>
      <c:valAx>
        <c:axId val="164501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504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ECCG!$X$22:$X$39</c:f>
              <c:numCache>
                <c:formatCode>General</c:formatCode>
                <c:ptCount val="18"/>
                <c:pt idx="0">
                  <c:v>0.28899999999999998</c:v>
                </c:pt>
                <c:pt idx="1">
                  <c:v>0.22900000000000001</c:v>
                </c:pt>
                <c:pt idx="2">
                  <c:v>0.30199999999999999</c:v>
                </c:pt>
                <c:pt idx="3">
                  <c:v>0.28599999999999998</c:v>
                </c:pt>
                <c:pt idx="4">
                  <c:v>0.39300000000000002</c:v>
                </c:pt>
                <c:pt idx="5">
                  <c:v>0.442</c:v>
                </c:pt>
                <c:pt idx="6">
                  <c:v>0.33900000000000002</c:v>
                </c:pt>
                <c:pt idx="7">
                  <c:v>1.111</c:v>
                </c:pt>
                <c:pt idx="8">
                  <c:v>1.2949999999999999</c:v>
                </c:pt>
                <c:pt idx="9">
                  <c:v>1.129</c:v>
                </c:pt>
                <c:pt idx="10">
                  <c:v>0.76500000000000001</c:v>
                </c:pt>
                <c:pt idx="11">
                  <c:v>0.52700000000000002</c:v>
                </c:pt>
                <c:pt idx="12">
                  <c:v>0.255</c:v>
                </c:pt>
                <c:pt idx="13">
                  <c:v>0.79500000000000004</c:v>
                </c:pt>
                <c:pt idx="14">
                  <c:v>0.316</c:v>
                </c:pt>
                <c:pt idx="15">
                  <c:v>0.40799999999999997</c:v>
                </c:pt>
                <c:pt idx="16">
                  <c:v>0.33200000000000002</c:v>
                </c:pt>
                <c:pt idx="17">
                  <c:v>0.46</c:v>
                </c:pt>
              </c:numCache>
            </c:numRef>
          </c:xVal>
          <c:yVal>
            <c:numRef>
              <c:f>ECCG!$W$22:$W$39</c:f>
              <c:numCache>
                <c:formatCode>General</c:formatCode>
                <c:ptCount val="18"/>
                <c:pt idx="0">
                  <c:v>7.7273442828306207</c:v>
                </c:pt>
                <c:pt idx="1">
                  <c:v>3.5241299636286167</c:v>
                </c:pt>
                <c:pt idx="2">
                  <c:v>3.0615876228410923</c:v>
                </c:pt>
                <c:pt idx="3">
                  <c:v>6.6060426985812564</c:v>
                </c:pt>
                <c:pt idx="4">
                  <c:v>4.1926984302739099</c:v>
                </c:pt>
                <c:pt idx="5">
                  <c:v>4.552733289095559</c:v>
                </c:pt>
                <c:pt idx="6">
                  <c:v>1.6827744144685737</c:v>
                </c:pt>
                <c:pt idx="7">
                  <c:v>1.0358671400484663</c:v>
                </c:pt>
                <c:pt idx="8">
                  <c:v>0.4422382456166597</c:v>
                </c:pt>
                <c:pt idx="9">
                  <c:v>0.51132446986154279</c:v>
                </c:pt>
                <c:pt idx="10">
                  <c:v>3.1608402297436369</c:v>
                </c:pt>
                <c:pt idx="11">
                  <c:v>2.6920586793211458</c:v>
                </c:pt>
                <c:pt idx="12">
                  <c:v>7.8478129697924226</c:v>
                </c:pt>
                <c:pt idx="13">
                  <c:v>1.1871264643010757</c:v>
                </c:pt>
                <c:pt idx="14">
                  <c:v>3.8067306237466596</c:v>
                </c:pt>
                <c:pt idx="15">
                  <c:v>0.88238135655223593</c:v>
                </c:pt>
                <c:pt idx="16">
                  <c:v>4.7389648682168284</c:v>
                </c:pt>
                <c:pt idx="17">
                  <c:v>2.7267053510975239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53-40B8-9E49-45900E6025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9561424"/>
        <c:axId val="339559984"/>
      </c:scatterChart>
      <c:valAx>
        <c:axId val="3395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39559984"/>
        <c:crosses val="autoZero"/>
        <c:crossBetween val="midCat"/>
      </c:valAx>
      <c:valAx>
        <c:axId val="3395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3956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SEIT!$X$14:$X$34</c:f>
              <c:numCache>
                <c:formatCode>0.000</c:formatCode>
                <c:ptCount val="21"/>
                <c:pt idx="0">
                  <c:v>0.189</c:v>
                </c:pt>
                <c:pt idx="1">
                  <c:v>1.115</c:v>
                </c:pt>
                <c:pt idx="2">
                  <c:v>0.09</c:v>
                </c:pt>
                <c:pt idx="3">
                  <c:v>1.06</c:v>
                </c:pt>
                <c:pt idx="4">
                  <c:v>0.997</c:v>
                </c:pt>
                <c:pt idx="5">
                  <c:v>1.05</c:v>
                </c:pt>
                <c:pt idx="6">
                  <c:v>1.05</c:v>
                </c:pt>
                <c:pt idx="7">
                  <c:v>0.23300000000000001</c:v>
                </c:pt>
                <c:pt idx="8">
                  <c:v>1.54</c:v>
                </c:pt>
                <c:pt idx="9">
                  <c:v>1.6</c:v>
                </c:pt>
                <c:pt idx="10">
                  <c:v>0.28799999999999998</c:v>
                </c:pt>
                <c:pt idx="11">
                  <c:v>0.30299999999999999</c:v>
                </c:pt>
                <c:pt idx="12">
                  <c:v>0.58299999999999996</c:v>
                </c:pt>
                <c:pt idx="13">
                  <c:v>0.32300000000000001</c:v>
                </c:pt>
                <c:pt idx="14">
                  <c:v>0.46400000000000002</c:v>
                </c:pt>
                <c:pt idx="15">
                  <c:v>0.185</c:v>
                </c:pt>
                <c:pt idx="16">
                  <c:v>0.54600000000000004</c:v>
                </c:pt>
                <c:pt idx="17">
                  <c:v>0.19800000000000001</c:v>
                </c:pt>
                <c:pt idx="18">
                  <c:v>0.28299999999999997</c:v>
                </c:pt>
                <c:pt idx="19">
                  <c:v>0.13300000000000001</c:v>
                </c:pt>
                <c:pt idx="20">
                  <c:v>0.38600000000000001</c:v>
                </c:pt>
              </c:numCache>
            </c:numRef>
          </c:xVal>
          <c:yVal>
            <c:numRef>
              <c:f>SEIT!$W$14:$W$34</c:f>
              <c:numCache>
                <c:formatCode>0.000</c:formatCode>
                <c:ptCount val="21"/>
                <c:pt idx="0">
                  <c:v>8.1134152799254267</c:v>
                </c:pt>
                <c:pt idx="1">
                  <c:v>0.79212003692686017</c:v>
                </c:pt>
                <c:pt idx="2">
                  <c:v>2.0907633981250453</c:v>
                </c:pt>
                <c:pt idx="3">
                  <c:v>1.2026982302611728</c:v>
                </c:pt>
                <c:pt idx="4">
                  <c:v>0.26010117684930617</c:v>
                </c:pt>
                <c:pt idx="5">
                  <c:v>0.88039916282853214</c:v>
                </c:pt>
                <c:pt idx="6">
                  <c:v>0.89410795104707963</c:v>
                </c:pt>
                <c:pt idx="7">
                  <c:v>4.1623513093455982</c:v>
                </c:pt>
                <c:pt idx="8">
                  <c:v>0.5414452810073721</c:v>
                </c:pt>
                <c:pt idx="9">
                  <c:v>0.38099361302988971</c:v>
                </c:pt>
                <c:pt idx="10">
                  <c:v>1.723999319411389</c:v>
                </c:pt>
                <c:pt idx="11">
                  <c:v>4.3228651573173709</c:v>
                </c:pt>
                <c:pt idx="12">
                  <c:v>1.7419839167349853</c:v>
                </c:pt>
                <c:pt idx="13">
                  <c:v>1.2643019222997154</c:v>
                </c:pt>
                <c:pt idx="14">
                  <c:v>1.5256336650794564</c:v>
                </c:pt>
                <c:pt idx="15">
                  <c:v>5.8467291165327202</c:v>
                </c:pt>
                <c:pt idx="16">
                  <c:v>1.1908412340573034</c:v>
                </c:pt>
                <c:pt idx="17">
                  <c:v>5.7789579961771418</c:v>
                </c:pt>
                <c:pt idx="18">
                  <c:v>5.5203670811233101</c:v>
                </c:pt>
                <c:pt idx="19">
                  <c:v>11.455333900510597</c:v>
                </c:pt>
                <c:pt idx="20">
                  <c:v>1.1865986709651002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E-4A41-8B45-E163C9F12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98560"/>
        <c:axId val="696300000"/>
      </c:scatterChart>
      <c:valAx>
        <c:axId val="69629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696300000"/>
        <c:crosses val="autoZero"/>
        <c:crossBetween val="midCat"/>
      </c:valAx>
      <c:valAx>
        <c:axId val="6963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69629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302895</xdr:colOff>
      <xdr:row>50</xdr:row>
      <xdr:rowOff>104775</xdr:rowOff>
    </xdr:from>
    <xdr:to>
      <xdr:col>24</xdr:col>
      <xdr:colOff>392430</xdr:colOff>
      <xdr:row>65</xdr:row>
      <xdr:rowOff>135255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9B17855-78F2-2E0D-D667-BEB0AC04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29</xdr:row>
      <xdr:rowOff>49530</xdr:rowOff>
    </xdr:from>
    <xdr:to>
      <xdr:col>20</xdr:col>
      <xdr:colOff>45720</xdr:colOff>
      <xdr:row>44</xdr:row>
      <xdr:rowOff>49530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B65154C-BAED-2069-6405-9AC9357BB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354330</xdr:colOff>
      <xdr:row>33</xdr:row>
      <xdr:rowOff>7620</xdr:rowOff>
    </xdr:from>
    <xdr:to>
      <xdr:col>34</xdr:col>
      <xdr:colOff>179070</xdr:colOff>
      <xdr:row>60</xdr:row>
      <xdr:rowOff>34290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10EF1EB-3922-8F01-5903-1BD562D6A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615510</xdr:colOff>
      <xdr:row>34</xdr:row>
      <xdr:rowOff>100020</xdr:rowOff>
    </xdr:from>
    <xdr:to>
      <xdr:col>23</xdr:col>
      <xdr:colOff>46817</xdr:colOff>
      <xdr:row>49</xdr:row>
      <xdr:rowOff>136115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49E0FB-3D45-D6DE-13EA-B56B35A97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746F-B21E-4AE2-A531-A971B17E5B05}">
  <dimension ref="A1:AE44"/>
  <sheetViews>
    <sheetView zoomScale="58" zoomScaleNormal="58" workbookViewId="0">
      <pane ySplit="1" topLeftCell="A20" activePane="bottomLeft" state="frozen"/>
      <selection pane="bottomLeft" activeCell="AD52" sqref="AD52"/>
    </sheetView>
  </sheetViews>
  <sheetFormatPr baseColWidth="10" defaultColWidth="8.88671875" defaultRowHeight="14.4" x14ac:dyDescent="0.3"/>
  <cols>
    <col min="3" max="3" width="6.77734375" bestFit="1" customWidth="1"/>
    <col min="4" max="4" width="19.109375" bestFit="1" customWidth="1"/>
    <col min="5" max="5" width="9" bestFit="1" customWidth="1"/>
    <col min="6" max="6" width="11.6640625" bestFit="1" customWidth="1"/>
    <col min="7" max="7" width="10.77734375" bestFit="1" customWidth="1"/>
    <col min="8" max="8" width="7.33203125" bestFit="1" customWidth="1"/>
    <col min="9" max="10" width="6" bestFit="1" customWidth="1"/>
    <col min="11" max="11" width="11.109375" bestFit="1" customWidth="1"/>
    <col min="12" max="12" width="10" bestFit="1" customWidth="1"/>
    <col min="13" max="13" width="8.21875" customWidth="1"/>
    <col min="14" max="14" width="5.5546875" customWidth="1"/>
    <col min="19" max="19" width="12" bestFit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x14ac:dyDescent="0.3">
      <c r="A2" t="s">
        <v>26</v>
      </c>
      <c r="B2">
        <v>1</v>
      </c>
      <c r="C2">
        <v>1</v>
      </c>
      <c r="D2">
        <v>1</v>
      </c>
      <c r="E2">
        <v>10222024</v>
      </c>
      <c r="F2" s="5">
        <v>0.44444444444444442</v>
      </c>
      <c r="G2" s="5">
        <v>0.46527777777777773</v>
      </c>
      <c r="H2">
        <v>1120</v>
      </c>
      <c r="I2">
        <v>13.93</v>
      </c>
      <c r="J2">
        <v>0.02</v>
      </c>
      <c r="K2">
        <v>20.5</v>
      </c>
      <c r="L2">
        <v>20.7</v>
      </c>
      <c r="M2" s="2">
        <v>21.724</v>
      </c>
      <c r="N2">
        <v>52.481000000000002</v>
      </c>
      <c r="O2">
        <v>0.5</v>
      </c>
      <c r="P2">
        <v>0.47</v>
      </c>
      <c r="Q2" s="4">
        <f>AVERAGE(O2:P2)</f>
        <v>0.48499999999999999</v>
      </c>
      <c r="R2">
        <v>0.3</v>
      </c>
      <c r="S2">
        <v>25057</v>
      </c>
      <c r="T2">
        <v>56</v>
      </c>
      <c r="U2" s="4">
        <f>S2/(T2^2)</f>
        <v>7.9901147959183669</v>
      </c>
      <c r="V2" s="4">
        <f t="shared" ref="V2:V28" si="0">I2*0.000001/18*1000/R2/(U2/10000)</f>
        <v>3.2285263672899864</v>
      </c>
      <c r="W2" s="4">
        <f t="shared" ref="W2:W30" si="1">V2/(0.88862*(1/POWER(10,(1.3272*(20-K2)-0.001053*(K2-20)^2)/(K2+105))))</f>
        <v>3.589207007751122</v>
      </c>
      <c r="X2" s="4">
        <f>MAX(Q2:R2)</f>
        <v>0.48499999999999999</v>
      </c>
      <c r="Z2" t="s">
        <v>35</v>
      </c>
      <c r="AB2" s="3">
        <f>6.1121*EXP(((18.6678-(L2/234.5))*(L2/(257.14+L2))))/10</f>
        <v>2.439813517140899</v>
      </c>
      <c r="AC2" s="3">
        <f>6.1121*EXP(((18.6678-(M2/234.5))*(M2/(257.14+M2))))/10</f>
        <v>2.59795148113023</v>
      </c>
      <c r="AD2" s="4">
        <f>(1-(N2/100))*(AB2/101.3)</f>
        <v>1.1444965303160748E-2</v>
      </c>
      <c r="AE2" s="4">
        <f>(1-(N2/100))*(AC2/101.3)</f>
        <v>1.2186777535224819E-2</v>
      </c>
    </row>
    <row r="3" spans="1:31" x14ac:dyDescent="0.3">
      <c r="A3" t="s">
        <v>27</v>
      </c>
      <c r="B3">
        <v>1</v>
      </c>
      <c r="C3">
        <v>1</v>
      </c>
      <c r="D3">
        <v>2</v>
      </c>
      <c r="E3">
        <v>10222024</v>
      </c>
      <c r="F3" s="5">
        <v>0.50208333333333333</v>
      </c>
      <c r="G3" s="5">
        <v>0.52152777777777781</v>
      </c>
      <c r="H3" t="s">
        <v>28</v>
      </c>
      <c r="I3">
        <v>25.26</v>
      </c>
      <c r="J3">
        <v>0.01</v>
      </c>
      <c r="K3" s="2">
        <f>AVERAGE(K8,K9)</f>
        <v>25</v>
      </c>
      <c r="M3" s="2"/>
      <c r="Q3" s="4"/>
      <c r="R3">
        <v>0.155</v>
      </c>
      <c r="S3">
        <f>917270+813318+608426+406146</f>
        <v>2745160</v>
      </c>
      <c r="U3" s="4">
        <f t="shared" ref="U3:U28" si="2">S3/(1200^2)*2.54^2</f>
        <v>12.299079344444445</v>
      </c>
      <c r="V3" s="4">
        <f t="shared" si="0"/>
        <v>7.3613342814556653</v>
      </c>
      <c r="W3" s="4">
        <f t="shared" si="1"/>
        <v>7.3619320095278127</v>
      </c>
      <c r="X3" s="4">
        <f t="shared" ref="X3:X30" si="3">MAX(Q3:R3)</f>
        <v>0.155</v>
      </c>
      <c r="Z3" t="s">
        <v>35</v>
      </c>
      <c r="AB3" s="3"/>
      <c r="AC3" s="3"/>
      <c r="AD3" s="4"/>
      <c r="AE3" s="4"/>
    </row>
    <row r="4" spans="1:31" x14ac:dyDescent="0.3">
      <c r="A4" t="s">
        <v>27</v>
      </c>
      <c r="B4">
        <v>1</v>
      </c>
      <c r="C4">
        <v>2</v>
      </c>
      <c r="D4">
        <v>1</v>
      </c>
      <c r="E4">
        <v>10232024</v>
      </c>
      <c r="F4" s="5">
        <v>0.38750000000000001</v>
      </c>
      <c r="G4" s="5">
        <v>0.41111111111111109</v>
      </c>
      <c r="H4" t="s">
        <v>28</v>
      </c>
      <c r="I4">
        <v>24.2</v>
      </c>
      <c r="J4">
        <v>1.9E-2</v>
      </c>
      <c r="K4">
        <v>26</v>
      </c>
      <c r="R4">
        <v>0.41</v>
      </c>
      <c r="S4">
        <f>793851+84663+196875+354828</f>
        <v>1430217</v>
      </c>
      <c r="U4" s="4">
        <f t="shared" si="2"/>
        <v>6.4077694424999994</v>
      </c>
      <c r="V4" s="4">
        <f t="shared" si="0"/>
        <v>5.1174325492718653</v>
      </c>
      <c r="W4" s="4">
        <f t="shared" si="1"/>
        <v>5.0033269473846742</v>
      </c>
      <c r="X4" s="4">
        <f t="shared" si="3"/>
        <v>0.41</v>
      </c>
      <c r="Z4" t="s">
        <v>35</v>
      </c>
    </row>
    <row r="5" spans="1:31" x14ac:dyDescent="0.3">
      <c r="A5" t="s">
        <v>27</v>
      </c>
      <c r="B5">
        <v>1</v>
      </c>
      <c r="C5">
        <v>3</v>
      </c>
      <c r="D5">
        <v>1</v>
      </c>
      <c r="E5">
        <v>10232024</v>
      </c>
      <c r="F5" s="5">
        <v>0.42638888888888887</v>
      </c>
      <c r="G5" s="5">
        <v>0.44444444444444442</v>
      </c>
      <c r="H5" t="s">
        <v>28</v>
      </c>
      <c r="I5">
        <v>46.8</v>
      </c>
      <c r="J5">
        <v>1.7999999999999999E-2</v>
      </c>
      <c r="K5">
        <v>26</v>
      </c>
      <c r="R5">
        <v>0.38</v>
      </c>
      <c r="S5">
        <f>608700+319350+192975+36297</f>
        <v>1157322</v>
      </c>
      <c r="U5" s="4">
        <f t="shared" si="2"/>
        <v>5.1851240383333339</v>
      </c>
      <c r="V5" s="4">
        <f t="shared" si="0"/>
        <v>13.195644332854124</v>
      </c>
      <c r="W5" s="4">
        <f t="shared" si="1"/>
        <v>12.901415356821239</v>
      </c>
      <c r="X5" s="4">
        <f t="shared" si="3"/>
        <v>0.38</v>
      </c>
      <c r="Z5" t="s">
        <v>35</v>
      </c>
    </row>
    <row r="6" spans="1:31" x14ac:dyDescent="0.3">
      <c r="A6" t="s">
        <v>27</v>
      </c>
      <c r="B6">
        <v>1</v>
      </c>
      <c r="C6">
        <v>4</v>
      </c>
      <c r="D6">
        <v>1</v>
      </c>
      <c r="E6">
        <v>10232024</v>
      </c>
      <c r="F6" s="5">
        <v>0.45277777777777778</v>
      </c>
      <c r="G6" s="5">
        <v>0.48055555555555557</v>
      </c>
      <c r="H6" t="s">
        <v>28</v>
      </c>
      <c r="I6">
        <v>15.33</v>
      </c>
      <c r="J6">
        <v>0.02</v>
      </c>
      <c r="K6">
        <v>25</v>
      </c>
      <c r="R6">
        <v>0.99</v>
      </c>
      <c r="S6">
        <f>587542+527736</f>
        <v>1115278</v>
      </c>
      <c r="U6" s="4">
        <f t="shared" si="2"/>
        <v>4.9967552394444441</v>
      </c>
      <c r="V6" s="4">
        <f t="shared" si="0"/>
        <v>1.7216559928298747</v>
      </c>
      <c r="W6" s="4">
        <f t="shared" si="1"/>
        <v>1.7217957884264539</v>
      </c>
      <c r="X6" s="4">
        <f t="shared" si="3"/>
        <v>0.99</v>
      </c>
      <c r="Z6" t="s">
        <v>35</v>
      </c>
    </row>
    <row r="7" spans="1:31" x14ac:dyDescent="0.3">
      <c r="A7" t="s">
        <v>27</v>
      </c>
      <c r="B7">
        <v>1</v>
      </c>
      <c r="C7">
        <v>5</v>
      </c>
      <c r="D7">
        <v>1</v>
      </c>
      <c r="E7">
        <v>10232024</v>
      </c>
      <c r="F7" s="5">
        <v>0.49166666666666664</v>
      </c>
      <c r="G7" s="5">
        <v>0.51666666666666672</v>
      </c>
      <c r="H7" t="s">
        <v>28</v>
      </c>
      <c r="I7">
        <v>37.93</v>
      </c>
      <c r="J7">
        <v>0.02</v>
      </c>
      <c r="K7">
        <v>25</v>
      </c>
      <c r="R7">
        <v>0.32</v>
      </c>
      <c r="S7">
        <f>790304+381014+569692</f>
        <v>1741010</v>
      </c>
      <c r="U7" s="4">
        <f t="shared" si="2"/>
        <v>7.800208413888889</v>
      </c>
      <c r="V7" s="4">
        <f t="shared" si="0"/>
        <v>8.4421711511184814</v>
      </c>
      <c r="W7" s="4">
        <f t="shared" si="1"/>
        <v>8.4428566413426669</v>
      </c>
      <c r="X7" s="4">
        <f t="shared" si="3"/>
        <v>0.32</v>
      </c>
      <c r="Z7" t="s">
        <v>35</v>
      </c>
    </row>
    <row r="8" spans="1:31" x14ac:dyDescent="0.3">
      <c r="A8" t="s">
        <v>27</v>
      </c>
      <c r="B8">
        <v>1</v>
      </c>
      <c r="C8">
        <v>6</v>
      </c>
      <c r="D8">
        <v>2</v>
      </c>
      <c r="E8">
        <v>10292024</v>
      </c>
      <c r="F8" s="5">
        <v>0.35</v>
      </c>
      <c r="G8" s="5">
        <v>0.37361111111111112</v>
      </c>
      <c r="H8" t="s">
        <v>28</v>
      </c>
      <c r="I8">
        <v>27.26</v>
      </c>
      <c r="J8">
        <v>0.06</v>
      </c>
      <c r="K8">
        <v>25</v>
      </c>
      <c r="R8">
        <v>0.215</v>
      </c>
      <c r="S8">
        <f>947017+248252+202938</f>
        <v>1398207</v>
      </c>
      <c r="U8" s="4">
        <f t="shared" si="2"/>
        <v>6.2643557508333334</v>
      </c>
      <c r="V8" s="4">
        <f t="shared" si="0"/>
        <v>11.244456618929688</v>
      </c>
      <c r="W8" s="4">
        <f t="shared" si="1"/>
        <v>11.245369650062386</v>
      </c>
      <c r="X8" s="4">
        <f t="shared" si="3"/>
        <v>0.215</v>
      </c>
      <c r="Z8" t="s">
        <v>35</v>
      </c>
    </row>
    <row r="9" spans="1:31" x14ac:dyDescent="0.3">
      <c r="A9" t="s">
        <v>27</v>
      </c>
      <c r="B9">
        <v>1</v>
      </c>
      <c r="C9">
        <v>7</v>
      </c>
      <c r="D9">
        <v>2</v>
      </c>
      <c r="E9">
        <v>10292024</v>
      </c>
      <c r="F9" s="5">
        <v>0.66527777777777775</v>
      </c>
      <c r="G9" s="5">
        <v>0.69861111111111107</v>
      </c>
      <c r="H9" t="s">
        <v>28</v>
      </c>
      <c r="I9">
        <v>7.26</v>
      </c>
      <c r="J9">
        <v>0.01</v>
      </c>
      <c r="K9">
        <v>25</v>
      </c>
      <c r="R9">
        <v>0.75</v>
      </c>
      <c r="S9">
        <f>708592+215168+56299+57618</f>
        <v>1037677</v>
      </c>
      <c r="U9" s="4">
        <f t="shared" si="2"/>
        <v>4.6490812036111109</v>
      </c>
      <c r="V9" s="4">
        <f t="shared" si="0"/>
        <v>1.1567399110173988</v>
      </c>
      <c r="W9" s="4">
        <f t="shared" si="1"/>
        <v>1.1568338363698625</v>
      </c>
      <c r="X9" s="4">
        <f t="shared" si="3"/>
        <v>0.75</v>
      </c>
      <c r="Z9" t="s">
        <v>35</v>
      </c>
    </row>
    <row r="10" spans="1:31" x14ac:dyDescent="0.3">
      <c r="A10" s="9" t="s">
        <v>27</v>
      </c>
      <c r="B10" s="9">
        <v>1</v>
      </c>
      <c r="C10" s="9">
        <v>8</v>
      </c>
      <c r="D10" s="9">
        <v>2</v>
      </c>
      <c r="E10">
        <v>31102024</v>
      </c>
      <c r="F10" s="5">
        <v>0.37013888888888891</v>
      </c>
      <c r="G10" s="5">
        <v>0.3888888888888889</v>
      </c>
      <c r="H10" t="s">
        <v>28</v>
      </c>
      <c r="I10">
        <v>19.93</v>
      </c>
      <c r="J10">
        <v>0.03</v>
      </c>
      <c r="K10">
        <v>21</v>
      </c>
      <c r="R10">
        <v>0.26500000000000001</v>
      </c>
      <c r="S10">
        <f>1120880+827782+232372+43804</f>
        <v>2224838</v>
      </c>
      <c r="U10" s="4">
        <f t="shared" si="2"/>
        <v>9.9678922505555558</v>
      </c>
      <c r="V10" s="4">
        <f t="shared" si="0"/>
        <v>4.1916555275330616</v>
      </c>
      <c r="W10" s="4">
        <f t="shared" si="1"/>
        <v>4.6039204485416718</v>
      </c>
      <c r="X10" s="4">
        <f t="shared" si="3"/>
        <v>0.26500000000000001</v>
      </c>
      <c r="Z10" t="s">
        <v>32</v>
      </c>
    </row>
    <row r="11" spans="1:31" x14ac:dyDescent="0.3">
      <c r="A11" s="9" t="s">
        <v>27</v>
      </c>
      <c r="B11" s="9">
        <v>1</v>
      </c>
      <c r="C11" s="9">
        <v>9</v>
      </c>
      <c r="D11" s="9">
        <v>2</v>
      </c>
      <c r="E11">
        <v>31102024</v>
      </c>
      <c r="F11" s="5">
        <v>0.39583333333333331</v>
      </c>
      <c r="G11" s="5">
        <v>0.41111111111111109</v>
      </c>
      <c r="H11" t="s">
        <v>28</v>
      </c>
      <c r="I11">
        <v>34.36</v>
      </c>
      <c r="J11">
        <v>4.0000000000000001E-3</v>
      </c>
      <c r="K11">
        <v>22</v>
      </c>
      <c r="R11">
        <v>0.23699999999999999</v>
      </c>
      <c r="S11">
        <f>446298+139310+45654</f>
        <v>631262</v>
      </c>
      <c r="U11" s="4">
        <f t="shared" si="2"/>
        <v>2.8282291105555557</v>
      </c>
      <c r="V11" s="4">
        <f t="shared" si="0"/>
        <v>28.478539688884432</v>
      </c>
      <c r="W11" s="4">
        <f t="shared" si="1"/>
        <v>30.539904847747835</v>
      </c>
      <c r="X11" s="4">
        <f t="shared" si="3"/>
        <v>0.23699999999999999</v>
      </c>
      <c r="Z11" t="s">
        <v>32</v>
      </c>
    </row>
    <row r="12" spans="1:31" x14ac:dyDescent="0.3">
      <c r="A12" t="s">
        <v>27</v>
      </c>
      <c r="B12">
        <v>1</v>
      </c>
      <c r="C12">
        <v>10</v>
      </c>
      <c r="D12">
        <v>1</v>
      </c>
      <c r="E12">
        <v>31102024</v>
      </c>
      <c r="F12" s="5">
        <v>0.40416666666666667</v>
      </c>
      <c r="G12" s="5">
        <v>0.42291666666666666</v>
      </c>
      <c r="H12" t="s">
        <v>28</v>
      </c>
      <c r="I12">
        <v>10.23</v>
      </c>
      <c r="J12">
        <v>0.01</v>
      </c>
      <c r="K12">
        <v>22</v>
      </c>
      <c r="R12">
        <v>0.39700000000000002</v>
      </c>
      <c r="S12">
        <f>823873+500565+254742+12240</f>
        <v>1591420</v>
      </c>
      <c r="U12" s="4">
        <f t="shared" si="2"/>
        <v>7.1300036611111119</v>
      </c>
      <c r="V12" s="4">
        <f t="shared" si="0"/>
        <v>2.0078111838288772</v>
      </c>
      <c r="W12" s="4">
        <f t="shared" si="1"/>
        <v>2.1531427937055092</v>
      </c>
      <c r="X12" s="4">
        <f t="shared" si="3"/>
        <v>0.39700000000000002</v>
      </c>
      <c r="Z12" t="s">
        <v>35</v>
      </c>
    </row>
    <row r="13" spans="1:31" x14ac:dyDescent="0.3">
      <c r="A13" t="s">
        <v>27</v>
      </c>
      <c r="B13">
        <v>1</v>
      </c>
      <c r="C13">
        <v>11</v>
      </c>
      <c r="E13">
        <v>1112024</v>
      </c>
      <c r="F13" s="5">
        <v>0.4777777777777778</v>
      </c>
      <c r="G13" s="5">
        <v>0.49444444444444446</v>
      </c>
      <c r="H13" t="s">
        <v>28</v>
      </c>
      <c r="I13">
        <v>23</v>
      </c>
      <c r="J13">
        <v>0.05</v>
      </c>
      <c r="K13">
        <v>25</v>
      </c>
      <c r="R13">
        <v>0.25600000000000001</v>
      </c>
      <c r="S13">
        <f>597309+190172+14984</f>
        <v>802465</v>
      </c>
      <c r="U13" s="4">
        <f t="shared" si="2"/>
        <v>3.595266106944444</v>
      </c>
      <c r="V13" s="4">
        <f t="shared" si="0"/>
        <v>13.883032009239738</v>
      </c>
      <c r="W13" s="4">
        <f t="shared" si="1"/>
        <v>13.884159288295567</v>
      </c>
      <c r="X13" s="4">
        <f t="shared" si="3"/>
        <v>0.25600000000000001</v>
      </c>
      <c r="Z13" t="s">
        <v>35</v>
      </c>
    </row>
    <row r="14" spans="1:31" x14ac:dyDescent="0.3">
      <c r="A14" t="s">
        <v>27</v>
      </c>
      <c r="B14">
        <v>1</v>
      </c>
      <c r="C14">
        <v>12</v>
      </c>
      <c r="E14">
        <v>1112024</v>
      </c>
      <c r="F14" s="5">
        <v>0.51527777777777772</v>
      </c>
      <c r="G14" s="5">
        <v>0.5395833333333333</v>
      </c>
      <c r="H14" t="s">
        <v>28</v>
      </c>
      <c r="I14">
        <v>23.27</v>
      </c>
      <c r="J14">
        <v>0.01</v>
      </c>
      <c r="K14">
        <v>25</v>
      </c>
      <c r="R14">
        <v>0.40699999999999997</v>
      </c>
      <c r="S14">
        <f>33714+510516+1144155</f>
        <v>1688385</v>
      </c>
      <c r="U14" s="4">
        <f t="shared" si="2"/>
        <v>7.5644337958333328</v>
      </c>
      <c r="V14" s="4">
        <f t="shared" si="0"/>
        <v>4.1990693052370798</v>
      </c>
      <c r="W14" s="4">
        <f t="shared" si="1"/>
        <v>4.1994102626647241</v>
      </c>
      <c r="X14" s="4">
        <f t="shared" si="3"/>
        <v>0.40699999999999997</v>
      </c>
      <c r="Z14" t="s">
        <v>35</v>
      </c>
    </row>
    <row r="15" spans="1:31" x14ac:dyDescent="0.3">
      <c r="A15" t="s">
        <v>27</v>
      </c>
      <c r="B15">
        <v>1</v>
      </c>
      <c r="C15">
        <v>13</v>
      </c>
      <c r="E15">
        <v>1112024</v>
      </c>
      <c r="F15" s="5">
        <v>0.50347222222222221</v>
      </c>
      <c r="G15" s="5">
        <v>0.52083333333333337</v>
      </c>
      <c r="H15" t="s">
        <v>28</v>
      </c>
      <c r="I15">
        <v>29.17</v>
      </c>
      <c r="J15">
        <v>0.03</v>
      </c>
      <c r="K15">
        <v>24</v>
      </c>
      <c r="R15">
        <v>0.2</v>
      </c>
      <c r="S15">
        <f>1058307+519189+32007</f>
        <v>1609503</v>
      </c>
      <c r="U15" s="4">
        <f t="shared" si="2"/>
        <v>7.2110205241666669</v>
      </c>
      <c r="V15" s="4">
        <f t="shared" si="0"/>
        <v>11.236658875983668</v>
      </c>
      <c r="W15" s="4">
        <f t="shared" si="1"/>
        <v>11.498389608227583</v>
      </c>
      <c r="X15" s="4">
        <f t="shared" si="3"/>
        <v>0.2</v>
      </c>
      <c r="Z15" t="s">
        <v>35</v>
      </c>
    </row>
    <row r="16" spans="1:31" x14ac:dyDescent="0.3">
      <c r="A16" t="s">
        <v>27</v>
      </c>
      <c r="B16">
        <v>2</v>
      </c>
      <c r="C16">
        <v>1</v>
      </c>
      <c r="D16">
        <v>1</v>
      </c>
      <c r="E16">
        <v>10222024</v>
      </c>
      <c r="F16" s="5">
        <v>0.48958333333333331</v>
      </c>
      <c r="G16" s="5">
        <v>0.46458333333333335</v>
      </c>
      <c r="H16" t="s">
        <v>28</v>
      </c>
      <c r="I16">
        <v>35.78</v>
      </c>
      <c r="J16">
        <v>8.9999999999999993E-3</v>
      </c>
      <c r="K16" s="2">
        <v>25.5</v>
      </c>
      <c r="M16" s="2"/>
      <c r="Q16" s="4"/>
      <c r="R16">
        <v>0.23</v>
      </c>
      <c r="S16">
        <f>758232+749922+344946+47172</f>
        <v>1900272</v>
      </c>
      <c r="U16" s="4">
        <f t="shared" si="2"/>
        <v>8.5137464133333332</v>
      </c>
      <c r="V16" s="4">
        <f t="shared" si="0"/>
        <v>10.151244420152912</v>
      </c>
      <c r="W16" s="4">
        <f t="shared" si="1"/>
        <v>10.037452030841736</v>
      </c>
      <c r="X16" s="4">
        <f t="shared" si="3"/>
        <v>0.23</v>
      </c>
      <c r="Z16" t="s">
        <v>35</v>
      </c>
      <c r="AB16" s="3"/>
      <c r="AC16" s="3"/>
      <c r="AD16" s="4"/>
      <c r="AE16" s="4"/>
    </row>
    <row r="17" spans="1:31" x14ac:dyDescent="0.3">
      <c r="A17" t="s">
        <v>27</v>
      </c>
      <c r="B17">
        <v>2</v>
      </c>
      <c r="C17">
        <v>2</v>
      </c>
      <c r="D17">
        <v>2</v>
      </c>
      <c r="E17">
        <v>10222024</v>
      </c>
      <c r="F17" s="5">
        <v>0.58680555555555558</v>
      </c>
      <c r="G17" s="5">
        <v>0.60833333333333328</v>
      </c>
      <c r="H17" t="s">
        <v>28</v>
      </c>
      <c r="I17">
        <v>29.93</v>
      </c>
      <c r="K17">
        <v>24</v>
      </c>
      <c r="M17" s="2"/>
      <c r="Q17" s="4"/>
      <c r="R17">
        <v>0.73</v>
      </c>
      <c r="S17">
        <f>586040+374418+564372+8872+11168+28478</f>
        <v>1573348</v>
      </c>
      <c r="U17" s="4">
        <f t="shared" si="2"/>
        <v>7.0490360811111117</v>
      </c>
      <c r="V17" s="4">
        <f t="shared" si="0"/>
        <v>3.2313322723392002</v>
      </c>
      <c r="W17" s="4">
        <f t="shared" si="1"/>
        <v>3.3065983252733466</v>
      </c>
      <c r="X17" s="4">
        <f t="shared" si="3"/>
        <v>0.73</v>
      </c>
      <c r="Z17" t="s">
        <v>35</v>
      </c>
      <c r="AB17" s="3"/>
      <c r="AC17" s="3"/>
      <c r="AD17" s="4"/>
      <c r="AE17" s="4"/>
    </row>
    <row r="18" spans="1:31" x14ac:dyDescent="0.3">
      <c r="A18" t="s">
        <v>27</v>
      </c>
      <c r="B18">
        <v>2</v>
      </c>
      <c r="C18">
        <v>3</v>
      </c>
      <c r="D18">
        <v>2</v>
      </c>
      <c r="E18">
        <v>10222024</v>
      </c>
      <c r="F18" s="5">
        <v>0.64722222222222225</v>
      </c>
      <c r="G18" s="5">
        <v>0.67222222222222228</v>
      </c>
      <c r="H18" t="s">
        <v>28</v>
      </c>
      <c r="I18">
        <v>30.13</v>
      </c>
      <c r="J18">
        <v>1.4E-2</v>
      </c>
      <c r="K18" s="2">
        <f>AVERAGE(K16:K17)</f>
        <v>24.75</v>
      </c>
      <c r="R18">
        <v>0.22</v>
      </c>
      <c r="S18">
        <f>772708+721638+353300+141686+58053</f>
        <v>2047385</v>
      </c>
      <c r="U18" s="4">
        <f t="shared" si="2"/>
        <v>9.1728535180555557</v>
      </c>
      <c r="V18" s="4">
        <f t="shared" si="0"/>
        <v>8.2946771619206139</v>
      </c>
      <c r="W18" s="4">
        <f t="shared" si="1"/>
        <v>8.3428226636098692</v>
      </c>
      <c r="X18" s="4">
        <f t="shared" si="3"/>
        <v>0.22</v>
      </c>
      <c r="Z18" t="s">
        <v>35</v>
      </c>
    </row>
    <row r="19" spans="1:31" x14ac:dyDescent="0.3">
      <c r="A19" t="s">
        <v>27</v>
      </c>
      <c r="B19">
        <v>2</v>
      </c>
      <c r="C19">
        <v>4</v>
      </c>
      <c r="D19">
        <v>2</v>
      </c>
      <c r="E19">
        <v>10232024</v>
      </c>
      <c r="F19" s="5">
        <v>0.3888888888888889</v>
      </c>
      <c r="G19" s="5">
        <v>0.40694444444444444</v>
      </c>
      <c r="H19" t="s">
        <v>28</v>
      </c>
      <c r="I19">
        <v>31.36</v>
      </c>
      <c r="J19">
        <v>8.0000000000000002E-3</v>
      </c>
      <c r="K19">
        <v>25</v>
      </c>
      <c r="R19">
        <v>0.28000000000000003</v>
      </c>
      <c r="S19">
        <f>640266+195606+138232+111298</f>
        <v>1085402</v>
      </c>
      <c r="U19" s="4">
        <f t="shared" si="2"/>
        <v>4.8629024605555555</v>
      </c>
      <c r="V19" s="4">
        <f t="shared" si="0"/>
        <v>12.795284858564431</v>
      </c>
      <c r="W19" s="4">
        <f t="shared" si="1"/>
        <v>12.796323814364923</v>
      </c>
      <c r="X19" s="4">
        <f t="shared" si="3"/>
        <v>0.28000000000000003</v>
      </c>
      <c r="Z19" t="s">
        <v>35</v>
      </c>
    </row>
    <row r="20" spans="1:31" x14ac:dyDescent="0.3">
      <c r="A20" t="s">
        <v>27</v>
      </c>
      <c r="B20">
        <v>2</v>
      </c>
      <c r="C20">
        <v>5</v>
      </c>
      <c r="D20">
        <v>2</v>
      </c>
      <c r="E20">
        <v>10232024</v>
      </c>
      <c r="F20" s="5">
        <v>0.41388888888888886</v>
      </c>
      <c r="G20" s="5">
        <v>0.44583333333333336</v>
      </c>
      <c r="H20" t="s">
        <v>28</v>
      </c>
      <c r="I20">
        <v>21.26</v>
      </c>
      <c r="J20">
        <v>0.03</v>
      </c>
      <c r="K20">
        <v>25</v>
      </c>
      <c r="R20">
        <v>1.96</v>
      </c>
      <c r="S20">
        <f>1010963+603075+70608+42000</f>
        <v>1726646</v>
      </c>
      <c r="U20" s="4">
        <f t="shared" si="2"/>
        <v>7.7358537038888882</v>
      </c>
      <c r="V20" s="4">
        <f t="shared" si="0"/>
        <v>0.77898023000051075</v>
      </c>
      <c r="W20" s="4">
        <f t="shared" si="1"/>
        <v>0.77904348189660955</v>
      </c>
      <c r="X20" s="4">
        <f t="shared" si="3"/>
        <v>1.96</v>
      </c>
      <c r="Z20" t="s">
        <v>35</v>
      </c>
    </row>
    <row r="21" spans="1:31" x14ac:dyDescent="0.3">
      <c r="A21" t="s">
        <v>27</v>
      </c>
      <c r="B21">
        <v>2</v>
      </c>
      <c r="C21">
        <v>6</v>
      </c>
      <c r="D21">
        <v>2</v>
      </c>
      <c r="E21">
        <v>10232024</v>
      </c>
      <c r="F21" s="5">
        <v>0.45416666666666666</v>
      </c>
      <c r="G21" s="5">
        <v>0.50138888888888888</v>
      </c>
      <c r="H21" t="s">
        <v>28</v>
      </c>
      <c r="I21">
        <v>32.92</v>
      </c>
      <c r="J21">
        <v>6.0000000000000001E-3</v>
      </c>
      <c r="K21">
        <v>25</v>
      </c>
      <c r="R21">
        <v>0.06</v>
      </c>
      <c r="S21">
        <f>959907+712944+315399+25575</f>
        <v>2013825</v>
      </c>
      <c r="U21" s="4">
        <f t="shared" si="2"/>
        <v>9.0224953958333334</v>
      </c>
      <c r="V21" s="4">
        <f t="shared" si="0"/>
        <v>33.783870364243242</v>
      </c>
      <c r="W21" s="4">
        <f t="shared" si="1"/>
        <v>33.786613558198361</v>
      </c>
      <c r="X21" s="4">
        <f t="shared" si="3"/>
        <v>0.06</v>
      </c>
      <c r="Z21" t="s">
        <v>35</v>
      </c>
    </row>
    <row r="22" spans="1:31" x14ac:dyDescent="0.3">
      <c r="A22" t="s">
        <v>27</v>
      </c>
      <c r="B22">
        <v>2</v>
      </c>
      <c r="C22">
        <v>7</v>
      </c>
      <c r="D22">
        <v>1</v>
      </c>
      <c r="E22">
        <v>10292024</v>
      </c>
      <c r="F22" s="5">
        <v>0.36458333333333331</v>
      </c>
      <c r="G22" s="5">
        <v>0.38541666666666669</v>
      </c>
      <c r="H22" t="s">
        <v>28</v>
      </c>
      <c r="I22">
        <v>14.53</v>
      </c>
      <c r="J22">
        <v>0.02</v>
      </c>
      <c r="K22">
        <v>25</v>
      </c>
      <c r="R22">
        <v>0.39400000000000002</v>
      </c>
      <c r="S22">
        <f>406101+245400+54438</f>
        <v>705939</v>
      </c>
      <c r="U22" s="4">
        <f t="shared" si="2"/>
        <v>3.1628028141666666</v>
      </c>
      <c r="V22" s="4">
        <f t="shared" si="0"/>
        <v>6.4777587678543345</v>
      </c>
      <c r="W22" s="4">
        <f t="shared" si="1"/>
        <v>6.4782847510677168</v>
      </c>
      <c r="X22" s="4">
        <f t="shared" si="3"/>
        <v>0.39400000000000002</v>
      </c>
      <c r="Z22" t="s">
        <v>35</v>
      </c>
    </row>
    <row r="23" spans="1:31" x14ac:dyDescent="0.3">
      <c r="A23" t="s">
        <v>27</v>
      </c>
      <c r="B23">
        <v>2</v>
      </c>
      <c r="C23">
        <v>8</v>
      </c>
      <c r="D23">
        <v>1</v>
      </c>
      <c r="E23">
        <v>10292024</v>
      </c>
      <c r="F23" s="5">
        <v>0.63472222222222219</v>
      </c>
      <c r="G23" s="5">
        <v>0.6645833333333333</v>
      </c>
      <c r="H23" t="s">
        <v>28</v>
      </c>
      <c r="I23">
        <v>29.16</v>
      </c>
      <c r="J23">
        <v>0.03</v>
      </c>
      <c r="K23">
        <v>25</v>
      </c>
      <c r="R23">
        <v>0.05</v>
      </c>
      <c r="S23">
        <f>679974+285186+174309+63108</f>
        <v>1202577</v>
      </c>
      <c r="U23" s="4">
        <f t="shared" si="2"/>
        <v>5.3878790091666673</v>
      </c>
      <c r="V23" s="4">
        <f t="shared" si="0"/>
        <v>60.134980657279534</v>
      </c>
      <c r="W23" s="4">
        <f t="shared" si="1"/>
        <v>60.139863517462565</v>
      </c>
      <c r="X23" s="4">
        <f t="shared" si="3"/>
        <v>0.05</v>
      </c>
      <c r="Z23" t="s">
        <v>35</v>
      </c>
    </row>
    <row r="24" spans="1:31" x14ac:dyDescent="0.3">
      <c r="A24" t="s">
        <v>27</v>
      </c>
      <c r="B24">
        <v>2</v>
      </c>
      <c r="C24">
        <v>9</v>
      </c>
      <c r="D24">
        <v>1</v>
      </c>
      <c r="E24">
        <v>10292024</v>
      </c>
      <c r="F24" s="5">
        <v>0.68055555555555558</v>
      </c>
      <c r="G24" s="5">
        <v>0.70416666666666672</v>
      </c>
      <c r="H24" t="s">
        <v>28</v>
      </c>
      <c r="I24">
        <v>9.5</v>
      </c>
      <c r="J24">
        <v>0.05</v>
      </c>
      <c r="K24">
        <v>24</v>
      </c>
      <c r="R24" s="8">
        <v>0.25800000000000001</v>
      </c>
      <c r="S24">
        <f>664089+263538</f>
        <v>927627</v>
      </c>
      <c r="U24" s="4">
        <f t="shared" si="2"/>
        <v>4.1560266341666665</v>
      </c>
      <c r="V24" s="4">
        <f t="shared" si="0"/>
        <v>4.9221299128522844</v>
      </c>
      <c r="W24" s="4">
        <f t="shared" si="1"/>
        <v>5.0367789985377067</v>
      </c>
      <c r="X24" s="4">
        <f t="shared" si="3"/>
        <v>0.25800000000000001</v>
      </c>
      <c r="Z24" t="s">
        <v>34</v>
      </c>
    </row>
    <row r="25" spans="1:31" x14ac:dyDescent="0.3">
      <c r="A25" t="s">
        <v>27</v>
      </c>
      <c r="B25">
        <v>2</v>
      </c>
      <c r="C25">
        <v>10</v>
      </c>
      <c r="D25">
        <v>2</v>
      </c>
      <c r="E25">
        <v>31102024</v>
      </c>
      <c r="F25" s="5">
        <v>0.41944444444444445</v>
      </c>
      <c r="G25" s="5">
        <v>0.44097222222222221</v>
      </c>
      <c r="H25" t="s">
        <v>28</v>
      </c>
      <c r="I25" s="9">
        <v>1</v>
      </c>
      <c r="J25" s="9">
        <v>1.34</v>
      </c>
      <c r="K25">
        <v>22</v>
      </c>
      <c r="R25">
        <v>0.63500000000000001</v>
      </c>
      <c r="S25">
        <f>841923+510489+93468+76281</f>
        <v>1522161</v>
      </c>
      <c r="U25" s="4">
        <f t="shared" si="2"/>
        <v>6.8197041025000003</v>
      </c>
      <c r="V25" s="4">
        <f t="shared" si="0"/>
        <v>0.12828865087408184</v>
      </c>
      <c r="W25" s="4">
        <f t="shared" si="1"/>
        <v>0.13757458189717575</v>
      </c>
      <c r="X25" s="4">
        <f t="shared" si="3"/>
        <v>0.63500000000000001</v>
      </c>
      <c r="Z25" t="s">
        <v>33</v>
      </c>
    </row>
    <row r="26" spans="1:31" x14ac:dyDescent="0.3">
      <c r="A26" t="s">
        <v>27</v>
      </c>
      <c r="B26">
        <v>2</v>
      </c>
      <c r="C26">
        <v>11</v>
      </c>
      <c r="D26">
        <v>1</v>
      </c>
      <c r="E26">
        <v>31102024</v>
      </c>
      <c r="F26" s="5">
        <v>0.43055555555555558</v>
      </c>
      <c r="G26" s="5">
        <v>0.46388888888888891</v>
      </c>
      <c r="H26" t="s">
        <v>28</v>
      </c>
      <c r="I26">
        <v>7.23</v>
      </c>
      <c r="J26" s="9">
        <v>7.0000000000000007E-2</v>
      </c>
      <c r="K26">
        <v>22</v>
      </c>
      <c r="R26">
        <v>0.89</v>
      </c>
      <c r="S26">
        <f>336668+191234+97488+12270</f>
        <v>637660</v>
      </c>
      <c r="U26" s="4">
        <f t="shared" si="2"/>
        <v>2.8568939277777776</v>
      </c>
      <c r="V26" s="4">
        <f t="shared" si="0"/>
        <v>1.5797256490172571</v>
      </c>
      <c r="W26" s="4">
        <f t="shared" si="1"/>
        <v>1.694071098222929</v>
      </c>
      <c r="X26" s="4">
        <f t="shared" si="3"/>
        <v>0.89</v>
      </c>
      <c r="Z26" t="s">
        <v>33</v>
      </c>
    </row>
    <row r="27" spans="1:31" x14ac:dyDescent="0.3">
      <c r="A27" t="s">
        <v>27</v>
      </c>
      <c r="B27">
        <v>2</v>
      </c>
      <c r="C27">
        <v>12</v>
      </c>
      <c r="E27">
        <v>1112024</v>
      </c>
      <c r="F27" s="5">
        <v>0.4597222222222222</v>
      </c>
      <c r="G27" s="5">
        <v>0.47499999999999998</v>
      </c>
      <c r="H27" t="s">
        <v>28</v>
      </c>
      <c r="I27">
        <v>32.57</v>
      </c>
      <c r="J27">
        <v>2.5000000000000001E-2</v>
      </c>
      <c r="K27">
        <v>25</v>
      </c>
      <c r="R27">
        <v>1.4770000000000001</v>
      </c>
      <c r="S27">
        <f>693572+299597+149838+15127</f>
        <v>1158134</v>
      </c>
      <c r="U27" s="4">
        <f t="shared" si="2"/>
        <v>5.1887620238888887</v>
      </c>
      <c r="V27" s="4">
        <f t="shared" si="0"/>
        <v>2.3610272816336555</v>
      </c>
      <c r="W27" s="4">
        <f t="shared" si="1"/>
        <v>2.3612189931130394</v>
      </c>
      <c r="X27" s="4">
        <f t="shared" si="3"/>
        <v>1.4770000000000001</v>
      </c>
      <c r="Z27" t="s">
        <v>35</v>
      </c>
    </row>
    <row r="28" spans="1:31" x14ac:dyDescent="0.3">
      <c r="A28" t="s">
        <v>27</v>
      </c>
      <c r="B28">
        <v>2</v>
      </c>
      <c r="C28">
        <v>13</v>
      </c>
      <c r="E28">
        <v>1112024</v>
      </c>
      <c r="F28" s="5">
        <v>0.44930555555555557</v>
      </c>
      <c r="G28" s="5">
        <v>0.47361111111111109</v>
      </c>
      <c r="H28" t="s">
        <v>28</v>
      </c>
      <c r="I28">
        <v>27.9</v>
      </c>
      <c r="J28">
        <v>0.02</v>
      </c>
      <c r="K28">
        <v>24</v>
      </c>
      <c r="R28">
        <v>0.39300000000000002</v>
      </c>
      <c r="S28">
        <f>1201677+733659+346472+23738</f>
        <v>2305546</v>
      </c>
      <c r="U28" s="4">
        <f t="shared" si="2"/>
        <v>10.329486509444443</v>
      </c>
      <c r="V28" s="4">
        <f t="shared" si="0"/>
        <v>3.8182153126663207</v>
      </c>
      <c r="W28" s="4">
        <f t="shared" si="1"/>
        <v>3.9071513834929439</v>
      </c>
      <c r="X28" s="4">
        <f t="shared" si="3"/>
        <v>0.39300000000000002</v>
      </c>
      <c r="Z28" t="s">
        <v>35</v>
      </c>
    </row>
    <row r="29" spans="1:31" x14ac:dyDescent="0.3">
      <c r="A29" t="s">
        <v>27</v>
      </c>
      <c r="B29">
        <v>1</v>
      </c>
      <c r="C29">
        <v>14</v>
      </c>
      <c r="E29">
        <v>11052024</v>
      </c>
      <c r="F29" s="5">
        <v>0.40902777777777777</v>
      </c>
      <c r="G29" s="5">
        <v>0.42569444444444443</v>
      </c>
      <c r="H29" t="s">
        <v>28</v>
      </c>
      <c r="I29">
        <v>41.2</v>
      </c>
      <c r="J29">
        <v>0.05</v>
      </c>
      <c r="K29">
        <v>26</v>
      </c>
      <c r="R29" s="10">
        <v>1.7569999999999999</v>
      </c>
      <c r="S29">
        <f>970585+271027+38180</f>
        <v>1279792</v>
      </c>
      <c r="U29" s="4">
        <f t="shared" ref="U29:U30" si="4">S29/(1200^2)*2.54^2</f>
        <v>5.7338236577777781</v>
      </c>
      <c r="V29" s="4">
        <f t="shared" ref="V29:V30" si="5">I29*0.000001/18*1000/R29/(U29/10000)</f>
        <v>2.2720015181271536</v>
      </c>
      <c r="W29" s="4">
        <f t="shared" si="1"/>
        <v>2.2213417198360363</v>
      </c>
      <c r="X29" s="4">
        <f t="shared" si="3"/>
        <v>1.7569999999999999</v>
      </c>
      <c r="Z29" t="s">
        <v>36</v>
      </c>
    </row>
    <row r="30" spans="1:31" x14ac:dyDescent="0.3">
      <c r="A30" t="s">
        <v>27</v>
      </c>
      <c r="B30">
        <v>2</v>
      </c>
      <c r="C30">
        <v>14</v>
      </c>
      <c r="E30">
        <v>11052024</v>
      </c>
      <c r="F30" s="5">
        <v>0.40486111111111112</v>
      </c>
      <c r="G30" s="5">
        <v>0.42569444444444443</v>
      </c>
      <c r="H30" t="s">
        <v>28</v>
      </c>
      <c r="I30">
        <v>11.76</v>
      </c>
      <c r="J30">
        <v>0.03</v>
      </c>
      <c r="K30">
        <v>26</v>
      </c>
      <c r="R30">
        <v>0.83299999999999996</v>
      </c>
      <c r="S30">
        <f>728773+107895+147482</f>
        <v>984150</v>
      </c>
      <c r="U30" s="4">
        <f t="shared" si="4"/>
        <v>4.4092653750000004</v>
      </c>
      <c r="V30" s="4">
        <f t="shared" si="5"/>
        <v>1.7787854864376267</v>
      </c>
      <c r="W30" s="4">
        <f t="shared" si="1"/>
        <v>1.7391231388436081</v>
      </c>
      <c r="X30" s="4">
        <f t="shared" si="3"/>
        <v>0.83299999999999996</v>
      </c>
    </row>
    <row r="31" spans="1:31" x14ac:dyDescent="0.3">
      <c r="U31" s="4"/>
      <c r="V31" s="4"/>
      <c r="W31" s="4"/>
      <c r="X31" s="4"/>
    </row>
    <row r="32" spans="1:31" x14ac:dyDescent="0.3">
      <c r="A32" t="s">
        <v>27</v>
      </c>
      <c r="B32">
        <v>1</v>
      </c>
      <c r="C32">
        <v>1</v>
      </c>
      <c r="D32">
        <v>2</v>
      </c>
      <c r="E32">
        <v>2142025</v>
      </c>
      <c r="F32" s="5">
        <v>0.37291666666666667</v>
      </c>
      <c r="G32" s="5">
        <v>9.15</v>
      </c>
      <c r="H32">
        <v>0</v>
      </c>
      <c r="I32">
        <v>3.23</v>
      </c>
      <c r="J32">
        <v>0.03</v>
      </c>
      <c r="K32">
        <v>23.2</v>
      </c>
      <c r="R32">
        <v>4.4999999999999998E-2</v>
      </c>
      <c r="S32">
        <v>1378176</v>
      </c>
      <c r="U32" s="4">
        <f t="shared" ref="U32:U44" si="6">S32/(1200^2)*2.54^2</f>
        <v>6.1746113066666668</v>
      </c>
      <c r="V32" s="4">
        <f t="shared" ref="V32:V44" si="7">I32*0.000001/18*1000/R32/(U32/10000)</f>
        <v>6.4581463074156966</v>
      </c>
      <c r="W32" s="4">
        <f t="shared" ref="W32:W44" si="8">V32/(0.88862*(1/POWER(10,(1.3272*(20-K32)-0.001053*(K32-20)^2)/(K32+105))))</f>
        <v>6.7325478741733624</v>
      </c>
      <c r="X32" s="4">
        <f t="shared" ref="X32:X44" si="9">MAX(Q32:R32)</f>
        <v>4.4999999999999998E-2</v>
      </c>
      <c r="Z32" t="s">
        <v>100</v>
      </c>
    </row>
    <row r="33" spans="1:26" x14ac:dyDescent="0.3">
      <c r="A33" t="s">
        <v>27</v>
      </c>
      <c r="B33">
        <v>1</v>
      </c>
      <c r="C33">
        <v>2</v>
      </c>
      <c r="D33">
        <v>1</v>
      </c>
      <c r="E33">
        <v>2142025</v>
      </c>
      <c r="F33" s="5">
        <v>0.37916666666666665</v>
      </c>
      <c r="G33" s="5">
        <v>0.39027777777777778</v>
      </c>
      <c r="H33">
        <v>0</v>
      </c>
      <c r="I33">
        <v>15.5</v>
      </c>
      <c r="J33">
        <v>0.05</v>
      </c>
      <c r="K33">
        <v>23</v>
      </c>
      <c r="R33">
        <v>8.5000000000000006E-2</v>
      </c>
      <c r="S33">
        <v>2615846</v>
      </c>
      <c r="U33" s="4">
        <f t="shared" si="6"/>
        <v>11.719716703888889</v>
      </c>
      <c r="V33" s="4">
        <f t="shared" si="7"/>
        <v>8.6441670990961281</v>
      </c>
      <c r="W33" s="4">
        <f t="shared" si="8"/>
        <v>9.0537141995704449</v>
      </c>
      <c r="X33" s="4">
        <f t="shared" si="9"/>
        <v>8.5000000000000006E-2</v>
      </c>
      <c r="Z33" t="s">
        <v>100</v>
      </c>
    </row>
    <row r="34" spans="1:26" x14ac:dyDescent="0.3">
      <c r="A34" t="s">
        <v>27</v>
      </c>
      <c r="B34">
        <v>2</v>
      </c>
      <c r="C34">
        <v>1</v>
      </c>
      <c r="D34">
        <v>2</v>
      </c>
      <c r="E34">
        <v>2142025</v>
      </c>
      <c r="F34" s="5">
        <v>0.40138888888888891</v>
      </c>
      <c r="G34" s="5">
        <v>0.41180555555555554</v>
      </c>
      <c r="H34">
        <v>0</v>
      </c>
      <c r="I34">
        <v>9.0299999999999994</v>
      </c>
      <c r="J34">
        <v>0.03</v>
      </c>
      <c r="K34">
        <v>23.4</v>
      </c>
      <c r="R34">
        <v>0.90700000000000003</v>
      </c>
      <c r="S34">
        <v>1983630</v>
      </c>
      <c r="U34" s="4">
        <f t="shared" si="6"/>
        <v>8.8872134083333325</v>
      </c>
      <c r="V34" s="4">
        <f t="shared" si="7"/>
        <v>0.62236097021067771</v>
      </c>
      <c r="W34" s="4">
        <f t="shared" si="8"/>
        <v>0.64578438189502696</v>
      </c>
      <c r="X34" s="4">
        <f t="shared" si="9"/>
        <v>0.90700000000000003</v>
      </c>
      <c r="Z34" t="s">
        <v>119</v>
      </c>
    </row>
    <row r="35" spans="1:26" x14ac:dyDescent="0.3">
      <c r="A35" t="s">
        <v>27</v>
      </c>
      <c r="B35">
        <v>2</v>
      </c>
      <c r="C35">
        <v>2</v>
      </c>
      <c r="D35">
        <v>1</v>
      </c>
      <c r="E35">
        <v>2142025</v>
      </c>
      <c r="F35" s="5">
        <v>0.40277777777777779</v>
      </c>
      <c r="G35" s="5">
        <v>0.41458333333333336</v>
      </c>
      <c r="H35">
        <v>0</v>
      </c>
      <c r="I35">
        <v>11.9</v>
      </c>
      <c r="J35">
        <v>0.02</v>
      </c>
      <c r="K35">
        <v>23.8</v>
      </c>
      <c r="R35">
        <v>9.0999999999999998E-2</v>
      </c>
      <c r="S35">
        <v>2797289</v>
      </c>
      <c r="U35" s="4">
        <f t="shared" si="6"/>
        <v>12.532631744722222</v>
      </c>
      <c r="V35" s="4">
        <f t="shared" si="7"/>
        <v>5.7968329501237479</v>
      </c>
      <c r="W35" s="4">
        <f t="shared" si="8"/>
        <v>5.9593669247259307</v>
      </c>
      <c r="X35" s="4">
        <f t="shared" si="9"/>
        <v>9.0999999999999998E-2</v>
      </c>
      <c r="Z35" t="s">
        <v>100</v>
      </c>
    </row>
    <row r="36" spans="1:26" x14ac:dyDescent="0.3">
      <c r="A36" t="s">
        <v>27</v>
      </c>
      <c r="B36">
        <v>4</v>
      </c>
      <c r="C36">
        <v>1</v>
      </c>
      <c r="D36">
        <v>2</v>
      </c>
      <c r="E36">
        <v>2142025</v>
      </c>
      <c r="F36" s="5">
        <v>0.41666666666666669</v>
      </c>
      <c r="G36" s="5">
        <v>0.42916666666666664</v>
      </c>
      <c r="H36">
        <v>0</v>
      </c>
      <c r="I36">
        <v>7.83</v>
      </c>
      <c r="J36">
        <v>0.03</v>
      </c>
      <c r="K36">
        <v>23.8</v>
      </c>
      <c r="R36">
        <v>4.2000000000000003E-2</v>
      </c>
      <c r="S36">
        <v>1547762</v>
      </c>
      <c r="U36" s="4">
        <f t="shared" si="6"/>
        <v>6.9344036938888891</v>
      </c>
      <c r="V36" s="4">
        <f t="shared" si="7"/>
        <v>14.935881027910645</v>
      </c>
      <c r="W36" s="4">
        <f t="shared" si="8"/>
        <v>15.354659372661777</v>
      </c>
      <c r="X36" s="4">
        <f t="shared" si="9"/>
        <v>4.2000000000000003E-2</v>
      </c>
      <c r="Z36" t="s">
        <v>100</v>
      </c>
    </row>
    <row r="37" spans="1:26" x14ac:dyDescent="0.3">
      <c r="A37" t="s">
        <v>27</v>
      </c>
      <c r="B37">
        <v>4</v>
      </c>
      <c r="C37">
        <v>2</v>
      </c>
      <c r="D37">
        <v>1</v>
      </c>
      <c r="E37">
        <v>2142025</v>
      </c>
      <c r="F37" s="5">
        <v>0.42638888888888887</v>
      </c>
      <c r="G37" s="5">
        <v>0.43819444444444444</v>
      </c>
      <c r="H37">
        <v>0</v>
      </c>
      <c r="I37">
        <v>5.4</v>
      </c>
      <c r="J37">
        <v>0.06</v>
      </c>
      <c r="K37">
        <v>24.1</v>
      </c>
      <c r="R37">
        <v>0.28699999999999998</v>
      </c>
      <c r="S37">
        <v>1103724</v>
      </c>
      <c r="U37" s="4">
        <f t="shared" si="6"/>
        <v>4.94499011</v>
      </c>
      <c r="V37" s="4">
        <f t="shared" si="7"/>
        <v>2.1138488530715924</v>
      </c>
      <c r="W37" s="4">
        <f t="shared" si="8"/>
        <v>2.1580976179931657</v>
      </c>
      <c r="X37" s="4">
        <f t="shared" si="9"/>
        <v>0.28699999999999998</v>
      </c>
      <c r="Z37" t="s">
        <v>100</v>
      </c>
    </row>
    <row r="38" spans="1:26" x14ac:dyDescent="0.3">
      <c r="A38" t="s">
        <v>27</v>
      </c>
      <c r="B38">
        <v>2</v>
      </c>
      <c r="C38">
        <v>3</v>
      </c>
      <c r="D38">
        <v>2</v>
      </c>
      <c r="E38">
        <v>2142025</v>
      </c>
      <c r="F38" s="5">
        <v>0.43333333333333335</v>
      </c>
      <c r="G38" s="5">
        <v>0.44583333333333336</v>
      </c>
      <c r="H38">
        <v>0</v>
      </c>
      <c r="I38">
        <v>14.6</v>
      </c>
      <c r="J38">
        <v>0.05</v>
      </c>
      <c r="K38">
        <v>23.32</v>
      </c>
      <c r="R38">
        <v>0.20499999999999999</v>
      </c>
      <c r="S38">
        <v>4028661</v>
      </c>
      <c r="U38" s="4">
        <f t="shared" si="6"/>
        <v>18.0495203525</v>
      </c>
      <c r="V38" s="4">
        <f t="shared" si="7"/>
        <v>2.1921023324299247</v>
      </c>
      <c r="W38" s="4">
        <f t="shared" si="8"/>
        <v>2.278850768929674</v>
      </c>
      <c r="X38" s="4">
        <f t="shared" si="9"/>
        <v>0.20499999999999999</v>
      </c>
    </row>
    <row r="39" spans="1:26" x14ac:dyDescent="0.3">
      <c r="A39" t="s">
        <v>27</v>
      </c>
      <c r="B39">
        <v>2</v>
      </c>
      <c r="C39">
        <v>4</v>
      </c>
      <c r="D39">
        <v>1</v>
      </c>
      <c r="E39">
        <v>2142025</v>
      </c>
      <c r="F39" s="5">
        <v>0.44236111111111109</v>
      </c>
      <c r="G39" s="5">
        <v>0.45694444444444443</v>
      </c>
      <c r="H39">
        <v>0</v>
      </c>
      <c r="I39">
        <v>15.56</v>
      </c>
      <c r="J39">
        <v>4.5999999999999999E-2</v>
      </c>
      <c r="K39">
        <v>23.8</v>
      </c>
      <c r="R39">
        <v>0.216</v>
      </c>
      <c r="S39">
        <v>3638099</v>
      </c>
      <c r="U39" s="4">
        <f t="shared" si="6"/>
        <v>16.299694103055558</v>
      </c>
      <c r="V39" s="4">
        <f t="shared" si="7"/>
        <v>2.4552961471948698</v>
      </c>
      <c r="W39" s="4">
        <f t="shared" si="8"/>
        <v>2.5241387453967876</v>
      </c>
      <c r="X39" s="4">
        <f t="shared" si="9"/>
        <v>0.216</v>
      </c>
      <c r="Z39" t="s">
        <v>100</v>
      </c>
    </row>
    <row r="40" spans="1:26" x14ac:dyDescent="0.3">
      <c r="A40" t="s">
        <v>27</v>
      </c>
      <c r="B40">
        <v>1</v>
      </c>
      <c r="C40">
        <v>3</v>
      </c>
      <c r="D40">
        <v>2</v>
      </c>
      <c r="E40">
        <v>2142025</v>
      </c>
      <c r="F40" s="5">
        <v>0.45069444444444445</v>
      </c>
      <c r="G40" s="5">
        <v>0.46388888888888891</v>
      </c>
      <c r="H40">
        <v>0</v>
      </c>
      <c r="I40">
        <v>21.63</v>
      </c>
      <c r="J40">
        <v>0.05</v>
      </c>
      <c r="K40">
        <v>23.5</v>
      </c>
      <c r="R40">
        <v>0.121</v>
      </c>
      <c r="S40">
        <v>3102806</v>
      </c>
      <c r="U40" s="4">
        <f t="shared" si="6"/>
        <v>13.901432770555555</v>
      </c>
      <c r="V40" s="4">
        <f t="shared" si="7"/>
        <v>7.1439610869600561</v>
      </c>
      <c r="W40" s="4">
        <f t="shared" si="8"/>
        <v>7.3955963099063391</v>
      </c>
      <c r="X40" s="4">
        <f t="shared" si="9"/>
        <v>0.121</v>
      </c>
      <c r="Z40" t="s">
        <v>120</v>
      </c>
    </row>
    <row r="41" spans="1:26" x14ac:dyDescent="0.3">
      <c r="A41" t="s">
        <v>27</v>
      </c>
      <c r="B41">
        <v>4</v>
      </c>
      <c r="C41">
        <v>3</v>
      </c>
      <c r="D41">
        <v>1</v>
      </c>
      <c r="E41">
        <v>2142025</v>
      </c>
      <c r="F41" s="5">
        <v>0.45902777777777776</v>
      </c>
      <c r="G41" s="5">
        <v>0.4826388888888889</v>
      </c>
      <c r="H41">
        <v>0</v>
      </c>
      <c r="I41">
        <v>3.6</v>
      </c>
      <c r="J41">
        <v>0.05</v>
      </c>
      <c r="K41">
        <v>23.8</v>
      </c>
      <c r="R41">
        <v>0.68600000000000005</v>
      </c>
      <c r="S41">
        <v>1400313</v>
      </c>
      <c r="U41" s="4">
        <f t="shared" si="6"/>
        <v>6.2737912158333335</v>
      </c>
      <c r="V41" s="4">
        <f t="shared" si="7"/>
        <v>0.46470336591468459</v>
      </c>
      <c r="W41" s="4">
        <f t="shared" si="8"/>
        <v>0.47773290906747007</v>
      </c>
      <c r="X41" s="4">
        <f t="shared" si="9"/>
        <v>0.68600000000000005</v>
      </c>
      <c r="Z41" t="s">
        <v>121</v>
      </c>
    </row>
    <row r="42" spans="1:26" x14ac:dyDescent="0.3">
      <c r="A42" t="s">
        <v>27</v>
      </c>
      <c r="B42">
        <v>4</v>
      </c>
      <c r="C42">
        <v>4</v>
      </c>
      <c r="D42">
        <v>2</v>
      </c>
      <c r="E42">
        <v>2142025</v>
      </c>
      <c r="F42" s="5">
        <v>0.46875</v>
      </c>
      <c r="G42" s="5">
        <v>0.4826388888888889</v>
      </c>
      <c r="H42">
        <v>0</v>
      </c>
      <c r="I42">
        <v>8.5</v>
      </c>
      <c r="J42">
        <v>0.02</v>
      </c>
      <c r="K42">
        <v>22.8</v>
      </c>
      <c r="R42">
        <v>7.5999999999999998E-2</v>
      </c>
      <c r="S42">
        <v>1679072</v>
      </c>
      <c r="U42" s="4">
        <f t="shared" si="6"/>
        <v>7.5227089688888897</v>
      </c>
      <c r="V42" s="4">
        <f t="shared" si="7"/>
        <v>8.2595914823957255</v>
      </c>
      <c r="W42" s="4">
        <f t="shared" si="8"/>
        <v>8.6916044317005152</v>
      </c>
      <c r="X42" s="4">
        <f t="shared" si="9"/>
        <v>7.5999999999999998E-2</v>
      </c>
      <c r="Z42" t="s">
        <v>100</v>
      </c>
    </row>
    <row r="43" spans="1:26" s="8" customFormat="1" x14ac:dyDescent="0.3">
      <c r="A43" s="8" t="s">
        <v>27</v>
      </c>
      <c r="B43" s="8">
        <v>1</v>
      </c>
      <c r="C43" s="8">
        <v>4</v>
      </c>
      <c r="D43" s="8">
        <v>1</v>
      </c>
      <c r="E43" s="8">
        <v>2142025</v>
      </c>
      <c r="F43" s="11">
        <v>0.49027777777777776</v>
      </c>
      <c r="G43" s="11">
        <v>0.50624999999999998</v>
      </c>
      <c r="H43" s="8" t="s">
        <v>28</v>
      </c>
      <c r="I43" s="8">
        <v>8</v>
      </c>
      <c r="J43" s="8">
        <v>0.05</v>
      </c>
      <c r="K43" s="8">
        <v>24.5</v>
      </c>
      <c r="R43" s="8">
        <v>0.29599999999999999</v>
      </c>
      <c r="S43" s="8">
        <v>3052078</v>
      </c>
      <c r="U43" s="4">
        <f t="shared" si="6"/>
        <v>13.674157239444444</v>
      </c>
      <c r="V43" s="4">
        <f t="shared" si="7"/>
        <v>1.0980577999865861</v>
      </c>
      <c r="W43" s="4">
        <f t="shared" si="8"/>
        <v>1.1107735775660585</v>
      </c>
      <c r="X43" s="4">
        <f t="shared" si="9"/>
        <v>0.29599999999999999</v>
      </c>
      <c r="Z43" s="8" t="s">
        <v>122</v>
      </c>
    </row>
    <row r="44" spans="1:26" s="8" customFormat="1" x14ac:dyDescent="0.3">
      <c r="A44" s="8" t="s">
        <v>27</v>
      </c>
      <c r="B44" s="8">
        <v>2</v>
      </c>
      <c r="C44" s="8">
        <v>5</v>
      </c>
      <c r="D44" s="8">
        <v>2</v>
      </c>
      <c r="E44" s="8">
        <v>2142025</v>
      </c>
      <c r="F44" s="11">
        <v>0.48472222222222222</v>
      </c>
      <c r="G44" s="11">
        <v>0.49791666666666667</v>
      </c>
      <c r="H44" s="8" t="s">
        <v>28</v>
      </c>
      <c r="I44" s="8">
        <v>10.36</v>
      </c>
      <c r="J44" s="8">
        <v>0.02</v>
      </c>
      <c r="K44" s="8">
        <v>24.8</v>
      </c>
      <c r="R44" s="8">
        <v>1.008</v>
      </c>
      <c r="S44" s="8">
        <v>2922203</v>
      </c>
      <c r="U44" s="4">
        <f t="shared" si="6"/>
        <v>13.092281163055556</v>
      </c>
      <c r="V44" s="4">
        <f t="shared" si="7"/>
        <v>0.43612541405865057</v>
      </c>
      <c r="W44" s="4">
        <f t="shared" si="8"/>
        <v>0.43815581974295731</v>
      </c>
      <c r="X44" s="4">
        <f t="shared" si="9"/>
        <v>1.008</v>
      </c>
      <c r="Z44" s="8" t="s">
        <v>123</v>
      </c>
    </row>
  </sheetData>
  <autoFilter ref="A1:AE23" xr:uid="{E3FF746F-B21E-4AE2-A531-A971B17E5B05}">
    <sortState xmlns:xlrd2="http://schemas.microsoft.com/office/spreadsheetml/2017/richdata2" ref="A2:AE28">
      <sortCondition ref="B1:B23"/>
    </sortState>
  </autoFilter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561D-C7B6-42E8-B39F-EE1E2C48D1A9}">
  <dimension ref="A1:AE60"/>
  <sheetViews>
    <sheetView tabSelected="1" workbookViewId="0">
      <pane ySplit="1" topLeftCell="A37" activePane="bottomLeft" state="frozen"/>
      <selection pane="bottomLeft" activeCell="S61" sqref="S61"/>
    </sheetView>
  </sheetViews>
  <sheetFormatPr baseColWidth="10" defaultRowHeight="14.4" x14ac:dyDescent="0.3"/>
  <cols>
    <col min="4" max="4" width="4.5546875" bestFit="1" customWidth="1"/>
    <col min="5" max="5" width="16.88671875" bestFit="1" customWidth="1"/>
    <col min="6" max="6" width="9.44140625" bestFit="1" customWidth="1"/>
    <col min="7" max="7" width="8.5546875" bestFit="1" customWidth="1"/>
    <col min="8" max="8" width="6" bestFit="1" customWidth="1"/>
    <col min="9" max="9" width="7" bestFit="1" customWidth="1"/>
    <col min="10" max="10" width="6" bestFit="1" customWidth="1"/>
    <col min="11" max="11" width="12" bestFit="1" customWidth="1"/>
    <col min="12" max="12" width="7.77734375" hidden="1" customWidth="1"/>
    <col min="13" max="13" width="19.6640625" hidden="1" customWidth="1"/>
    <col min="14" max="14" width="6.6640625" hidden="1" customWidth="1"/>
    <col min="15" max="16" width="17.77734375" hidden="1" customWidth="1"/>
    <col min="17" max="17" width="17.88671875" hidden="1" customWidth="1"/>
  </cols>
  <sheetData>
    <row r="1" spans="1:31" x14ac:dyDescent="0.3">
      <c r="A1" s="6" t="s">
        <v>30</v>
      </c>
      <c r="B1" s="6" t="s">
        <v>0</v>
      </c>
      <c r="C1" s="7" t="s">
        <v>21</v>
      </c>
      <c r="D1" s="6" t="s">
        <v>22</v>
      </c>
      <c r="E1" s="6" t="s">
        <v>29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>
        <v>1312025</v>
      </c>
      <c r="B2" t="s">
        <v>86</v>
      </c>
      <c r="C2">
        <v>4</v>
      </c>
      <c r="D2">
        <v>1</v>
      </c>
      <c r="E2">
        <v>2</v>
      </c>
      <c r="F2" s="5">
        <v>0.40555555555555556</v>
      </c>
      <c r="G2" s="5">
        <v>0.41875000000000001</v>
      </c>
      <c r="H2">
        <v>0</v>
      </c>
      <c r="I2">
        <v>39.46</v>
      </c>
      <c r="J2">
        <v>0.05</v>
      </c>
      <c r="K2">
        <v>22</v>
      </c>
      <c r="L2"/>
      <c r="M2"/>
      <c r="N2"/>
      <c r="O2"/>
      <c r="P2"/>
      <c r="Q2"/>
      <c r="R2">
        <v>0.315</v>
      </c>
      <c r="S2">
        <v>10385203</v>
      </c>
      <c r="T2"/>
      <c r="U2">
        <f t="shared" ref="U2:U39" si="0">S2/(1200^2)*2.54^2</f>
        <v>46.528594218611111</v>
      </c>
      <c r="V2">
        <f t="shared" ref="V2:V39" si="1">I2*0.000001/18*1000/R2/(U2/10000)</f>
        <v>1.4957330525405317</v>
      </c>
      <c r="W2">
        <f t="shared" ref="W2:W39" si="2">V2/(0.88862*(1/POWER(10,(1.3272*(20-K2)-0.001053*(K2-20)^2)/(K2+105))))</f>
        <v>1.6039988567267938</v>
      </c>
      <c r="X2">
        <f t="shared" ref="X2:X39" si="3">MAX(Q2:R2)</f>
        <v>0.315</v>
      </c>
      <c r="Y2"/>
      <c r="Z2"/>
      <c r="AA2"/>
      <c r="AB2"/>
      <c r="AC2"/>
      <c r="AD2"/>
      <c r="AE2"/>
    </row>
    <row r="3" spans="1:31" x14ac:dyDescent="0.3">
      <c r="A3">
        <v>1312025</v>
      </c>
      <c r="B3" t="s">
        <v>86</v>
      </c>
      <c r="C3">
        <v>1</v>
      </c>
      <c r="D3">
        <v>2</v>
      </c>
      <c r="E3">
        <v>1</v>
      </c>
      <c r="F3" s="5">
        <v>0.41180555555555554</v>
      </c>
      <c r="G3" s="5">
        <v>0.42291666666666666</v>
      </c>
      <c r="H3">
        <v>0</v>
      </c>
      <c r="I3">
        <v>36.53</v>
      </c>
      <c r="J3">
        <v>0.05</v>
      </c>
      <c r="K3">
        <v>23</v>
      </c>
      <c r="R3">
        <v>0.20399999999999999</v>
      </c>
      <c r="S3">
        <v>9559014</v>
      </c>
      <c r="U3">
        <f t="shared" si="0"/>
        <v>42.827038001666665</v>
      </c>
      <c r="V3">
        <f t="shared" si="1"/>
        <v>2.3228916929120511</v>
      </c>
      <c r="W3">
        <f t="shared" si="2"/>
        <v>2.4329466636966259</v>
      </c>
      <c r="X3">
        <f t="shared" si="3"/>
        <v>0.20399999999999999</v>
      </c>
    </row>
    <row r="4" spans="1:31" x14ac:dyDescent="0.3">
      <c r="A4">
        <v>1312025</v>
      </c>
      <c r="B4" t="s">
        <v>86</v>
      </c>
      <c r="C4">
        <v>3</v>
      </c>
      <c r="D4">
        <v>2</v>
      </c>
      <c r="E4">
        <v>1</v>
      </c>
      <c r="F4" s="5">
        <v>0.4284722222222222</v>
      </c>
      <c r="G4" s="5">
        <v>0.43888888888888888</v>
      </c>
      <c r="H4">
        <v>0</v>
      </c>
      <c r="I4">
        <v>93.67</v>
      </c>
      <c r="J4">
        <v>0.03</v>
      </c>
      <c r="K4">
        <v>22.7</v>
      </c>
      <c r="R4">
        <v>0.26800000000000002</v>
      </c>
      <c r="S4">
        <v>10739241</v>
      </c>
      <c r="U4">
        <f t="shared" si="0"/>
        <v>48.114782802500002</v>
      </c>
      <c r="V4">
        <f t="shared" si="1"/>
        <v>4.0356611259718917</v>
      </c>
      <c r="W4">
        <f t="shared" si="2"/>
        <v>4.2567397742206818</v>
      </c>
      <c r="X4">
        <f t="shared" si="3"/>
        <v>0.26800000000000002</v>
      </c>
    </row>
    <row r="5" spans="1:31" x14ac:dyDescent="0.3">
      <c r="A5">
        <v>1312025</v>
      </c>
      <c r="B5" t="s">
        <v>86</v>
      </c>
      <c r="C5">
        <v>2</v>
      </c>
      <c r="D5">
        <v>2</v>
      </c>
      <c r="E5">
        <v>2</v>
      </c>
      <c r="F5" s="5">
        <v>0.4236111111111111</v>
      </c>
      <c r="G5" s="5">
        <v>0.43402777777777779</v>
      </c>
      <c r="H5">
        <v>0</v>
      </c>
      <c r="I5">
        <v>31.3</v>
      </c>
      <c r="J5">
        <v>5.2999999999999999E-2</v>
      </c>
      <c r="K5">
        <v>21.8</v>
      </c>
      <c r="R5">
        <v>0.32800000000000001</v>
      </c>
      <c r="S5">
        <v>10181360</v>
      </c>
      <c r="U5">
        <f t="shared" si="0"/>
        <v>45.615320955555553</v>
      </c>
      <c r="V5">
        <f t="shared" si="1"/>
        <v>1.1622170805441789</v>
      </c>
      <c r="W5">
        <f t="shared" si="2"/>
        <v>1.252287037830736</v>
      </c>
      <c r="X5">
        <f t="shared" si="3"/>
        <v>0.32800000000000001</v>
      </c>
    </row>
    <row r="6" spans="1:31" x14ac:dyDescent="0.3">
      <c r="A6">
        <v>2032025</v>
      </c>
      <c r="B6" t="s">
        <v>86</v>
      </c>
      <c r="C6">
        <v>8</v>
      </c>
      <c r="D6">
        <v>2</v>
      </c>
      <c r="E6">
        <v>1</v>
      </c>
      <c r="F6" s="5">
        <v>0.49166666666666664</v>
      </c>
      <c r="G6" s="5">
        <v>0.50416666666666665</v>
      </c>
      <c r="H6">
        <v>0</v>
      </c>
      <c r="I6">
        <v>30.3</v>
      </c>
      <c r="J6">
        <v>0.05</v>
      </c>
      <c r="K6">
        <v>23</v>
      </c>
      <c r="R6">
        <v>0.28899999999999998</v>
      </c>
      <c r="S6">
        <v>10846014</v>
      </c>
      <c r="U6">
        <f t="shared" si="0"/>
        <v>48.593155501666665</v>
      </c>
      <c r="V6">
        <f t="shared" si="1"/>
        <v>1.1986632179304377</v>
      </c>
      <c r="W6">
        <f t="shared" si="2"/>
        <v>1.2554540041011442</v>
      </c>
      <c r="X6">
        <f t="shared" si="3"/>
        <v>0.28899999999999998</v>
      </c>
      <c r="Z6" t="s">
        <v>91</v>
      </c>
    </row>
    <row r="7" spans="1:31" x14ac:dyDescent="0.3">
      <c r="A7">
        <v>2032025</v>
      </c>
      <c r="B7" t="s">
        <v>86</v>
      </c>
      <c r="C7">
        <v>6</v>
      </c>
      <c r="D7">
        <v>2</v>
      </c>
      <c r="E7">
        <v>2</v>
      </c>
      <c r="F7" s="5">
        <v>0.49236111111111114</v>
      </c>
      <c r="G7" s="5">
        <v>0.50277777777777777</v>
      </c>
      <c r="H7">
        <v>0</v>
      </c>
      <c r="I7">
        <v>70.459999999999994</v>
      </c>
      <c r="J7">
        <v>0.03</v>
      </c>
      <c r="K7">
        <v>21.8</v>
      </c>
      <c r="R7">
        <v>0.57299999999999995</v>
      </c>
      <c r="S7">
        <v>12388382</v>
      </c>
      <c r="U7">
        <f t="shared" si="0"/>
        <v>55.503392577222229</v>
      </c>
      <c r="V7">
        <f t="shared" si="1"/>
        <v>1.2308240739584011</v>
      </c>
      <c r="W7">
        <f t="shared" si="2"/>
        <v>1.3262109630555667</v>
      </c>
      <c r="X7">
        <f t="shared" si="3"/>
        <v>0.57299999999999995</v>
      </c>
    </row>
    <row r="8" spans="1:31" x14ac:dyDescent="0.3">
      <c r="A8">
        <v>2032025</v>
      </c>
      <c r="B8" t="s">
        <v>86</v>
      </c>
      <c r="C8">
        <v>6</v>
      </c>
      <c r="D8">
        <v>3</v>
      </c>
      <c r="E8">
        <v>2</v>
      </c>
      <c r="F8" s="5">
        <v>0.55555555555555558</v>
      </c>
      <c r="G8" s="5">
        <v>0.56527777777777777</v>
      </c>
      <c r="H8">
        <v>0</v>
      </c>
      <c r="I8">
        <v>56.9</v>
      </c>
      <c r="J8">
        <v>0.05</v>
      </c>
      <c r="K8">
        <v>21</v>
      </c>
      <c r="R8">
        <v>0.374</v>
      </c>
      <c r="S8">
        <v>12887346</v>
      </c>
      <c r="U8">
        <f t="shared" si="0"/>
        <v>57.738889898333333</v>
      </c>
      <c r="V8">
        <f t="shared" si="1"/>
        <v>1.4638606251642481</v>
      </c>
      <c r="W8">
        <f t="shared" si="2"/>
        <v>1.6078367656263755</v>
      </c>
      <c r="X8">
        <f t="shared" si="3"/>
        <v>0.374</v>
      </c>
    </row>
    <row r="9" spans="1:31" x14ac:dyDescent="0.3">
      <c r="A9">
        <v>2032025</v>
      </c>
      <c r="B9" t="s">
        <v>86</v>
      </c>
      <c r="C9">
        <v>8</v>
      </c>
      <c r="D9">
        <v>3</v>
      </c>
      <c r="E9">
        <v>2</v>
      </c>
      <c r="F9" s="5">
        <v>0.58958333333333335</v>
      </c>
      <c r="G9" s="5">
        <v>0.60069444444444442</v>
      </c>
      <c r="H9">
        <v>0</v>
      </c>
      <c r="I9">
        <v>92.9</v>
      </c>
      <c r="J9">
        <v>0.03</v>
      </c>
      <c r="K9">
        <v>22.9</v>
      </c>
      <c r="R9">
        <v>0.73799999999999999</v>
      </c>
      <c r="S9">
        <v>21209316</v>
      </c>
      <c r="U9">
        <f t="shared" si="0"/>
        <v>95.023627156666663</v>
      </c>
      <c r="V9">
        <f t="shared" si="1"/>
        <v>0.73596174957417493</v>
      </c>
      <c r="W9">
        <f t="shared" si="2"/>
        <v>0.77263972773851441</v>
      </c>
      <c r="X9">
        <f t="shared" si="3"/>
        <v>0.73799999999999999</v>
      </c>
      <c r="Z9" t="s">
        <v>87</v>
      </c>
    </row>
    <row r="10" spans="1:31" x14ac:dyDescent="0.3">
      <c r="A10">
        <v>2032025</v>
      </c>
      <c r="B10" t="s">
        <v>86</v>
      </c>
      <c r="C10">
        <v>7</v>
      </c>
      <c r="D10">
        <v>2</v>
      </c>
      <c r="E10">
        <v>1</v>
      </c>
      <c r="F10" s="5">
        <v>0.59930555555555554</v>
      </c>
      <c r="G10" s="5">
        <v>0.60763888888888884</v>
      </c>
      <c r="H10">
        <v>0</v>
      </c>
      <c r="I10">
        <v>112.8</v>
      </c>
      <c r="J10">
        <v>4.5999999999999999E-2</v>
      </c>
      <c r="K10">
        <v>22.9</v>
      </c>
      <c r="R10">
        <v>0.16400000000000001</v>
      </c>
      <c r="S10">
        <v>18102580</v>
      </c>
      <c r="U10">
        <f t="shared" si="0"/>
        <v>81.104586894444438</v>
      </c>
      <c r="V10">
        <f t="shared" si="1"/>
        <v>4.711371277132856</v>
      </c>
      <c r="W10">
        <f t="shared" si="2"/>
        <v>4.9461709429127128</v>
      </c>
      <c r="X10">
        <f t="shared" si="3"/>
        <v>0.16400000000000001</v>
      </c>
      <c r="Z10" t="s">
        <v>88</v>
      </c>
    </row>
    <row r="11" spans="1:31" x14ac:dyDescent="0.3">
      <c r="A11">
        <v>2032025</v>
      </c>
      <c r="B11" t="s">
        <v>86</v>
      </c>
      <c r="C11">
        <v>7</v>
      </c>
      <c r="D11">
        <v>3</v>
      </c>
      <c r="E11">
        <v>2</v>
      </c>
      <c r="F11" s="5">
        <v>0.60624999999999996</v>
      </c>
      <c r="G11" s="5">
        <v>0.61597222222222225</v>
      </c>
      <c r="H11">
        <v>0</v>
      </c>
      <c r="I11">
        <v>88.93</v>
      </c>
      <c r="J11">
        <v>0.05</v>
      </c>
      <c r="K11">
        <v>22</v>
      </c>
      <c r="R11">
        <v>0.15</v>
      </c>
      <c r="S11">
        <v>14477775</v>
      </c>
      <c r="U11">
        <f t="shared" si="0"/>
        <v>64.86445360416667</v>
      </c>
      <c r="V11">
        <f t="shared" si="1"/>
        <v>5.0778254046560374</v>
      </c>
      <c r="W11">
        <f t="shared" si="2"/>
        <v>5.4453741794984118</v>
      </c>
      <c r="X11">
        <f t="shared" si="3"/>
        <v>0.15</v>
      </c>
      <c r="Z11" t="s">
        <v>88</v>
      </c>
    </row>
    <row r="12" spans="1:31" x14ac:dyDescent="0.3">
      <c r="A12">
        <v>2042025</v>
      </c>
      <c r="B12" t="s">
        <v>86</v>
      </c>
      <c r="C12">
        <v>9</v>
      </c>
      <c r="D12">
        <v>3</v>
      </c>
      <c r="E12">
        <v>2</v>
      </c>
      <c r="F12" s="5">
        <v>0.44444444444444442</v>
      </c>
      <c r="G12" s="5">
        <v>0.4548611111111111</v>
      </c>
      <c r="H12">
        <v>0</v>
      </c>
      <c r="I12">
        <v>158.6</v>
      </c>
      <c r="J12">
        <v>0.02</v>
      </c>
      <c r="K12">
        <v>23.2</v>
      </c>
      <c r="R12">
        <v>0.245</v>
      </c>
      <c r="S12">
        <v>10907652</v>
      </c>
      <c r="U12">
        <f t="shared" si="0"/>
        <v>48.869310863333332</v>
      </c>
      <c r="V12">
        <f t="shared" si="1"/>
        <v>7.3591622606336502</v>
      </c>
      <c r="W12">
        <f t="shared" si="2"/>
        <v>7.6718472879181796</v>
      </c>
      <c r="X12">
        <f t="shared" si="3"/>
        <v>0.245</v>
      </c>
    </row>
    <row r="13" spans="1:31" x14ac:dyDescent="0.3">
      <c r="A13">
        <v>2042025</v>
      </c>
      <c r="B13" t="s">
        <v>86</v>
      </c>
      <c r="C13">
        <v>10</v>
      </c>
      <c r="D13">
        <v>3</v>
      </c>
      <c r="E13">
        <v>1</v>
      </c>
      <c r="F13" s="5">
        <v>0.4513888888888889</v>
      </c>
      <c r="G13" s="5">
        <v>0.46388888888888891</v>
      </c>
      <c r="H13">
        <v>0</v>
      </c>
      <c r="I13">
        <v>66.33</v>
      </c>
      <c r="J13">
        <v>0.04</v>
      </c>
      <c r="K13">
        <v>23</v>
      </c>
      <c r="R13">
        <v>0.17299999999999999</v>
      </c>
      <c r="S13">
        <v>14585638</v>
      </c>
      <c r="U13">
        <f t="shared" si="0"/>
        <v>65.347709806111112</v>
      </c>
      <c r="V13">
        <f t="shared" si="1"/>
        <v>3.2595752931329383</v>
      </c>
      <c r="W13">
        <f t="shared" si="2"/>
        <v>3.4140088660586518</v>
      </c>
      <c r="X13">
        <f t="shared" si="3"/>
        <v>0.17299999999999999</v>
      </c>
    </row>
    <row r="14" spans="1:31" x14ac:dyDescent="0.3">
      <c r="A14">
        <v>2042025</v>
      </c>
      <c r="B14" t="s">
        <v>86</v>
      </c>
      <c r="C14">
        <v>11</v>
      </c>
      <c r="D14">
        <v>3</v>
      </c>
      <c r="E14">
        <v>1</v>
      </c>
      <c r="F14" s="5">
        <v>0.47291666666666665</v>
      </c>
      <c r="G14" s="5">
        <v>0.48402777777777778</v>
      </c>
      <c r="H14">
        <v>0</v>
      </c>
      <c r="I14">
        <v>115</v>
      </c>
      <c r="J14">
        <v>0.02</v>
      </c>
      <c r="K14">
        <v>24.4</v>
      </c>
      <c r="R14">
        <v>1.33</v>
      </c>
      <c r="S14">
        <v>17918620</v>
      </c>
      <c r="U14">
        <f t="shared" si="0"/>
        <v>80.28039499444445</v>
      </c>
      <c r="V14">
        <f t="shared" si="1"/>
        <v>0.59836225975717461</v>
      </c>
      <c r="W14">
        <f t="shared" si="2"/>
        <v>0.60668277460972997</v>
      </c>
      <c r="X14">
        <f t="shared" si="3"/>
        <v>1.33</v>
      </c>
    </row>
    <row r="15" spans="1:31" x14ac:dyDescent="0.3">
      <c r="A15">
        <v>2042025</v>
      </c>
      <c r="B15" t="s">
        <v>86</v>
      </c>
      <c r="C15">
        <v>10</v>
      </c>
      <c r="D15">
        <v>4</v>
      </c>
      <c r="E15">
        <v>2</v>
      </c>
      <c r="F15" s="5">
        <v>0.46597222222222223</v>
      </c>
      <c r="G15" s="5">
        <v>0.48402777777777778</v>
      </c>
      <c r="H15">
        <v>0</v>
      </c>
      <c r="I15">
        <v>106.2</v>
      </c>
      <c r="J15">
        <v>0.04</v>
      </c>
      <c r="K15">
        <v>23.9</v>
      </c>
      <c r="R15">
        <v>0.23300000000000001</v>
      </c>
      <c r="S15">
        <v>24104458</v>
      </c>
      <c r="U15">
        <f t="shared" si="0"/>
        <v>107.99466752277777</v>
      </c>
      <c r="V15">
        <f t="shared" si="1"/>
        <v>2.3447350682084722</v>
      </c>
      <c r="W15">
        <f t="shared" si="2"/>
        <v>2.4049035487972961</v>
      </c>
      <c r="X15">
        <f t="shared" si="3"/>
        <v>0.23300000000000001</v>
      </c>
    </row>
    <row r="16" spans="1:31" x14ac:dyDescent="0.3">
      <c r="A16">
        <v>2042025</v>
      </c>
      <c r="B16" t="s">
        <v>86</v>
      </c>
      <c r="C16">
        <v>9</v>
      </c>
      <c r="D16">
        <v>4</v>
      </c>
      <c r="E16">
        <v>2</v>
      </c>
      <c r="F16" s="5">
        <v>0.57708333333333328</v>
      </c>
      <c r="G16" s="5">
        <v>0.59097222222222223</v>
      </c>
      <c r="H16">
        <v>0</v>
      </c>
      <c r="I16">
        <v>42.7</v>
      </c>
      <c r="J16">
        <v>4.5999999999999999E-2</v>
      </c>
      <c r="K16">
        <v>22.6</v>
      </c>
      <c r="R16">
        <v>0.14699999999999999</v>
      </c>
      <c r="S16">
        <v>6255270</v>
      </c>
      <c r="U16">
        <f t="shared" si="0"/>
        <v>28.025347175</v>
      </c>
      <c r="V16">
        <f t="shared" si="1"/>
        <v>5.7582038276983942</v>
      </c>
      <c r="W16">
        <f t="shared" si="2"/>
        <v>6.087961596564802</v>
      </c>
      <c r="X16">
        <f t="shared" si="3"/>
        <v>0.14699999999999999</v>
      </c>
    </row>
    <row r="17" spans="1:31" x14ac:dyDescent="0.3">
      <c r="A17">
        <v>2042025</v>
      </c>
      <c r="B17" t="s">
        <v>86</v>
      </c>
      <c r="C17">
        <v>11</v>
      </c>
      <c r="D17">
        <v>4</v>
      </c>
      <c r="E17">
        <v>1</v>
      </c>
      <c r="F17" s="5">
        <v>0.58402777777777781</v>
      </c>
      <c r="G17" s="5">
        <v>0.59722222222222221</v>
      </c>
      <c r="H17">
        <v>0</v>
      </c>
      <c r="I17">
        <v>74.599999999999994</v>
      </c>
      <c r="J17">
        <v>4.2999999999999997E-2</v>
      </c>
      <c r="K17">
        <v>22.9</v>
      </c>
      <c r="R17">
        <v>0.126</v>
      </c>
      <c r="S17">
        <v>13291086</v>
      </c>
      <c r="U17">
        <f t="shared" si="0"/>
        <v>59.547757248333333</v>
      </c>
      <c r="V17">
        <f t="shared" si="1"/>
        <v>5.5237036196976463</v>
      </c>
      <c r="W17">
        <f t="shared" si="2"/>
        <v>5.7989873295735688</v>
      </c>
      <c r="X17">
        <f t="shared" si="3"/>
        <v>0.126</v>
      </c>
    </row>
    <row r="18" spans="1:31" x14ac:dyDescent="0.3">
      <c r="A18">
        <v>2042025</v>
      </c>
      <c r="B18" t="s">
        <v>86</v>
      </c>
      <c r="C18">
        <v>10</v>
      </c>
      <c r="D18">
        <v>5</v>
      </c>
      <c r="E18">
        <v>2</v>
      </c>
      <c r="F18" s="5">
        <v>0.59722222222222221</v>
      </c>
      <c r="G18" s="5">
        <v>0.60624999999999996</v>
      </c>
      <c r="H18">
        <v>0</v>
      </c>
      <c r="I18">
        <v>40.200000000000003</v>
      </c>
      <c r="J18">
        <v>0.05</v>
      </c>
      <c r="K18">
        <v>22.6</v>
      </c>
      <c r="R18">
        <v>0.67</v>
      </c>
      <c r="S18">
        <v>8214470</v>
      </c>
      <c r="U18">
        <f t="shared" si="0"/>
        <v>36.803107397222227</v>
      </c>
      <c r="V18">
        <f t="shared" si="1"/>
        <v>0.90572062227140138</v>
      </c>
      <c r="W18">
        <f t="shared" si="2"/>
        <v>0.95758895145069201</v>
      </c>
      <c r="X18">
        <f t="shared" si="3"/>
        <v>0.67</v>
      </c>
    </row>
    <row r="19" spans="1:31" x14ac:dyDescent="0.3">
      <c r="A19">
        <v>2042025</v>
      </c>
      <c r="B19" t="s">
        <v>86</v>
      </c>
      <c r="C19">
        <v>11</v>
      </c>
      <c r="D19">
        <v>5</v>
      </c>
      <c r="E19">
        <v>1</v>
      </c>
      <c r="F19" s="5">
        <v>0.60277777777777775</v>
      </c>
      <c r="G19" s="5">
        <v>0.61388888888888893</v>
      </c>
      <c r="H19">
        <v>0</v>
      </c>
      <c r="I19">
        <v>45.6</v>
      </c>
      <c r="J19">
        <v>0.05</v>
      </c>
      <c r="K19">
        <v>23.1</v>
      </c>
      <c r="R19">
        <v>0.29799999999999999</v>
      </c>
      <c r="S19">
        <v>10498242</v>
      </c>
      <c r="U19">
        <f t="shared" si="0"/>
        <v>47.035040338333332</v>
      </c>
      <c r="V19">
        <f t="shared" si="1"/>
        <v>1.8074011432927997</v>
      </c>
      <c r="W19">
        <f t="shared" si="2"/>
        <v>1.8886063289576114</v>
      </c>
      <c r="X19">
        <f t="shared" si="3"/>
        <v>0.29799999999999999</v>
      </c>
    </row>
    <row r="20" spans="1:31" x14ac:dyDescent="0.3">
      <c r="A20">
        <v>2042025</v>
      </c>
      <c r="B20" t="s">
        <v>86</v>
      </c>
      <c r="C20">
        <v>9</v>
      </c>
      <c r="D20">
        <v>5</v>
      </c>
      <c r="E20">
        <v>2</v>
      </c>
      <c r="F20" s="5">
        <v>0.6118055555555556</v>
      </c>
      <c r="G20" s="5">
        <v>0.61944444444444446</v>
      </c>
      <c r="H20">
        <v>0</v>
      </c>
      <c r="I20">
        <v>35.799999999999997</v>
      </c>
      <c r="J20">
        <v>4.7E-2</v>
      </c>
      <c r="K20">
        <v>23.2</v>
      </c>
      <c r="R20">
        <v>0.41199999999999998</v>
      </c>
      <c r="S20">
        <v>11979870</v>
      </c>
      <c r="U20">
        <f t="shared" si="0"/>
        <v>53.673145341666668</v>
      </c>
      <c r="V20">
        <f t="shared" si="1"/>
        <v>0.89940699115358169</v>
      </c>
      <c r="W20">
        <f t="shared" si="2"/>
        <v>0.93762208814541503</v>
      </c>
      <c r="X20">
        <f t="shared" si="3"/>
        <v>0.41199999999999998</v>
      </c>
    </row>
    <row r="21" spans="1:31" x14ac:dyDescent="0.3">
      <c r="A21" s="8">
        <v>10222024</v>
      </c>
      <c r="B21" s="8" t="s">
        <v>26</v>
      </c>
      <c r="C21" s="8">
        <v>1</v>
      </c>
      <c r="D21" s="8">
        <v>1</v>
      </c>
      <c r="E21" s="8">
        <v>2</v>
      </c>
      <c r="F21" s="11">
        <v>0.50208333333333333</v>
      </c>
      <c r="G21" s="11">
        <v>0.52152777777777781</v>
      </c>
      <c r="H21" s="8" t="s">
        <v>28</v>
      </c>
      <c r="I21" s="8">
        <v>25.26</v>
      </c>
      <c r="J21" s="8">
        <v>0.01</v>
      </c>
      <c r="K21" s="12">
        <f>AVERAGE(K25,K26)</f>
        <v>24.5</v>
      </c>
      <c r="L21" s="8"/>
      <c r="M21" s="12"/>
      <c r="N21" s="8"/>
      <c r="O21" s="8"/>
      <c r="P21" s="8"/>
      <c r="Q21" s="13"/>
      <c r="R21" s="8">
        <v>0.155</v>
      </c>
      <c r="S21" s="8">
        <f>917270+813318+608426+406146</f>
        <v>2745160</v>
      </c>
      <c r="T21" s="8"/>
      <c r="U21" s="13">
        <f t="shared" si="0"/>
        <v>12.299079344444445</v>
      </c>
      <c r="V21" s="13">
        <f t="shared" si="1"/>
        <v>7.3613342814556653</v>
      </c>
      <c r="W21" s="13">
        <f t="shared" si="2"/>
        <v>7.4465803308096055</v>
      </c>
      <c r="X21" s="13">
        <f t="shared" si="3"/>
        <v>0.155</v>
      </c>
      <c r="Y21" s="8"/>
      <c r="Z21" s="8" t="s">
        <v>35</v>
      </c>
      <c r="AA21" s="8"/>
      <c r="AB21" s="14"/>
      <c r="AC21" s="14"/>
      <c r="AD21" s="13"/>
      <c r="AE21" s="13"/>
    </row>
    <row r="22" spans="1:31" x14ac:dyDescent="0.3">
      <c r="A22">
        <v>1312025</v>
      </c>
      <c r="B22" t="s">
        <v>86</v>
      </c>
      <c r="C22">
        <v>1</v>
      </c>
      <c r="D22">
        <v>1</v>
      </c>
      <c r="E22">
        <v>1</v>
      </c>
      <c r="F22" s="5">
        <v>0.38958333333333334</v>
      </c>
      <c r="G22" s="5">
        <v>0.40416666666666667</v>
      </c>
      <c r="H22" t="s">
        <v>28</v>
      </c>
      <c r="I22">
        <v>118.13</v>
      </c>
      <c r="J22">
        <v>0.04</v>
      </c>
      <c r="K22">
        <f>AVERAGE(K23:K28)</f>
        <v>23.833333333333332</v>
      </c>
      <c r="R22">
        <v>0.28899999999999998</v>
      </c>
      <c r="S22">
        <v>6737964</v>
      </c>
      <c r="U22">
        <f t="shared" si="0"/>
        <v>30.187950376666663</v>
      </c>
      <c r="V22">
        <f t="shared" si="1"/>
        <v>7.5223966324924492</v>
      </c>
      <c r="W22">
        <f t="shared" si="2"/>
        <v>7.7273442828306207</v>
      </c>
      <c r="X22">
        <f t="shared" si="3"/>
        <v>0.28899999999999998</v>
      </c>
      <c r="Z22" t="s">
        <v>92</v>
      </c>
    </row>
    <row r="23" spans="1:31" x14ac:dyDescent="0.3">
      <c r="A23">
        <v>1312025</v>
      </c>
      <c r="B23" t="s">
        <v>86</v>
      </c>
      <c r="C23">
        <v>2</v>
      </c>
      <c r="D23">
        <v>1</v>
      </c>
      <c r="E23">
        <v>2</v>
      </c>
      <c r="F23" s="5">
        <v>0.37361111111111112</v>
      </c>
      <c r="G23" s="5">
        <v>0.38472222222222224</v>
      </c>
      <c r="H23" t="s">
        <v>28</v>
      </c>
      <c r="I23">
        <v>31.7</v>
      </c>
      <c r="J23">
        <v>0.05</v>
      </c>
      <c r="K23">
        <v>24</v>
      </c>
      <c r="R23">
        <v>0.22900000000000001</v>
      </c>
      <c r="S23">
        <v>4984186</v>
      </c>
      <c r="U23">
        <f t="shared" si="0"/>
        <v>22.330537776111111</v>
      </c>
      <c r="V23">
        <f t="shared" si="1"/>
        <v>3.4439123725284468</v>
      </c>
      <c r="W23">
        <f t="shared" si="2"/>
        <v>3.5241299636286167</v>
      </c>
      <c r="X23">
        <f t="shared" si="3"/>
        <v>0.22900000000000001</v>
      </c>
    </row>
    <row r="24" spans="1:31" x14ac:dyDescent="0.3">
      <c r="A24">
        <v>1312025</v>
      </c>
      <c r="B24" t="s">
        <v>86</v>
      </c>
      <c r="C24">
        <v>3</v>
      </c>
      <c r="D24">
        <v>1</v>
      </c>
      <c r="E24">
        <v>2</v>
      </c>
      <c r="F24" s="5">
        <v>0.3888888888888889</v>
      </c>
      <c r="G24" s="5">
        <v>0.4</v>
      </c>
      <c r="H24" t="s">
        <v>28</v>
      </c>
      <c r="I24">
        <v>52.1</v>
      </c>
      <c r="J24">
        <v>0.05</v>
      </c>
      <c r="K24">
        <v>23</v>
      </c>
      <c r="R24">
        <v>0.30199999999999999</v>
      </c>
      <c r="S24">
        <v>7318301</v>
      </c>
      <c r="U24">
        <f t="shared" si="0"/>
        <v>32.788021341388891</v>
      </c>
      <c r="V24">
        <f t="shared" si="1"/>
        <v>2.9230959158859386</v>
      </c>
      <c r="W24">
        <f t="shared" si="2"/>
        <v>3.0615876228410923</v>
      </c>
      <c r="X24">
        <f t="shared" si="3"/>
        <v>0.30199999999999999</v>
      </c>
      <c r="Z24" t="s">
        <v>94</v>
      </c>
    </row>
    <row r="25" spans="1:31" x14ac:dyDescent="0.3">
      <c r="A25">
        <v>2032025</v>
      </c>
      <c r="B25" t="s">
        <v>86</v>
      </c>
      <c r="C25">
        <v>6</v>
      </c>
      <c r="D25">
        <v>1</v>
      </c>
      <c r="E25">
        <v>2</v>
      </c>
      <c r="F25" s="5">
        <v>0.46319444444444446</v>
      </c>
      <c r="G25" s="5">
        <v>0.47361111111111109</v>
      </c>
      <c r="H25" t="s">
        <v>28</v>
      </c>
      <c r="I25">
        <v>125.4</v>
      </c>
      <c r="J25">
        <v>0.05</v>
      </c>
      <c r="K25">
        <v>24</v>
      </c>
      <c r="R25">
        <v>0.28599999999999998</v>
      </c>
      <c r="S25">
        <v>8421947</v>
      </c>
      <c r="U25">
        <f t="shared" si="0"/>
        <v>37.732661989722217</v>
      </c>
      <c r="V25">
        <f t="shared" si="1"/>
        <v>6.4556734336976707</v>
      </c>
      <c r="W25">
        <f t="shared" si="2"/>
        <v>6.6060426985812564</v>
      </c>
      <c r="X25">
        <f t="shared" si="3"/>
        <v>0.28599999999999998</v>
      </c>
    </row>
    <row r="26" spans="1:31" x14ac:dyDescent="0.3">
      <c r="A26">
        <v>2032025</v>
      </c>
      <c r="B26" t="s">
        <v>86</v>
      </c>
      <c r="C26">
        <v>7</v>
      </c>
      <c r="D26">
        <v>1</v>
      </c>
      <c r="E26">
        <v>1</v>
      </c>
      <c r="F26" s="5">
        <v>0.47430555555555554</v>
      </c>
      <c r="G26" s="5">
        <v>0.48472222222222222</v>
      </c>
      <c r="H26" t="s">
        <v>28</v>
      </c>
      <c r="I26">
        <v>169.4</v>
      </c>
      <c r="J26">
        <v>0.05</v>
      </c>
      <c r="K26">
        <v>25</v>
      </c>
      <c r="R26">
        <v>0.39300000000000002</v>
      </c>
      <c r="S26">
        <v>12749262</v>
      </c>
      <c r="U26">
        <f t="shared" si="0"/>
        <v>57.120235221666668</v>
      </c>
      <c r="V26">
        <f t="shared" si="1"/>
        <v>4.1923580177916184</v>
      </c>
      <c r="W26">
        <f t="shared" si="2"/>
        <v>4.1926984302739099</v>
      </c>
      <c r="X26">
        <f t="shared" si="3"/>
        <v>0.39300000000000002</v>
      </c>
      <c r="Z26" t="s">
        <v>90</v>
      </c>
    </row>
    <row r="27" spans="1:31" x14ac:dyDescent="0.3">
      <c r="A27">
        <v>2032025</v>
      </c>
      <c r="B27" t="s">
        <v>86</v>
      </c>
      <c r="C27">
        <v>8</v>
      </c>
      <c r="D27">
        <v>4</v>
      </c>
      <c r="F27" s="5">
        <v>0.62013888888888891</v>
      </c>
      <c r="G27" s="5">
        <v>0.63194444444444442</v>
      </c>
      <c r="H27" t="s">
        <v>28</v>
      </c>
      <c r="I27">
        <v>198.8</v>
      </c>
      <c r="J27">
        <v>4.2000000000000003E-2</v>
      </c>
      <c r="K27">
        <v>23</v>
      </c>
      <c r="R27">
        <v>0.442</v>
      </c>
      <c r="S27">
        <v>12830633</v>
      </c>
      <c r="U27">
        <f t="shared" si="0"/>
        <v>57.484799904722223</v>
      </c>
      <c r="V27">
        <f t="shared" si="1"/>
        <v>4.3467892227508926</v>
      </c>
      <c r="W27">
        <f t="shared" si="2"/>
        <v>4.552733289095559</v>
      </c>
      <c r="X27">
        <f t="shared" si="3"/>
        <v>0.442</v>
      </c>
      <c r="Z27" t="s">
        <v>87</v>
      </c>
    </row>
    <row r="28" spans="1:31" x14ac:dyDescent="0.3">
      <c r="A28">
        <v>2032025</v>
      </c>
      <c r="B28" t="s">
        <v>86</v>
      </c>
      <c r="C28">
        <v>7</v>
      </c>
      <c r="D28">
        <v>4</v>
      </c>
      <c r="F28" s="5">
        <v>0.62847222222222221</v>
      </c>
      <c r="G28" s="5">
        <v>0.64097222222222228</v>
      </c>
      <c r="H28" t="s">
        <v>28</v>
      </c>
      <c r="I28">
        <v>36</v>
      </c>
      <c r="J28">
        <v>0.05</v>
      </c>
      <c r="K28">
        <v>24</v>
      </c>
      <c r="R28">
        <v>0.33900000000000002</v>
      </c>
      <c r="S28">
        <v>8007543</v>
      </c>
      <c r="U28">
        <f t="shared" si="0"/>
        <v>35.876016957499999</v>
      </c>
      <c r="V28">
        <f t="shared" si="1"/>
        <v>1.6444704610710443</v>
      </c>
      <c r="W28">
        <f t="shared" si="2"/>
        <v>1.6827744144685737</v>
      </c>
      <c r="X28">
        <f t="shared" si="3"/>
        <v>0.33900000000000002</v>
      </c>
      <c r="Z28" t="s">
        <v>89</v>
      </c>
    </row>
    <row r="29" spans="1:31" x14ac:dyDescent="0.3">
      <c r="A29">
        <v>2042025</v>
      </c>
      <c r="B29" t="s">
        <v>86</v>
      </c>
      <c r="C29">
        <v>10</v>
      </c>
      <c r="D29">
        <v>1</v>
      </c>
      <c r="E29">
        <v>2</v>
      </c>
      <c r="F29" s="5">
        <v>0.38333333333333336</v>
      </c>
      <c r="G29" s="5">
        <v>0.39652777777777776</v>
      </c>
      <c r="H29" t="s">
        <v>28</v>
      </c>
      <c r="I29">
        <v>58.27</v>
      </c>
      <c r="J29">
        <v>0.04</v>
      </c>
      <c r="K29">
        <v>27.3</v>
      </c>
      <c r="R29">
        <v>1.111</v>
      </c>
      <c r="S29">
        <v>5963174</v>
      </c>
      <c r="U29">
        <f t="shared" si="0"/>
        <v>26.716675957222222</v>
      </c>
      <c r="V29">
        <f t="shared" si="1"/>
        <v>1.0906264625896469</v>
      </c>
      <c r="W29">
        <f t="shared" si="2"/>
        <v>1.0358671400484663</v>
      </c>
      <c r="X29">
        <f t="shared" si="3"/>
        <v>1.111</v>
      </c>
    </row>
    <row r="30" spans="1:31" x14ac:dyDescent="0.3">
      <c r="A30">
        <v>2042025</v>
      </c>
      <c r="B30" t="s">
        <v>86</v>
      </c>
      <c r="C30">
        <v>11</v>
      </c>
      <c r="D30">
        <v>1</v>
      </c>
      <c r="E30">
        <v>1</v>
      </c>
      <c r="F30" s="5">
        <v>0.39166666666666666</v>
      </c>
      <c r="G30" s="5">
        <v>0.40138888888888891</v>
      </c>
      <c r="H30" t="s">
        <v>28</v>
      </c>
      <c r="I30">
        <v>41.63</v>
      </c>
      <c r="J30">
        <v>0.05</v>
      </c>
      <c r="K30">
        <v>25.5</v>
      </c>
      <c r="R30">
        <v>1.2949999999999999</v>
      </c>
      <c r="S30">
        <v>8912655</v>
      </c>
      <c r="U30">
        <f t="shared" si="0"/>
        <v>39.931170137499997</v>
      </c>
      <c r="V30">
        <f t="shared" si="1"/>
        <v>0.44725180348561638</v>
      </c>
      <c r="W30">
        <f t="shared" si="2"/>
        <v>0.4422382456166597</v>
      </c>
      <c r="X30">
        <f t="shared" si="3"/>
        <v>1.2949999999999999</v>
      </c>
    </row>
    <row r="31" spans="1:31" x14ac:dyDescent="0.3">
      <c r="A31">
        <v>2042025</v>
      </c>
      <c r="B31" t="s">
        <v>86</v>
      </c>
      <c r="C31">
        <v>9</v>
      </c>
      <c r="D31">
        <v>1</v>
      </c>
      <c r="E31">
        <v>1</v>
      </c>
      <c r="F31" s="5">
        <v>0.41458333333333336</v>
      </c>
      <c r="G31" s="5">
        <v>0.42569444444444443</v>
      </c>
      <c r="H31" t="s">
        <v>28</v>
      </c>
      <c r="I31">
        <v>52.1</v>
      </c>
      <c r="J31">
        <v>0.05</v>
      </c>
      <c r="K31">
        <v>24.5</v>
      </c>
      <c r="R31">
        <v>1.129</v>
      </c>
      <c r="S31">
        <v>11320617</v>
      </c>
      <c r="U31">
        <f t="shared" si="0"/>
        <v>50.719508775833333</v>
      </c>
      <c r="V31">
        <f t="shared" si="1"/>
        <v>0.50547099228427805</v>
      </c>
      <c r="W31">
        <f t="shared" si="2"/>
        <v>0.51132446986154279</v>
      </c>
      <c r="X31">
        <f t="shared" si="3"/>
        <v>1.129</v>
      </c>
    </row>
    <row r="32" spans="1:31" x14ac:dyDescent="0.3">
      <c r="A32">
        <v>2042025</v>
      </c>
      <c r="B32" t="s">
        <v>86</v>
      </c>
      <c r="C32">
        <v>9</v>
      </c>
      <c r="D32">
        <v>2</v>
      </c>
      <c r="E32">
        <v>1</v>
      </c>
      <c r="F32" s="5">
        <v>0.43263888888888891</v>
      </c>
      <c r="G32" s="5">
        <v>0.44513888888888886</v>
      </c>
      <c r="H32" t="s">
        <v>28</v>
      </c>
      <c r="I32">
        <v>281.2</v>
      </c>
      <c r="J32">
        <v>0.03</v>
      </c>
      <c r="K32">
        <v>24.5</v>
      </c>
      <c r="R32">
        <v>0.76500000000000001</v>
      </c>
      <c r="S32">
        <v>14587277</v>
      </c>
      <c r="U32">
        <f t="shared" si="0"/>
        <v>65.355052981388894</v>
      </c>
      <c r="V32">
        <f t="shared" si="1"/>
        <v>3.1246559504832869</v>
      </c>
      <c r="W32">
        <f t="shared" si="2"/>
        <v>3.1608402297436369</v>
      </c>
      <c r="X32">
        <f t="shared" si="3"/>
        <v>0.76500000000000001</v>
      </c>
      <c r="Z32" t="s">
        <v>97</v>
      </c>
    </row>
    <row r="33" spans="1:26" x14ac:dyDescent="0.3">
      <c r="A33">
        <v>2042025</v>
      </c>
      <c r="B33" t="s">
        <v>86</v>
      </c>
      <c r="C33">
        <v>9</v>
      </c>
      <c r="D33">
        <v>6</v>
      </c>
      <c r="E33">
        <v>2</v>
      </c>
      <c r="F33" s="5">
        <v>0.62986111111111109</v>
      </c>
      <c r="G33" s="5">
        <v>0.63958333333333328</v>
      </c>
      <c r="H33" t="s">
        <v>28</v>
      </c>
      <c r="I33">
        <v>201.56</v>
      </c>
      <c r="J33">
        <v>0.05</v>
      </c>
      <c r="K33">
        <v>25.1</v>
      </c>
      <c r="R33">
        <v>0.52700000000000002</v>
      </c>
      <c r="S33">
        <v>17578350</v>
      </c>
      <c r="U33">
        <f t="shared" si="0"/>
        <v>78.755890875000006</v>
      </c>
      <c r="V33">
        <f t="shared" si="1"/>
        <v>2.6979766135556282</v>
      </c>
      <c r="W33">
        <f t="shared" si="2"/>
        <v>2.6920586793211458</v>
      </c>
      <c r="X33" s="8">
        <f t="shared" si="3"/>
        <v>0.52700000000000002</v>
      </c>
      <c r="Z33" t="s">
        <v>96</v>
      </c>
    </row>
    <row r="34" spans="1:26" x14ac:dyDescent="0.3">
      <c r="A34">
        <v>2042025</v>
      </c>
      <c r="B34" t="s">
        <v>86</v>
      </c>
      <c r="C34">
        <v>10</v>
      </c>
      <c r="D34">
        <v>6</v>
      </c>
      <c r="E34">
        <v>1</v>
      </c>
      <c r="F34" s="5">
        <v>0.63194444444444442</v>
      </c>
      <c r="G34" s="5">
        <v>0.64513888888888893</v>
      </c>
      <c r="H34" t="s">
        <v>28</v>
      </c>
      <c r="I34">
        <v>133.03</v>
      </c>
      <c r="J34">
        <v>6.2E-2</v>
      </c>
      <c r="K34">
        <v>25.2</v>
      </c>
      <c r="R34">
        <v>0.255</v>
      </c>
      <c r="S34">
        <v>8206200</v>
      </c>
      <c r="U34">
        <f t="shared" si="0"/>
        <v>36.7660555</v>
      </c>
      <c r="V34">
        <f t="shared" si="1"/>
        <v>7.8829698785882041</v>
      </c>
      <c r="W34">
        <f t="shared" si="2"/>
        <v>7.8478129697924226</v>
      </c>
      <c r="X34">
        <f t="shared" si="3"/>
        <v>0.255</v>
      </c>
    </row>
    <row r="35" spans="1:26" x14ac:dyDescent="0.3">
      <c r="A35">
        <v>2042025</v>
      </c>
      <c r="B35" t="s">
        <v>86</v>
      </c>
      <c r="C35">
        <v>11</v>
      </c>
      <c r="D35">
        <v>6</v>
      </c>
      <c r="E35">
        <v>2</v>
      </c>
      <c r="F35" s="5">
        <v>0.65069444444444446</v>
      </c>
      <c r="G35" s="5">
        <v>0.65833333333333333</v>
      </c>
      <c r="H35" t="s">
        <v>28</v>
      </c>
      <c r="I35">
        <v>63.6</v>
      </c>
      <c r="J35">
        <v>0.05</v>
      </c>
      <c r="K35">
        <v>23.7</v>
      </c>
      <c r="R35">
        <v>0.79500000000000004</v>
      </c>
      <c r="S35">
        <v>8610567</v>
      </c>
      <c r="U35">
        <f t="shared" si="0"/>
        <v>38.577731984166668</v>
      </c>
      <c r="V35">
        <f t="shared" si="1"/>
        <v>1.1520751002854608</v>
      </c>
      <c r="W35">
        <f t="shared" si="2"/>
        <v>1.1871264643010757</v>
      </c>
      <c r="X35">
        <f t="shared" si="3"/>
        <v>0.79500000000000004</v>
      </c>
    </row>
    <row r="36" spans="1:26" x14ac:dyDescent="0.3">
      <c r="A36">
        <v>2042025</v>
      </c>
      <c r="B36" t="s">
        <v>86</v>
      </c>
      <c r="C36">
        <v>10</v>
      </c>
      <c r="D36">
        <v>7</v>
      </c>
      <c r="E36">
        <v>1</v>
      </c>
      <c r="F36" s="5">
        <v>0.65694444444444444</v>
      </c>
      <c r="G36" s="5">
        <v>0.66874999999999996</v>
      </c>
      <c r="H36" t="s">
        <v>28</v>
      </c>
      <c r="I36">
        <v>76.73</v>
      </c>
      <c r="J36">
        <v>0.05</v>
      </c>
      <c r="K36">
        <v>23.9</v>
      </c>
      <c r="R36">
        <v>0.316</v>
      </c>
      <c r="S36">
        <v>8112457</v>
      </c>
      <c r="U36">
        <f t="shared" si="0"/>
        <v>36.346060820277778</v>
      </c>
      <c r="V36">
        <f t="shared" si="1"/>
        <v>3.7114897157458673</v>
      </c>
      <c r="W36">
        <f t="shared" si="2"/>
        <v>3.8067306237466596</v>
      </c>
      <c r="X36">
        <f t="shared" si="3"/>
        <v>0.316</v>
      </c>
    </row>
    <row r="37" spans="1:26" x14ac:dyDescent="0.3">
      <c r="A37">
        <v>2042025</v>
      </c>
      <c r="B37" t="s">
        <v>86</v>
      </c>
      <c r="C37">
        <v>10</v>
      </c>
      <c r="D37">
        <v>8</v>
      </c>
      <c r="E37">
        <v>2</v>
      </c>
      <c r="F37" s="5">
        <v>0.67708333333333337</v>
      </c>
      <c r="G37" s="5">
        <v>0.69166666666666665</v>
      </c>
      <c r="H37" t="s">
        <v>28</v>
      </c>
      <c r="I37">
        <v>16.760000000000002</v>
      </c>
      <c r="J37">
        <v>0.05</v>
      </c>
      <c r="K37">
        <v>24.21</v>
      </c>
      <c r="R37">
        <v>0.40799999999999997</v>
      </c>
      <c r="S37">
        <v>5878627</v>
      </c>
      <c r="U37">
        <f t="shared" si="0"/>
        <v>26.337881911944443</v>
      </c>
      <c r="V37">
        <f t="shared" si="1"/>
        <v>0.86648390477358672</v>
      </c>
      <c r="W37">
        <f t="shared" si="2"/>
        <v>0.88238135655223593</v>
      </c>
      <c r="X37">
        <f t="shared" si="3"/>
        <v>0.40799999999999997</v>
      </c>
      <c r="Z37" t="s">
        <v>98</v>
      </c>
    </row>
    <row r="38" spans="1:26" x14ac:dyDescent="0.3">
      <c r="A38">
        <v>2042025</v>
      </c>
      <c r="B38" t="s">
        <v>86</v>
      </c>
      <c r="C38">
        <v>9</v>
      </c>
      <c r="D38">
        <v>7</v>
      </c>
      <c r="E38">
        <v>1</v>
      </c>
      <c r="F38" s="5">
        <v>0.67986111111111114</v>
      </c>
      <c r="G38" s="5">
        <v>0.68958333333333333</v>
      </c>
      <c r="H38" t="s">
        <v>28</v>
      </c>
      <c r="I38">
        <v>84.4</v>
      </c>
      <c r="J38">
        <v>0.04</v>
      </c>
      <c r="K38">
        <v>23.7</v>
      </c>
      <c r="R38">
        <v>0.33200000000000002</v>
      </c>
      <c r="S38">
        <v>6854245</v>
      </c>
      <c r="U38">
        <f t="shared" si="0"/>
        <v>30.708921556944446</v>
      </c>
      <c r="V38">
        <f t="shared" si="1"/>
        <v>4.5990411215493872</v>
      </c>
      <c r="W38">
        <f t="shared" si="2"/>
        <v>4.7389648682168284</v>
      </c>
      <c r="X38" s="8">
        <f t="shared" si="3"/>
        <v>0.33200000000000002</v>
      </c>
      <c r="Z38" t="s">
        <v>93</v>
      </c>
    </row>
    <row r="39" spans="1:26" x14ac:dyDescent="0.3">
      <c r="A39">
        <v>2042025</v>
      </c>
      <c r="B39" t="s">
        <v>86</v>
      </c>
      <c r="C39">
        <v>11</v>
      </c>
      <c r="D39">
        <v>7</v>
      </c>
      <c r="E39">
        <v>1</v>
      </c>
      <c r="F39" s="5">
        <v>0.69513888888888886</v>
      </c>
      <c r="G39" s="5">
        <v>0.7055555555555556</v>
      </c>
      <c r="H39" t="s">
        <v>28</v>
      </c>
      <c r="I39">
        <v>62.9</v>
      </c>
      <c r="J39">
        <v>0.05</v>
      </c>
      <c r="K39">
        <v>23.6</v>
      </c>
      <c r="R39">
        <v>0.46</v>
      </c>
      <c r="S39">
        <v>6422463</v>
      </c>
      <c r="U39">
        <f t="shared" si="0"/>
        <v>28.774418257499999</v>
      </c>
      <c r="V39">
        <f t="shared" si="1"/>
        <v>2.6400597536000152</v>
      </c>
      <c r="W39">
        <f t="shared" si="2"/>
        <v>2.7267053510975239</v>
      </c>
      <c r="X39">
        <f t="shared" si="3"/>
        <v>0.46</v>
      </c>
      <c r="Z39" t="s">
        <v>95</v>
      </c>
    </row>
    <row r="40" spans="1:26" x14ac:dyDescent="0.3">
      <c r="F40" s="5"/>
      <c r="G40" s="5"/>
    </row>
    <row r="41" spans="1:26" x14ac:dyDescent="0.3">
      <c r="A41">
        <v>2172025</v>
      </c>
      <c r="B41" t="s">
        <v>86</v>
      </c>
      <c r="C41">
        <v>2</v>
      </c>
      <c r="D41">
        <v>1</v>
      </c>
      <c r="E41">
        <v>2</v>
      </c>
      <c r="F41" s="5">
        <v>0.41249999999999998</v>
      </c>
      <c r="G41" s="5">
        <v>0.42430555555555555</v>
      </c>
      <c r="H41" t="s">
        <v>28</v>
      </c>
      <c r="I41">
        <v>194.9</v>
      </c>
      <c r="J41">
        <v>1.4E-2</v>
      </c>
      <c r="K41">
        <v>25.8</v>
      </c>
      <c r="R41">
        <v>0.47</v>
      </c>
      <c r="S41">
        <v>13381076</v>
      </c>
      <c r="U41">
        <f t="shared" ref="U40:U60" si="4">S41/(1200^2)*2.54^2</f>
        <v>59.95093744555556</v>
      </c>
      <c r="V41">
        <f t="shared" ref="V40:V60" si="5">I41*0.000001/18*1000/R41/(U41/10000)</f>
        <v>3.8427797863917394</v>
      </c>
      <c r="W41">
        <f t="shared" ref="W40:W60" si="6">V41/(0.88862*(1/POWER(10,(1.3272*(20-K41)-0.001053*(K41-20)^2)/(K41+105))))</f>
        <v>3.7740462706152567</v>
      </c>
      <c r="X41">
        <f t="shared" ref="X40:X60" si="7">MAX(Q41:R41)</f>
        <v>0.47</v>
      </c>
    </row>
    <row r="42" spans="1:26" x14ac:dyDescent="0.3">
      <c r="A42">
        <v>2172025</v>
      </c>
      <c r="B42" t="s">
        <v>86</v>
      </c>
      <c r="C42">
        <v>3</v>
      </c>
      <c r="D42">
        <v>1</v>
      </c>
      <c r="E42">
        <v>1</v>
      </c>
      <c r="F42" s="5">
        <v>0.4236111111111111</v>
      </c>
      <c r="G42" s="5">
        <v>0.43541666666666667</v>
      </c>
      <c r="H42" t="s">
        <v>28</v>
      </c>
      <c r="I42">
        <v>141.33000000000001</v>
      </c>
      <c r="J42">
        <v>0.05</v>
      </c>
      <c r="K42">
        <v>26.01</v>
      </c>
      <c r="R42">
        <v>0.49299999999999999</v>
      </c>
      <c r="S42">
        <v>10653757</v>
      </c>
      <c r="U42">
        <f t="shared" si="4"/>
        <v>47.731790736944447</v>
      </c>
      <c r="V42">
        <f t="shared" si="5"/>
        <v>3.3366235184589104</v>
      </c>
      <c r="W42">
        <f t="shared" si="6"/>
        <v>3.2614922748806614</v>
      </c>
      <c r="X42">
        <f t="shared" si="7"/>
        <v>0.49299999999999999</v>
      </c>
      <c r="Z42" t="s">
        <v>100</v>
      </c>
    </row>
    <row r="43" spans="1:26" x14ac:dyDescent="0.3">
      <c r="A43">
        <v>2172025</v>
      </c>
      <c r="B43" t="s">
        <v>86</v>
      </c>
      <c r="C43">
        <v>7</v>
      </c>
      <c r="D43">
        <v>1</v>
      </c>
      <c r="E43">
        <v>2</v>
      </c>
      <c r="F43" s="5">
        <v>0.42499999999999999</v>
      </c>
      <c r="G43" s="5">
        <v>0.4513888888888889</v>
      </c>
      <c r="H43" t="s">
        <v>28</v>
      </c>
      <c r="I43">
        <v>189.3</v>
      </c>
      <c r="J43">
        <v>0.03</v>
      </c>
      <c r="K43">
        <v>25.6</v>
      </c>
      <c r="R43">
        <v>7.6999999999999999E-2</v>
      </c>
      <c r="S43">
        <v>13305595</v>
      </c>
      <c r="U43">
        <f t="shared" si="4"/>
        <v>59.612761598611115</v>
      </c>
      <c r="V43">
        <f t="shared" si="5"/>
        <v>22.911216141892119</v>
      </c>
      <c r="W43">
        <f t="shared" si="6"/>
        <v>22.603212844149358</v>
      </c>
      <c r="X43">
        <f t="shared" si="7"/>
        <v>7.6999999999999999E-2</v>
      </c>
    </row>
    <row r="44" spans="1:26" x14ac:dyDescent="0.3">
      <c r="A44">
        <v>2172025</v>
      </c>
      <c r="B44" t="s">
        <v>86</v>
      </c>
      <c r="C44">
        <v>7</v>
      </c>
      <c r="D44">
        <v>2</v>
      </c>
      <c r="E44">
        <v>1</v>
      </c>
      <c r="F44" s="5">
        <v>0.47013888888888888</v>
      </c>
      <c r="G44" s="5">
        <v>0.48055555555555557</v>
      </c>
      <c r="H44" t="s">
        <v>28</v>
      </c>
      <c r="I44">
        <v>39.299999999999997</v>
      </c>
      <c r="J44">
        <v>0.05</v>
      </c>
      <c r="K44">
        <v>25.2</v>
      </c>
      <c r="R44">
        <v>0.55300000000000005</v>
      </c>
      <c r="S44">
        <v>18996963</v>
      </c>
      <c r="U44">
        <f t="shared" si="4"/>
        <v>85.111671174166673</v>
      </c>
      <c r="V44">
        <f t="shared" si="5"/>
        <v>0.4638801575190557</v>
      </c>
      <c r="W44">
        <f t="shared" si="6"/>
        <v>0.46181131891618754</v>
      </c>
      <c r="X44">
        <f t="shared" si="7"/>
        <v>0.55300000000000005</v>
      </c>
    </row>
    <row r="45" spans="1:26" x14ac:dyDescent="0.3">
      <c r="A45">
        <v>2172025</v>
      </c>
      <c r="B45" t="s">
        <v>86</v>
      </c>
      <c r="C45">
        <v>7</v>
      </c>
      <c r="D45">
        <v>3</v>
      </c>
      <c r="E45">
        <v>2</v>
      </c>
      <c r="F45" s="5">
        <v>0.45624999999999999</v>
      </c>
      <c r="G45" s="5">
        <v>0.46736111111111112</v>
      </c>
      <c r="H45" t="s">
        <v>28</v>
      </c>
      <c r="I45">
        <v>169.1</v>
      </c>
      <c r="J45">
        <v>2.5000000000000001E-2</v>
      </c>
      <c r="K45">
        <v>24.6</v>
      </c>
      <c r="R45">
        <v>0.439</v>
      </c>
      <c r="S45">
        <v>19209450</v>
      </c>
      <c r="U45">
        <f t="shared" si="4"/>
        <v>86.06367195833333</v>
      </c>
      <c r="V45">
        <f t="shared" si="5"/>
        <v>2.4864899640451235</v>
      </c>
      <c r="W45">
        <f t="shared" si="6"/>
        <v>2.509523660392952</v>
      </c>
      <c r="X45">
        <f t="shared" si="7"/>
        <v>0.439</v>
      </c>
    </row>
    <row r="46" spans="1:26" x14ac:dyDescent="0.3">
      <c r="A46">
        <v>2172025</v>
      </c>
      <c r="B46" t="s">
        <v>86</v>
      </c>
      <c r="C46">
        <v>7</v>
      </c>
      <c r="D46">
        <v>4</v>
      </c>
      <c r="E46">
        <v>2</v>
      </c>
      <c r="F46" s="5">
        <v>0.47708333333333336</v>
      </c>
      <c r="G46" s="5">
        <v>0.48819444444444443</v>
      </c>
      <c r="H46" t="s">
        <v>28</v>
      </c>
      <c r="I46">
        <v>174.4</v>
      </c>
      <c r="J46">
        <v>0.05</v>
      </c>
      <c r="K46">
        <v>24.7</v>
      </c>
      <c r="R46">
        <v>0.14799999999999999</v>
      </c>
      <c r="S46">
        <v>12722737</v>
      </c>
      <c r="U46">
        <f t="shared" si="4"/>
        <v>57.001395853611115</v>
      </c>
      <c r="V46">
        <f t="shared" si="5"/>
        <v>11.484888130387452</v>
      </c>
      <c r="W46">
        <f t="shared" si="6"/>
        <v>11.564769233736722</v>
      </c>
      <c r="X46">
        <f t="shared" si="7"/>
        <v>0.14799999999999999</v>
      </c>
    </row>
    <row r="47" spans="1:26" x14ac:dyDescent="0.3">
      <c r="A47">
        <v>2172025</v>
      </c>
      <c r="B47" t="s">
        <v>86</v>
      </c>
      <c r="C47">
        <v>3</v>
      </c>
      <c r="D47">
        <v>2</v>
      </c>
      <c r="E47">
        <v>1</v>
      </c>
      <c r="F47" s="5">
        <v>0.48749999999999999</v>
      </c>
      <c r="G47" s="5">
        <v>0.49791666666666667</v>
      </c>
      <c r="H47" t="s">
        <v>28</v>
      </c>
      <c r="I47" s="8">
        <v>650.4</v>
      </c>
      <c r="J47">
        <v>2.8000000000000001E-2</v>
      </c>
      <c r="K47">
        <v>24.9</v>
      </c>
      <c r="R47">
        <v>0.20899999999999999</v>
      </c>
      <c r="S47">
        <v>16499910</v>
      </c>
      <c r="U47">
        <f t="shared" si="4"/>
        <v>73.924180108333331</v>
      </c>
      <c r="V47">
        <f t="shared" si="5"/>
        <v>23.38703819333363</v>
      </c>
      <c r="W47">
        <f t="shared" si="6"/>
        <v>23.442329675471921</v>
      </c>
      <c r="X47">
        <f t="shared" si="7"/>
        <v>0.20899999999999999</v>
      </c>
    </row>
    <row r="48" spans="1:26" x14ac:dyDescent="0.3">
      <c r="A48">
        <v>2172025</v>
      </c>
      <c r="B48" t="s">
        <v>86</v>
      </c>
      <c r="C48">
        <v>3</v>
      </c>
      <c r="D48">
        <v>3</v>
      </c>
      <c r="E48">
        <v>2</v>
      </c>
      <c r="F48" s="5">
        <v>0.49236111111111114</v>
      </c>
      <c r="G48" s="5">
        <v>0.50486111111111109</v>
      </c>
      <c r="H48" t="s">
        <v>28</v>
      </c>
      <c r="I48">
        <v>175.03</v>
      </c>
      <c r="J48">
        <v>1.9E-2</v>
      </c>
      <c r="K48">
        <v>23.9</v>
      </c>
      <c r="R48">
        <v>9.8000000000000004E-2</v>
      </c>
      <c r="S48">
        <v>12822767</v>
      </c>
      <c r="U48">
        <f t="shared" si="4"/>
        <v>57.44955803972222</v>
      </c>
      <c r="V48">
        <f t="shared" si="5"/>
        <v>17.271387177681071</v>
      </c>
      <c r="W48">
        <f t="shared" si="6"/>
        <v>17.714589967724372</v>
      </c>
      <c r="X48">
        <f t="shared" si="7"/>
        <v>9.8000000000000004E-2</v>
      </c>
    </row>
    <row r="49" spans="1:26" x14ac:dyDescent="0.3">
      <c r="A49">
        <v>2172025</v>
      </c>
      <c r="B49" t="s">
        <v>86</v>
      </c>
      <c r="C49">
        <v>3</v>
      </c>
      <c r="D49">
        <v>4</v>
      </c>
      <c r="E49">
        <v>2</v>
      </c>
      <c r="F49" s="5">
        <v>0.52847222222222223</v>
      </c>
      <c r="G49" s="5">
        <v>0.5444444444444444</v>
      </c>
      <c r="H49">
        <v>0</v>
      </c>
      <c r="I49">
        <v>49.43</v>
      </c>
      <c r="J49">
        <v>0.05</v>
      </c>
      <c r="K49">
        <v>21.8</v>
      </c>
      <c r="R49">
        <v>0.17699999999999999</v>
      </c>
      <c r="S49">
        <v>18326504</v>
      </c>
      <c r="U49">
        <f t="shared" si="4"/>
        <v>82.107828615555562</v>
      </c>
      <c r="V49">
        <f t="shared" si="5"/>
        <v>1.8895581946051434</v>
      </c>
      <c r="W49">
        <f t="shared" si="6"/>
        <v>2.0359959201622835</v>
      </c>
      <c r="X49">
        <f t="shared" si="7"/>
        <v>0.17699999999999999</v>
      </c>
    </row>
    <row r="50" spans="1:26" x14ac:dyDescent="0.3">
      <c r="A50">
        <v>2172025</v>
      </c>
      <c r="B50" t="s">
        <v>86</v>
      </c>
      <c r="C50">
        <v>3</v>
      </c>
      <c r="D50">
        <v>5</v>
      </c>
      <c r="E50">
        <v>1</v>
      </c>
      <c r="F50" s="5">
        <v>0.52152777777777781</v>
      </c>
      <c r="G50" s="5">
        <v>0.53333333333333333</v>
      </c>
      <c r="H50">
        <v>0</v>
      </c>
      <c r="I50">
        <v>86.23</v>
      </c>
      <c r="J50">
        <v>2.4E-2</v>
      </c>
      <c r="K50">
        <v>22.8</v>
      </c>
      <c r="R50">
        <v>0.159</v>
      </c>
      <c r="S50">
        <v>6582522</v>
      </c>
      <c r="U50">
        <f t="shared" si="4"/>
        <v>29.491527038333334</v>
      </c>
      <c r="V50">
        <f t="shared" si="5"/>
        <v>10.216249631447553</v>
      </c>
      <c r="W50">
        <f t="shared" si="6"/>
        <v>10.750604404746277</v>
      </c>
      <c r="X50">
        <f t="shared" si="7"/>
        <v>0.159</v>
      </c>
    </row>
    <row r="51" spans="1:26" x14ac:dyDescent="0.3">
      <c r="A51">
        <v>2172025</v>
      </c>
      <c r="B51" t="s">
        <v>86</v>
      </c>
      <c r="C51">
        <v>3</v>
      </c>
      <c r="D51">
        <v>6</v>
      </c>
      <c r="E51">
        <v>2</v>
      </c>
      <c r="F51" s="5">
        <v>0.55833333333333335</v>
      </c>
      <c r="G51" s="5">
        <v>0.56944444444444442</v>
      </c>
      <c r="H51">
        <v>0</v>
      </c>
      <c r="I51">
        <v>86.26</v>
      </c>
      <c r="J51">
        <v>0.05</v>
      </c>
      <c r="K51">
        <v>22.2</v>
      </c>
      <c r="R51">
        <v>4.7E-2</v>
      </c>
      <c r="S51">
        <v>17983119</v>
      </c>
      <c r="U51">
        <f t="shared" si="4"/>
        <v>80.569368430833336</v>
      </c>
      <c r="V51">
        <f t="shared" si="5"/>
        <v>12.655203450977794</v>
      </c>
      <c r="W51">
        <f t="shared" si="6"/>
        <v>13.506980221263946</v>
      </c>
      <c r="X51">
        <f t="shared" si="7"/>
        <v>4.7E-2</v>
      </c>
    </row>
    <row r="52" spans="1:26" x14ac:dyDescent="0.3">
      <c r="A52">
        <v>2172025</v>
      </c>
      <c r="B52" t="s">
        <v>86</v>
      </c>
      <c r="C52">
        <v>3</v>
      </c>
      <c r="D52">
        <v>7</v>
      </c>
      <c r="E52">
        <v>1</v>
      </c>
      <c r="F52" s="5">
        <v>0.56319444444444444</v>
      </c>
      <c r="G52" s="5">
        <v>0.57499999999999996</v>
      </c>
      <c r="H52">
        <v>0</v>
      </c>
      <c r="I52">
        <v>53.5</v>
      </c>
      <c r="J52">
        <v>8.0000000000000002E-3</v>
      </c>
      <c r="K52">
        <v>22.5</v>
      </c>
      <c r="R52">
        <v>0.1</v>
      </c>
      <c r="S52">
        <v>11335874</v>
      </c>
      <c r="U52">
        <f t="shared" si="4"/>
        <v>50.787864373888887</v>
      </c>
      <c r="V52">
        <f t="shared" si="5"/>
        <v>5.8522291867627807</v>
      </c>
      <c r="W52">
        <f t="shared" si="6"/>
        <v>6.2019761970876059</v>
      </c>
      <c r="X52">
        <f t="shared" si="7"/>
        <v>0.1</v>
      </c>
      <c r="Z52" t="s">
        <v>100</v>
      </c>
    </row>
    <row r="53" spans="1:26" x14ac:dyDescent="0.3">
      <c r="A53">
        <v>2172025</v>
      </c>
      <c r="B53" t="s">
        <v>86</v>
      </c>
      <c r="C53">
        <v>3</v>
      </c>
      <c r="D53">
        <v>8</v>
      </c>
      <c r="E53">
        <v>1</v>
      </c>
      <c r="F53" s="5">
        <v>0.58125000000000004</v>
      </c>
      <c r="G53" s="5">
        <v>0.59375</v>
      </c>
      <c r="H53">
        <v>0</v>
      </c>
      <c r="I53">
        <v>93.3</v>
      </c>
      <c r="J53">
        <v>0.05</v>
      </c>
      <c r="K53">
        <v>23.1</v>
      </c>
      <c r="R53">
        <v>0.13700000000000001</v>
      </c>
      <c r="S53">
        <v>22673476</v>
      </c>
      <c r="U53">
        <f t="shared" si="4"/>
        <v>101.58347066777777</v>
      </c>
      <c r="V53">
        <f t="shared" si="5"/>
        <v>3.7244789560381291</v>
      </c>
      <c r="W53">
        <f t="shared" si="6"/>
        <v>3.8918170183449559</v>
      </c>
      <c r="X53">
        <f t="shared" si="7"/>
        <v>0.13700000000000001</v>
      </c>
    </row>
    <row r="54" spans="1:26" x14ac:dyDescent="0.3">
      <c r="A54">
        <v>2182025</v>
      </c>
      <c r="B54" t="s">
        <v>86</v>
      </c>
      <c r="C54">
        <v>9</v>
      </c>
      <c r="D54">
        <v>1</v>
      </c>
      <c r="E54">
        <v>1</v>
      </c>
      <c r="F54" s="5">
        <v>0.40833333333333333</v>
      </c>
      <c r="G54" s="5">
        <v>0.42291666666666666</v>
      </c>
      <c r="H54">
        <v>0</v>
      </c>
      <c r="I54">
        <v>28.8</v>
      </c>
      <c r="J54">
        <v>0.03</v>
      </c>
      <c r="K54">
        <v>23.9</v>
      </c>
      <c r="R54">
        <v>0.24099999999999999</v>
      </c>
      <c r="U54">
        <f t="shared" si="4"/>
        <v>0</v>
      </c>
      <c r="V54" t="e">
        <f t="shared" si="5"/>
        <v>#DIV/0!</v>
      </c>
      <c r="W54" t="e">
        <f t="shared" si="6"/>
        <v>#DIV/0!</v>
      </c>
      <c r="X54">
        <f t="shared" si="7"/>
        <v>0.24099999999999999</v>
      </c>
      <c r="Z54" t="s">
        <v>100</v>
      </c>
    </row>
    <row r="55" spans="1:26" x14ac:dyDescent="0.3">
      <c r="A55">
        <v>2182025</v>
      </c>
      <c r="B55" t="s">
        <v>86</v>
      </c>
      <c r="C55">
        <v>9</v>
      </c>
      <c r="D55">
        <v>2</v>
      </c>
      <c r="E55">
        <v>2</v>
      </c>
      <c r="F55" s="5">
        <v>0.3923611111111111</v>
      </c>
      <c r="G55" s="5">
        <v>0.41736111111111113</v>
      </c>
      <c r="H55">
        <v>0</v>
      </c>
      <c r="I55">
        <v>60.7</v>
      </c>
      <c r="J55">
        <v>0.02</v>
      </c>
      <c r="K55">
        <v>23.3</v>
      </c>
      <c r="R55">
        <v>0.20899999999999999</v>
      </c>
      <c r="U55">
        <f t="shared" si="4"/>
        <v>0</v>
      </c>
      <c r="V55" t="e">
        <f t="shared" si="5"/>
        <v>#DIV/0!</v>
      </c>
      <c r="W55" t="e">
        <f t="shared" si="6"/>
        <v>#DIV/0!</v>
      </c>
      <c r="X55">
        <f t="shared" si="7"/>
        <v>0.20899999999999999</v>
      </c>
    </row>
    <row r="56" spans="1:26" x14ac:dyDescent="0.3">
      <c r="A56">
        <v>2182025</v>
      </c>
      <c r="B56" t="s">
        <v>86</v>
      </c>
      <c r="C56">
        <v>12</v>
      </c>
      <c r="D56">
        <v>1</v>
      </c>
      <c r="E56">
        <v>2</v>
      </c>
      <c r="F56" s="5">
        <v>0.42291666666666666</v>
      </c>
      <c r="G56" s="5">
        <v>0.4375</v>
      </c>
      <c r="H56">
        <v>0</v>
      </c>
      <c r="I56">
        <v>77.930000000000007</v>
      </c>
      <c r="J56">
        <v>0.03</v>
      </c>
      <c r="K56">
        <v>23.5</v>
      </c>
      <c r="R56">
        <v>0.29499999999999998</v>
      </c>
      <c r="U56">
        <f t="shared" si="4"/>
        <v>0</v>
      </c>
      <c r="V56" t="e">
        <f t="shared" si="5"/>
        <v>#DIV/0!</v>
      </c>
      <c r="W56" t="e">
        <f t="shared" si="6"/>
        <v>#DIV/0!</v>
      </c>
      <c r="X56">
        <f t="shared" si="7"/>
        <v>0.29499999999999998</v>
      </c>
    </row>
    <row r="57" spans="1:26" x14ac:dyDescent="0.3">
      <c r="A57">
        <v>2182025</v>
      </c>
      <c r="B57" t="s">
        <v>86</v>
      </c>
      <c r="C57">
        <v>12</v>
      </c>
      <c r="D57">
        <v>2</v>
      </c>
      <c r="E57">
        <v>1</v>
      </c>
      <c r="F57" s="5">
        <v>0.42916666666666664</v>
      </c>
      <c r="G57" s="5">
        <v>0.44374999999999998</v>
      </c>
      <c r="H57">
        <v>0</v>
      </c>
      <c r="I57">
        <v>55.27</v>
      </c>
      <c r="J57">
        <v>0.06</v>
      </c>
      <c r="K57">
        <v>23.7</v>
      </c>
      <c r="R57">
        <v>0.22800000000000001</v>
      </c>
      <c r="U57">
        <f t="shared" si="4"/>
        <v>0</v>
      </c>
      <c r="V57" t="e">
        <f t="shared" si="5"/>
        <v>#DIV/0!</v>
      </c>
      <c r="W57" t="e">
        <f t="shared" si="6"/>
        <v>#DIV/0!</v>
      </c>
      <c r="X57">
        <f t="shared" si="7"/>
        <v>0.22800000000000001</v>
      </c>
      <c r="Z57" t="s">
        <v>124</v>
      </c>
    </row>
    <row r="58" spans="1:26" x14ac:dyDescent="0.3">
      <c r="A58">
        <v>2182025</v>
      </c>
      <c r="B58" t="s">
        <v>86</v>
      </c>
      <c r="C58">
        <v>6</v>
      </c>
      <c r="D58">
        <v>4</v>
      </c>
      <c r="E58">
        <v>2</v>
      </c>
      <c r="F58" s="5">
        <v>0.44444444444444442</v>
      </c>
      <c r="G58" s="5">
        <v>0.4597222222222222</v>
      </c>
      <c r="H58" t="s">
        <v>28</v>
      </c>
      <c r="I58">
        <v>59.8</v>
      </c>
      <c r="J58">
        <v>3.5999999999999997E-2</v>
      </c>
      <c r="K58">
        <v>25.6</v>
      </c>
      <c r="R58">
        <v>0.76700000000000002</v>
      </c>
      <c r="U58">
        <f t="shared" si="4"/>
        <v>0</v>
      </c>
      <c r="V58" t="e">
        <f t="shared" si="5"/>
        <v>#DIV/0!</v>
      </c>
      <c r="W58" t="e">
        <f t="shared" si="6"/>
        <v>#DIV/0!</v>
      </c>
      <c r="X58">
        <f t="shared" si="7"/>
        <v>0.76700000000000002</v>
      </c>
    </row>
    <row r="59" spans="1:26" x14ac:dyDescent="0.3">
      <c r="A59">
        <v>2182025</v>
      </c>
      <c r="B59" t="s">
        <v>86</v>
      </c>
      <c r="C59">
        <v>12</v>
      </c>
      <c r="D59">
        <v>3</v>
      </c>
      <c r="E59">
        <v>2</v>
      </c>
      <c r="F59" s="5">
        <v>0.47430555555555554</v>
      </c>
      <c r="G59" s="5">
        <v>0.48819444444444443</v>
      </c>
      <c r="H59" t="s">
        <v>28</v>
      </c>
      <c r="I59">
        <v>259.8</v>
      </c>
      <c r="J59">
        <v>1.7000000000000001E-2</v>
      </c>
      <c r="K59">
        <v>23.7</v>
      </c>
      <c r="R59">
        <v>0.159</v>
      </c>
      <c r="U59">
        <f t="shared" si="4"/>
        <v>0</v>
      </c>
      <c r="V59" t="e">
        <f t="shared" si="5"/>
        <v>#DIV/0!</v>
      </c>
      <c r="W59" t="e">
        <f t="shared" si="6"/>
        <v>#DIV/0!</v>
      </c>
      <c r="X59">
        <f t="shared" si="7"/>
        <v>0.159</v>
      </c>
    </row>
    <row r="60" spans="1:26" x14ac:dyDescent="0.3">
      <c r="A60">
        <v>2182025</v>
      </c>
      <c r="B60" t="s">
        <v>86</v>
      </c>
      <c r="C60">
        <v>11</v>
      </c>
      <c r="D60">
        <v>9</v>
      </c>
      <c r="E60">
        <v>1</v>
      </c>
      <c r="F60" s="5">
        <v>0.48333333333333334</v>
      </c>
      <c r="G60" s="5">
        <v>0.49444444444444446</v>
      </c>
      <c r="H60" t="s">
        <v>28</v>
      </c>
      <c r="I60">
        <v>25.46</v>
      </c>
      <c r="J60">
        <v>0.01</v>
      </c>
      <c r="K60">
        <v>24.9</v>
      </c>
      <c r="R60">
        <v>0.71</v>
      </c>
      <c r="U60">
        <f t="shared" si="4"/>
        <v>0</v>
      </c>
      <c r="V60" t="e">
        <f t="shared" si="5"/>
        <v>#DIV/0!</v>
      </c>
      <c r="W60" t="e">
        <f t="shared" si="6"/>
        <v>#DIV/0!</v>
      </c>
      <c r="X60">
        <f t="shared" si="7"/>
        <v>0.71</v>
      </c>
    </row>
  </sheetData>
  <sortState xmlns:xlrd2="http://schemas.microsoft.com/office/spreadsheetml/2017/richdata2" ref="Z67:AA72">
    <sortCondition ref="Z67:Z7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EC71-5E1D-494F-B0B0-C2FD3AC624D1}">
  <dimension ref="A1:AE71"/>
  <sheetViews>
    <sheetView zoomScale="68" zoomScaleNormal="68" workbookViewId="0">
      <selection activeCell="W16" sqref="C16:W16"/>
    </sheetView>
  </sheetViews>
  <sheetFormatPr baseColWidth="10" defaultRowHeight="14.4" x14ac:dyDescent="0.3"/>
  <cols>
    <col min="4" max="4" width="6.77734375" bestFit="1" customWidth="1"/>
    <col min="5" max="5" width="19.33203125" bestFit="1" customWidth="1"/>
    <col min="6" max="6" width="11.5546875" bestFit="1" customWidth="1"/>
    <col min="7" max="7" width="10.6640625" bestFit="1" customWidth="1"/>
    <col min="8" max="9" width="7.33203125" bestFit="1" customWidth="1"/>
    <col min="10" max="10" width="5.21875" bestFit="1" customWidth="1"/>
    <col min="11" max="11" width="11" bestFit="1" customWidth="1"/>
    <col min="12" max="12" width="9.88671875" hidden="1" customWidth="1"/>
    <col min="13" max="13" width="21.88671875" hidden="1" customWidth="1"/>
    <col min="14" max="14" width="8.77734375" hidden="1" customWidth="1"/>
    <col min="15" max="16" width="19.88671875" hidden="1" customWidth="1"/>
    <col min="17" max="17" width="19.6640625" hidden="1" customWidth="1"/>
    <col min="18" max="18" width="17.5546875" customWidth="1"/>
    <col min="19" max="25" width="11.5546875" customWidth="1"/>
  </cols>
  <sheetData>
    <row r="1" spans="1:31" x14ac:dyDescent="0.3">
      <c r="A1" s="6" t="s">
        <v>30</v>
      </c>
      <c r="B1" s="6" t="s">
        <v>0</v>
      </c>
      <c r="C1" s="7" t="s">
        <v>21</v>
      </c>
      <c r="D1" s="6" t="s">
        <v>22</v>
      </c>
      <c r="E1" s="6" t="s">
        <v>29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>
        <v>2062025</v>
      </c>
      <c r="B2" t="s">
        <v>99</v>
      </c>
      <c r="C2">
        <v>1</v>
      </c>
      <c r="D2">
        <v>3</v>
      </c>
      <c r="E2">
        <v>1</v>
      </c>
      <c r="F2" s="5">
        <v>0.44097222222222221</v>
      </c>
      <c r="G2" s="5">
        <v>0.45347222222222222</v>
      </c>
      <c r="H2">
        <v>0</v>
      </c>
      <c r="I2">
        <v>25.43</v>
      </c>
      <c r="J2">
        <v>0.05</v>
      </c>
      <c r="K2">
        <v>22.4</v>
      </c>
      <c r="L2"/>
      <c r="M2"/>
      <c r="N2"/>
      <c r="O2"/>
      <c r="P2"/>
      <c r="Q2"/>
      <c r="R2">
        <v>0.14499999999999999</v>
      </c>
      <c r="S2">
        <v>5553165</v>
      </c>
      <c r="T2"/>
      <c r="U2" s="4">
        <f t="shared" ref="U2:U34" si="0">S2/(1200^2)*2.54^2</f>
        <v>24.879721745833333</v>
      </c>
      <c r="V2" s="4">
        <f t="shared" ref="V2:V34" si="1">I2*0.000001/18*1000/R2/(U2/10000)</f>
        <v>3.9161591591307969</v>
      </c>
      <c r="W2" s="4">
        <f t="shared" ref="W2:W34" si="2">V2/(0.88862*(1/POWER(10,(1.3272*(20-K2)-0.001053*(K2-20)^2)/(K2+105))))</f>
        <v>4.1600106682557723</v>
      </c>
      <c r="X2" s="4">
        <f t="shared" ref="X2:X34" si="3">MAX(Q2:R2)</f>
        <v>0.14499999999999999</v>
      </c>
      <c r="Y2"/>
      <c r="Z2"/>
      <c r="AA2"/>
      <c r="AB2"/>
      <c r="AC2"/>
      <c r="AD2"/>
      <c r="AE2"/>
    </row>
    <row r="3" spans="1:31" x14ac:dyDescent="0.3">
      <c r="A3">
        <v>2062025</v>
      </c>
      <c r="B3" t="s">
        <v>99</v>
      </c>
      <c r="C3">
        <v>1</v>
      </c>
      <c r="D3">
        <v>4</v>
      </c>
      <c r="E3">
        <v>1</v>
      </c>
      <c r="F3" s="5">
        <v>0.47708333333333336</v>
      </c>
      <c r="G3" s="5">
        <v>0.49166666666666664</v>
      </c>
      <c r="H3">
        <v>0</v>
      </c>
      <c r="I3">
        <v>40.270000000000003</v>
      </c>
      <c r="J3">
        <v>0.05</v>
      </c>
      <c r="K3">
        <v>22.5</v>
      </c>
      <c r="R3">
        <v>0.68899999999999995</v>
      </c>
      <c r="S3">
        <v>7421625</v>
      </c>
      <c r="U3" s="4">
        <f t="shared" si="0"/>
        <v>33.250941562500003</v>
      </c>
      <c r="V3" s="4">
        <f t="shared" si="1"/>
        <v>0.97653082099912625</v>
      </c>
      <c r="W3" s="4">
        <f t="shared" si="2"/>
        <v>1.0348912720742518</v>
      </c>
      <c r="X3" s="4">
        <f t="shared" si="3"/>
        <v>0.68899999999999995</v>
      </c>
      <c r="Z3" t="s">
        <v>104</v>
      </c>
    </row>
    <row r="4" spans="1:31" x14ac:dyDescent="0.3">
      <c r="A4">
        <v>2062025</v>
      </c>
      <c r="B4" t="s">
        <v>99</v>
      </c>
      <c r="C4">
        <v>1</v>
      </c>
      <c r="D4">
        <v>5</v>
      </c>
      <c r="E4">
        <v>1</v>
      </c>
      <c r="F4" s="5">
        <v>0.59583333333333333</v>
      </c>
      <c r="G4" s="5">
        <v>0.61041666666666672</v>
      </c>
      <c r="H4">
        <v>0</v>
      </c>
      <c r="I4">
        <v>55.73</v>
      </c>
      <c r="J4">
        <v>0.03</v>
      </c>
      <c r="K4">
        <v>23</v>
      </c>
      <c r="R4">
        <v>0.48499999999999999</v>
      </c>
      <c r="S4">
        <v>10518855</v>
      </c>
      <c r="U4" s="4">
        <f t="shared" si="0"/>
        <v>47.127392304166662</v>
      </c>
      <c r="V4" s="4">
        <f t="shared" si="1"/>
        <v>1.3545698027406508</v>
      </c>
      <c r="W4" s="4">
        <f t="shared" si="2"/>
        <v>1.4187471987514833</v>
      </c>
      <c r="X4" s="4">
        <f t="shared" si="3"/>
        <v>0.48499999999999999</v>
      </c>
    </row>
    <row r="5" spans="1:31" x14ac:dyDescent="0.3">
      <c r="A5">
        <v>2062025</v>
      </c>
      <c r="B5" t="s">
        <v>99</v>
      </c>
      <c r="C5">
        <v>2</v>
      </c>
      <c r="D5">
        <v>3</v>
      </c>
      <c r="E5">
        <v>2</v>
      </c>
      <c r="F5" s="5">
        <v>0.45069444444444445</v>
      </c>
      <c r="G5" s="5">
        <v>0.46388888888888891</v>
      </c>
      <c r="H5">
        <v>0</v>
      </c>
      <c r="I5">
        <v>11.66</v>
      </c>
      <c r="J5">
        <v>0.02</v>
      </c>
      <c r="K5">
        <v>21.9</v>
      </c>
      <c r="R5">
        <v>0.34899999999999998</v>
      </c>
      <c r="S5">
        <v>13389812</v>
      </c>
      <c r="U5" s="4">
        <f t="shared" si="0"/>
        <v>59.99007715222222</v>
      </c>
      <c r="V5" s="4">
        <f t="shared" si="1"/>
        <v>0.30940063300031795</v>
      </c>
      <c r="W5" s="4">
        <f t="shared" si="2"/>
        <v>0.33258584703379224</v>
      </c>
      <c r="X5" s="4">
        <f t="shared" si="3"/>
        <v>0.34899999999999998</v>
      </c>
      <c r="Z5" t="s">
        <v>100</v>
      </c>
    </row>
    <row r="6" spans="1:31" x14ac:dyDescent="0.3">
      <c r="A6">
        <v>2062025</v>
      </c>
      <c r="B6" t="s">
        <v>99</v>
      </c>
      <c r="C6">
        <v>3</v>
      </c>
      <c r="D6">
        <v>2</v>
      </c>
      <c r="E6">
        <v>2</v>
      </c>
      <c r="F6" s="5">
        <v>0.43402777777777779</v>
      </c>
      <c r="G6" s="5">
        <v>0.4465277777777778</v>
      </c>
      <c r="H6">
        <v>0</v>
      </c>
      <c r="I6">
        <v>8.26</v>
      </c>
      <c r="J6">
        <v>0.05</v>
      </c>
      <c r="K6">
        <v>21.9</v>
      </c>
      <c r="R6">
        <v>0.53800000000000003</v>
      </c>
      <c r="S6">
        <v>8825598</v>
      </c>
      <c r="U6" s="4">
        <f t="shared" si="0"/>
        <v>39.541130594999998</v>
      </c>
      <c r="V6" s="4">
        <f t="shared" si="1"/>
        <v>0.21571293289730581</v>
      </c>
      <c r="W6" s="4">
        <f t="shared" si="2"/>
        <v>0.2318775750653371</v>
      </c>
      <c r="X6" s="4">
        <f t="shared" si="3"/>
        <v>0.53800000000000003</v>
      </c>
      <c r="Z6" t="s">
        <v>100</v>
      </c>
    </row>
    <row r="7" spans="1:31" x14ac:dyDescent="0.3">
      <c r="A7">
        <v>2062025</v>
      </c>
      <c r="B7" t="s">
        <v>99</v>
      </c>
      <c r="C7">
        <v>3</v>
      </c>
      <c r="D7">
        <v>3</v>
      </c>
      <c r="E7">
        <v>2</v>
      </c>
      <c r="F7" s="5">
        <v>0.48194444444444445</v>
      </c>
      <c r="G7" s="5">
        <v>0.49375000000000002</v>
      </c>
      <c r="H7">
        <v>0</v>
      </c>
      <c r="I7">
        <v>23</v>
      </c>
      <c r="J7">
        <v>0.06</v>
      </c>
      <c r="K7">
        <v>22</v>
      </c>
      <c r="R7">
        <v>0.29499999999999998</v>
      </c>
      <c r="S7">
        <v>9559034</v>
      </c>
      <c r="U7" s="4">
        <f t="shared" si="0"/>
        <v>42.827127607222224</v>
      </c>
      <c r="V7" s="4">
        <f t="shared" si="1"/>
        <v>1.0113800145288094</v>
      </c>
      <c r="W7" s="4">
        <f t="shared" si="2"/>
        <v>1.0845868413919924</v>
      </c>
      <c r="X7" s="4">
        <f t="shared" si="3"/>
        <v>0.29499999999999998</v>
      </c>
    </row>
    <row r="8" spans="1:31" x14ac:dyDescent="0.3">
      <c r="A8">
        <v>2062025</v>
      </c>
      <c r="B8" t="s">
        <v>99</v>
      </c>
      <c r="C8">
        <v>3</v>
      </c>
      <c r="D8">
        <v>4</v>
      </c>
      <c r="E8">
        <v>2</v>
      </c>
      <c r="F8" s="5">
        <v>0.59027777777777779</v>
      </c>
      <c r="G8" s="5">
        <v>0.60555555555555551</v>
      </c>
      <c r="H8">
        <v>0</v>
      </c>
      <c r="I8">
        <v>30.83</v>
      </c>
      <c r="J8">
        <v>0.05</v>
      </c>
      <c r="K8">
        <v>23</v>
      </c>
      <c r="R8">
        <v>0.318</v>
      </c>
      <c r="S8">
        <v>9943463</v>
      </c>
      <c r="U8" s="4">
        <f t="shared" si="0"/>
        <v>44.549476313055557</v>
      </c>
      <c r="V8" s="4">
        <f t="shared" si="1"/>
        <v>1.2090139069114458</v>
      </c>
      <c r="W8" s="4">
        <f t="shared" si="2"/>
        <v>1.2662950925169951</v>
      </c>
      <c r="X8" s="4">
        <f t="shared" si="3"/>
        <v>0.318</v>
      </c>
    </row>
    <row r="9" spans="1:31" x14ac:dyDescent="0.3">
      <c r="A9">
        <v>2062025</v>
      </c>
      <c r="B9" t="s">
        <v>99</v>
      </c>
      <c r="C9">
        <v>4</v>
      </c>
      <c r="D9">
        <v>3</v>
      </c>
      <c r="E9">
        <v>1</v>
      </c>
      <c r="F9" s="5">
        <v>0.4597222222222222</v>
      </c>
      <c r="G9" s="5">
        <v>0.47083333333333333</v>
      </c>
      <c r="H9">
        <v>0</v>
      </c>
      <c r="I9">
        <v>40.53</v>
      </c>
      <c r="J9">
        <v>0.05</v>
      </c>
      <c r="K9">
        <v>22.7</v>
      </c>
      <c r="R9">
        <v>0.17399999999999999</v>
      </c>
      <c r="S9">
        <v>5734541</v>
      </c>
      <c r="U9" s="4">
        <f t="shared" si="0"/>
        <v>25.692336608055555</v>
      </c>
      <c r="V9" s="4">
        <f t="shared" si="1"/>
        <v>5.0367598806729532</v>
      </c>
      <c r="W9" s="4">
        <f t="shared" si="2"/>
        <v>5.3126799917067427</v>
      </c>
      <c r="X9" s="4">
        <f t="shared" si="3"/>
        <v>0.17399999999999999</v>
      </c>
    </row>
    <row r="10" spans="1:31" x14ac:dyDescent="0.3">
      <c r="A10">
        <v>2072025</v>
      </c>
      <c r="B10" t="s">
        <v>99</v>
      </c>
      <c r="C10">
        <v>5</v>
      </c>
      <c r="D10">
        <v>1</v>
      </c>
      <c r="E10">
        <v>2</v>
      </c>
      <c r="F10" s="5">
        <v>0.39305555555555555</v>
      </c>
      <c r="G10" s="5">
        <v>0.40277777777777779</v>
      </c>
      <c r="H10">
        <v>0</v>
      </c>
      <c r="I10">
        <v>25.13</v>
      </c>
      <c r="J10">
        <v>0.05</v>
      </c>
      <c r="K10">
        <v>22.9</v>
      </c>
      <c r="R10">
        <v>0.33800000000000002</v>
      </c>
      <c r="S10">
        <v>10849433</v>
      </c>
      <c r="U10" s="4">
        <f t="shared" si="0"/>
        <v>48.608473571388892</v>
      </c>
      <c r="V10" s="4">
        <f t="shared" si="1"/>
        <v>0.8497502477267852</v>
      </c>
      <c r="W10" s="4">
        <f t="shared" si="2"/>
        <v>0.8920990804606852</v>
      </c>
      <c r="X10" s="4">
        <f t="shared" si="3"/>
        <v>0.33800000000000002</v>
      </c>
      <c r="Z10" t="s">
        <v>106</v>
      </c>
    </row>
    <row r="11" spans="1:31" x14ac:dyDescent="0.3">
      <c r="A11">
        <v>2072025</v>
      </c>
      <c r="B11" t="s">
        <v>99</v>
      </c>
      <c r="C11">
        <v>6</v>
      </c>
      <c r="D11">
        <v>1</v>
      </c>
      <c r="E11">
        <v>1</v>
      </c>
      <c r="F11" s="5">
        <v>0.4201388888888889</v>
      </c>
      <c r="G11" s="5">
        <v>0.45347222222222222</v>
      </c>
      <c r="H11">
        <v>0</v>
      </c>
      <c r="I11">
        <v>10.53</v>
      </c>
      <c r="J11">
        <v>0.03</v>
      </c>
      <c r="K11">
        <v>23.6</v>
      </c>
      <c r="R11">
        <v>0.22500000000000001</v>
      </c>
      <c r="S11">
        <v>3348680</v>
      </c>
      <c r="U11" s="4">
        <f t="shared" si="0"/>
        <v>15.00301658888889</v>
      </c>
      <c r="V11" s="4">
        <f t="shared" si="1"/>
        <v>1.7329848198165279</v>
      </c>
      <c r="W11" s="4">
        <f t="shared" si="2"/>
        <v>1.7898606177837375</v>
      </c>
      <c r="X11" s="4">
        <f t="shared" si="3"/>
        <v>0.22500000000000001</v>
      </c>
      <c r="Z11" t="s">
        <v>107</v>
      </c>
    </row>
    <row r="12" spans="1:31" x14ac:dyDescent="0.3">
      <c r="A12">
        <v>2072025</v>
      </c>
      <c r="B12" t="s">
        <v>99</v>
      </c>
      <c r="C12">
        <v>7</v>
      </c>
      <c r="D12">
        <v>1</v>
      </c>
      <c r="E12">
        <v>2</v>
      </c>
      <c r="F12" s="5">
        <v>0.4236111111111111</v>
      </c>
      <c r="G12" s="5">
        <v>0.43472222222222223</v>
      </c>
      <c r="H12">
        <v>0</v>
      </c>
      <c r="I12">
        <v>14.76</v>
      </c>
      <c r="J12">
        <v>0.01</v>
      </c>
      <c r="K12">
        <v>22.4</v>
      </c>
      <c r="R12">
        <v>0.22</v>
      </c>
      <c r="S12">
        <v>8286858</v>
      </c>
      <c r="U12" s="4">
        <f t="shared" si="0"/>
        <v>37.127425744999996</v>
      </c>
      <c r="V12" s="4">
        <f t="shared" si="1"/>
        <v>1.0039135901509908</v>
      </c>
      <c r="W12" s="4">
        <f t="shared" si="2"/>
        <v>1.066425309936079</v>
      </c>
      <c r="X12" s="4">
        <f t="shared" si="3"/>
        <v>0.22</v>
      </c>
      <c r="Z12" t="s">
        <v>100</v>
      </c>
    </row>
    <row r="13" spans="1:31" x14ac:dyDescent="0.3">
      <c r="A13" s="8">
        <v>10222024</v>
      </c>
      <c r="B13" s="8" t="s">
        <v>26</v>
      </c>
      <c r="C13" s="8">
        <v>1</v>
      </c>
      <c r="D13" s="8">
        <v>1</v>
      </c>
      <c r="E13" s="8">
        <v>2</v>
      </c>
      <c r="F13" s="11">
        <v>0.50208333333333333</v>
      </c>
      <c r="G13" s="11">
        <v>0.52152777777777781</v>
      </c>
      <c r="H13" s="8" t="s">
        <v>28</v>
      </c>
      <c r="I13" s="8">
        <v>25.26</v>
      </c>
      <c r="J13" s="8">
        <v>0.01</v>
      </c>
      <c r="K13" s="12">
        <f>AVERAGE(K17,K18)</f>
        <v>24.55</v>
      </c>
      <c r="L13" s="8"/>
      <c r="M13" s="12"/>
      <c r="N13" s="8"/>
      <c r="O13" s="8"/>
      <c r="P13" s="8"/>
      <c r="Q13" s="13"/>
      <c r="R13" s="8">
        <v>0.155</v>
      </c>
      <c r="S13" s="8">
        <f>917270+813318+608426+406146</f>
        <v>2745160</v>
      </c>
      <c r="T13" s="8"/>
      <c r="U13" s="13">
        <f t="shared" si="0"/>
        <v>12.299079344444445</v>
      </c>
      <c r="V13" s="13">
        <f t="shared" si="1"/>
        <v>7.3613342814556653</v>
      </c>
      <c r="W13" s="13">
        <f t="shared" si="2"/>
        <v>7.4380454784289238</v>
      </c>
      <c r="X13" s="13">
        <f t="shared" si="3"/>
        <v>0.155</v>
      </c>
      <c r="Y13" s="8"/>
      <c r="Z13" s="8" t="s">
        <v>35</v>
      </c>
      <c r="AA13" s="8"/>
      <c r="AB13" s="14"/>
      <c r="AC13" s="14"/>
      <c r="AD13" s="13"/>
      <c r="AE13" s="13"/>
    </row>
    <row r="14" spans="1:31" x14ac:dyDescent="0.3">
      <c r="A14">
        <v>2062025</v>
      </c>
      <c r="B14" t="s">
        <v>99</v>
      </c>
      <c r="C14">
        <v>1</v>
      </c>
      <c r="D14">
        <v>1</v>
      </c>
      <c r="E14">
        <v>2</v>
      </c>
      <c r="F14" s="5">
        <v>0.3527777777777778</v>
      </c>
      <c r="G14" s="5">
        <v>0.3659722222222222</v>
      </c>
      <c r="H14" t="s">
        <v>28</v>
      </c>
      <c r="I14">
        <v>106.43</v>
      </c>
      <c r="J14">
        <v>0.02</v>
      </c>
      <c r="K14">
        <v>25.6</v>
      </c>
      <c r="R14">
        <v>0.189</v>
      </c>
      <c r="S14">
        <v>8490693</v>
      </c>
      <c r="U14" s="4">
        <f t="shared" si="0"/>
        <v>38.04066316583333</v>
      </c>
      <c r="V14" s="4">
        <f t="shared" si="1"/>
        <v>8.2239729550402014</v>
      </c>
      <c r="W14" s="4">
        <f t="shared" si="2"/>
        <v>8.1134152799254267</v>
      </c>
      <c r="X14" s="4">
        <f t="shared" si="3"/>
        <v>0.189</v>
      </c>
    </row>
    <row r="15" spans="1:31" x14ac:dyDescent="0.3">
      <c r="A15">
        <v>2062025</v>
      </c>
      <c r="B15" t="s">
        <v>99</v>
      </c>
      <c r="C15">
        <v>1</v>
      </c>
      <c r="D15">
        <v>2</v>
      </c>
      <c r="E15">
        <v>2</v>
      </c>
      <c r="F15" s="5">
        <v>0.3888888888888889</v>
      </c>
      <c r="G15" s="5">
        <v>0.40069444444444446</v>
      </c>
      <c r="H15" t="s">
        <v>28</v>
      </c>
      <c r="I15">
        <v>86.56</v>
      </c>
      <c r="J15">
        <v>0.05</v>
      </c>
      <c r="K15">
        <v>24.2</v>
      </c>
      <c r="R15">
        <v>1.115</v>
      </c>
      <c r="S15">
        <v>12378551</v>
      </c>
      <c r="U15" s="4">
        <f t="shared" si="0"/>
        <v>55.459346966388885</v>
      </c>
      <c r="V15" s="4">
        <f t="shared" si="1"/>
        <v>0.77766960287109754</v>
      </c>
      <c r="W15" s="4">
        <f t="shared" si="2"/>
        <v>0.79212003692686017</v>
      </c>
      <c r="X15" s="4">
        <f t="shared" si="3"/>
        <v>1.115</v>
      </c>
      <c r="Z15" t="s">
        <v>101</v>
      </c>
    </row>
    <row r="16" spans="1:31" x14ac:dyDescent="0.3">
      <c r="A16">
        <v>2062025</v>
      </c>
      <c r="B16" t="s">
        <v>99</v>
      </c>
      <c r="C16">
        <v>2</v>
      </c>
      <c r="D16">
        <v>1</v>
      </c>
      <c r="E16">
        <v>2</v>
      </c>
      <c r="F16" s="5">
        <v>0.37013888888888891</v>
      </c>
      <c r="G16" s="5">
        <v>0.38055555555555554</v>
      </c>
      <c r="H16" t="s">
        <v>28</v>
      </c>
      <c r="I16">
        <v>8.56</v>
      </c>
      <c r="J16">
        <v>0.05</v>
      </c>
      <c r="K16">
        <v>24</v>
      </c>
      <c r="R16">
        <v>0.09</v>
      </c>
      <c r="S16">
        <v>5772298</v>
      </c>
      <c r="U16" s="4">
        <f t="shared" si="0"/>
        <v>25.861498456111111</v>
      </c>
      <c r="V16" s="4">
        <f t="shared" si="1"/>
        <v>2.0431726437859776</v>
      </c>
      <c r="W16" s="4">
        <f t="shared" si="2"/>
        <v>2.0907633981250453</v>
      </c>
      <c r="X16" s="4">
        <f t="shared" si="3"/>
        <v>0.09</v>
      </c>
    </row>
    <row r="17" spans="1:26" x14ac:dyDescent="0.3">
      <c r="A17">
        <v>2062025</v>
      </c>
      <c r="B17" t="s">
        <v>99</v>
      </c>
      <c r="C17">
        <v>2</v>
      </c>
      <c r="D17">
        <v>2</v>
      </c>
      <c r="E17">
        <v>1</v>
      </c>
      <c r="F17" s="5">
        <v>0.41458333333333336</v>
      </c>
      <c r="G17" s="5">
        <v>0.42638888888888887</v>
      </c>
      <c r="H17" t="s">
        <v>28</v>
      </c>
      <c r="I17">
        <v>49.8</v>
      </c>
      <c r="J17">
        <v>0.05</v>
      </c>
      <c r="K17">
        <v>24.5</v>
      </c>
      <c r="R17">
        <v>1.06</v>
      </c>
      <c r="S17">
        <v>4899928</v>
      </c>
      <c r="U17" s="4">
        <f t="shared" si="0"/>
        <v>21.953038531111112</v>
      </c>
      <c r="V17" s="4">
        <f t="shared" si="1"/>
        <v>1.1889301289126182</v>
      </c>
      <c r="W17" s="4">
        <f t="shared" si="2"/>
        <v>1.2026982302611728</v>
      </c>
      <c r="X17" s="4">
        <f t="shared" si="3"/>
        <v>1.06</v>
      </c>
    </row>
    <row r="18" spans="1:26" x14ac:dyDescent="0.3">
      <c r="A18">
        <v>2062025</v>
      </c>
      <c r="B18" t="s">
        <v>99</v>
      </c>
      <c r="C18">
        <v>2</v>
      </c>
      <c r="D18">
        <v>4</v>
      </c>
      <c r="E18">
        <v>2</v>
      </c>
      <c r="F18" s="5">
        <v>0.63055555555555554</v>
      </c>
      <c r="G18" s="5">
        <v>0.64583333333333337</v>
      </c>
      <c r="H18" t="s">
        <v>28</v>
      </c>
      <c r="I18">
        <v>8.06</v>
      </c>
      <c r="J18">
        <v>0.04</v>
      </c>
      <c r="K18">
        <v>24.6</v>
      </c>
      <c r="R18">
        <v>0.997</v>
      </c>
      <c r="S18">
        <v>3889777</v>
      </c>
      <c r="U18" s="4">
        <f t="shared" si="0"/>
        <v>17.427281453611112</v>
      </c>
      <c r="V18" s="4">
        <f t="shared" si="1"/>
        <v>0.25771383473262666</v>
      </c>
      <c r="W18" s="4">
        <f t="shared" si="2"/>
        <v>0.26010117684930617</v>
      </c>
      <c r="X18" s="4">
        <f t="shared" si="3"/>
        <v>0.997</v>
      </c>
      <c r="Z18" t="s">
        <v>100</v>
      </c>
    </row>
    <row r="19" spans="1:26" x14ac:dyDescent="0.3">
      <c r="A19">
        <v>2062025</v>
      </c>
      <c r="B19" t="s">
        <v>99</v>
      </c>
      <c r="C19">
        <v>3</v>
      </c>
      <c r="D19">
        <v>1</v>
      </c>
      <c r="E19">
        <v>1</v>
      </c>
      <c r="F19" s="5">
        <v>0.36875000000000002</v>
      </c>
      <c r="G19" s="5">
        <v>0.38472222222222224</v>
      </c>
      <c r="H19" t="s">
        <v>28</v>
      </c>
      <c r="I19">
        <v>61.63</v>
      </c>
      <c r="J19">
        <v>0.02</v>
      </c>
      <c r="K19">
        <v>25.1</v>
      </c>
      <c r="R19">
        <v>1.05</v>
      </c>
      <c r="S19">
        <v>8248826</v>
      </c>
      <c r="U19" s="4">
        <f t="shared" si="0"/>
        <v>36.957031820555557</v>
      </c>
      <c r="V19" s="4">
        <f t="shared" si="1"/>
        <v>0.88233453830371544</v>
      </c>
      <c r="W19" s="4">
        <f t="shared" si="2"/>
        <v>0.88039916282853214</v>
      </c>
      <c r="X19" s="4">
        <f t="shared" si="3"/>
        <v>1.05</v>
      </c>
    </row>
    <row r="20" spans="1:26" x14ac:dyDescent="0.3">
      <c r="A20">
        <v>2062025</v>
      </c>
      <c r="B20" t="s">
        <v>99</v>
      </c>
      <c r="C20">
        <v>3</v>
      </c>
      <c r="D20">
        <v>5</v>
      </c>
      <c r="E20">
        <v>1</v>
      </c>
      <c r="F20" s="5">
        <v>0.65</v>
      </c>
      <c r="G20" s="5">
        <v>0.66874999999999996</v>
      </c>
      <c r="H20" t="s">
        <v>28</v>
      </c>
      <c r="I20">
        <v>45.5</v>
      </c>
      <c r="J20">
        <v>0.05</v>
      </c>
      <c r="K20">
        <v>25.3</v>
      </c>
      <c r="R20">
        <v>1.05</v>
      </c>
      <c r="S20">
        <v>5969353</v>
      </c>
      <c r="U20" s="4">
        <f t="shared" si="0"/>
        <v>26.744359593611108</v>
      </c>
      <c r="V20" s="4">
        <f t="shared" si="1"/>
        <v>0.90015518935159178</v>
      </c>
      <c r="W20" s="4">
        <f t="shared" si="2"/>
        <v>0.89410795104707963</v>
      </c>
      <c r="X20" s="4">
        <f t="shared" si="3"/>
        <v>1.05</v>
      </c>
    </row>
    <row r="21" spans="1:26" x14ac:dyDescent="0.3">
      <c r="A21">
        <v>2062025</v>
      </c>
      <c r="B21" t="s">
        <v>99</v>
      </c>
      <c r="C21">
        <v>3</v>
      </c>
      <c r="D21">
        <v>6</v>
      </c>
      <c r="E21">
        <v>2</v>
      </c>
      <c r="F21" s="5">
        <v>0.65347222222222223</v>
      </c>
      <c r="G21" s="5">
        <v>0.66527777777777775</v>
      </c>
      <c r="H21" t="s">
        <v>28</v>
      </c>
      <c r="I21">
        <v>49.4</v>
      </c>
      <c r="J21">
        <v>0.05</v>
      </c>
      <c r="K21">
        <v>25.4</v>
      </c>
      <c r="R21">
        <v>0.23300000000000001</v>
      </c>
      <c r="S21">
        <v>6259542</v>
      </c>
      <c r="U21" s="4">
        <f t="shared" si="0"/>
        <v>28.044486921666667</v>
      </c>
      <c r="V21" s="4">
        <f t="shared" si="1"/>
        <v>4.2000167641222754</v>
      </c>
      <c r="W21" s="4">
        <f t="shared" si="2"/>
        <v>4.1623513093455982</v>
      </c>
      <c r="X21" s="4">
        <f t="shared" si="3"/>
        <v>0.23300000000000001</v>
      </c>
      <c r="Z21" t="s">
        <v>105</v>
      </c>
    </row>
    <row r="22" spans="1:26" x14ac:dyDescent="0.3">
      <c r="A22">
        <v>2062025</v>
      </c>
      <c r="B22" t="s">
        <v>99</v>
      </c>
      <c r="C22">
        <v>4</v>
      </c>
      <c r="D22">
        <v>1</v>
      </c>
      <c r="E22">
        <v>1</v>
      </c>
      <c r="F22" s="5">
        <v>0.38958333333333334</v>
      </c>
      <c r="G22" s="5">
        <v>0.40902777777777777</v>
      </c>
      <c r="H22" t="s">
        <v>28</v>
      </c>
      <c r="I22">
        <v>87.8</v>
      </c>
      <c r="J22">
        <v>0.05</v>
      </c>
      <c r="K22">
        <v>25.1</v>
      </c>
      <c r="R22">
        <v>1.54</v>
      </c>
      <c r="S22">
        <v>13028311</v>
      </c>
      <c r="U22" s="4">
        <f t="shared" si="0"/>
        <v>58.370452255277776</v>
      </c>
      <c r="V22" s="4">
        <f t="shared" si="1"/>
        <v>0.54263553647586749</v>
      </c>
      <c r="W22" s="4">
        <f t="shared" si="2"/>
        <v>0.5414452810073721</v>
      </c>
      <c r="X22" s="4">
        <f t="shared" si="3"/>
        <v>1.54</v>
      </c>
      <c r="Z22" t="s">
        <v>102</v>
      </c>
    </row>
    <row r="23" spans="1:26" x14ac:dyDescent="0.3">
      <c r="A23">
        <v>2062025</v>
      </c>
      <c r="B23" t="s">
        <v>99</v>
      </c>
      <c r="C23">
        <v>4</v>
      </c>
      <c r="D23">
        <v>2</v>
      </c>
      <c r="E23">
        <v>2</v>
      </c>
      <c r="F23" s="5">
        <v>0.40416666666666667</v>
      </c>
      <c r="G23" s="5">
        <v>0.42152777777777778</v>
      </c>
      <c r="H23" t="s">
        <v>28</v>
      </c>
      <c r="I23">
        <v>46.6</v>
      </c>
      <c r="J23">
        <v>0.05</v>
      </c>
      <c r="K23">
        <v>23.1</v>
      </c>
      <c r="R23">
        <v>1.6</v>
      </c>
      <c r="S23">
        <v>9905073</v>
      </c>
      <c r="U23" s="4">
        <f t="shared" si="0"/>
        <v>44.377478449166667</v>
      </c>
      <c r="V23" s="4">
        <f t="shared" si="1"/>
        <v>0.36461187343237611</v>
      </c>
      <c r="W23" s="4">
        <f t="shared" si="2"/>
        <v>0.38099361302988971</v>
      </c>
      <c r="X23" s="4">
        <f t="shared" si="3"/>
        <v>1.6</v>
      </c>
      <c r="Z23" t="s">
        <v>103</v>
      </c>
    </row>
    <row r="24" spans="1:26" x14ac:dyDescent="0.3">
      <c r="A24">
        <v>2062025</v>
      </c>
      <c r="B24" t="s">
        <v>99</v>
      </c>
      <c r="C24">
        <v>4</v>
      </c>
      <c r="D24">
        <v>4</v>
      </c>
      <c r="E24">
        <v>2</v>
      </c>
      <c r="F24" s="5">
        <v>0.61388888888888893</v>
      </c>
      <c r="G24" s="5">
        <v>0.62569444444444444</v>
      </c>
      <c r="H24" t="s">
        <v>28</v>
      </c>
      <c r="I24">
        <v>32.130000000000003</v>
      </c>
      <c r="J24">
        <v>0.05</v>
      </c>
      <c r="K24">
        <v>24.9</v>
      </c>
      <c r="R24">
        <v>0.28799999999999998</v>
      </c>
      <c r="S24">
        <v>8043207</v>
      </c>
      <c r="U24" s="4">
        <f t="shared" si="0"/>
        <v>36.035801584166663</v>
      </c>
      <c r="V24" s="4">
        <f t="shared" si="1"/>
        <v>1.7199330649522431</v>
      </c>
      <c r="W24" s="4">
        <f t="shared" si="2"/>
        <v>1.723999319411389</v>
      </c>
      <c r="X24" s="4">
        <f t="shared" si="3"/>
        <v>0.28799999999999998</v>
      </c>
    </row>
    <row r="25" spans="1:26" x14ac:dyDescent="0.3">
      <c r="A25">
        <v>2072025</v>
      </c>
      <c r="B25" t="s">
        <v>99</v>
      </c>
      <c r="C25">
        <v>8</v>
      </c>
      <c r="D25">
        <v>1</v>
      </c>
      <c r="E25">
        <v>1</v>
      </c>
      <c r="F25" s="5">
        <v>0.44861111111111113</v>
      </c>
      <c r="G25" s="5">
        <v>0.46250000000000002</v>
      </c>
      <c r="H25" t="s">
        <v>28</v>
      </c>
      <c r="I25">
        <v>72.5</v>
      </c>
      <c r="J25">
        <v>0.05</v>
      </c>
      <c r="K25">
        <v>24.1</v>
      </c>
      <c r="R25">
        <v>0.30299999999999999</v>
      </c>
      <c r="S25">
        <v>7007182</v>
      </c>
      <c r="U25" s="4">
        <f t="shared" si="0"/>
        <v>31.394121799444445</v>
      </c>
      <c r="V25" s="4">
        <f t="shared" si="1"/>
        <v>4.2342308700919062</v>
      </c>
      <c r="W25" s="4">
        <f t="shared" si="2"/>
        <v>4.3228651573173709</v>
      </c>
      <c r="X25" s="4">
        <f t="shared" si="3"/>
        <v>0.30299999999999999</v>
      </c>
      <c r="Z25" t="s">
        <v>108</v>
      </c>
    </row>
    <row r="26" spans="1:26" x14ac:dyDescent="0.3">
      <c r="A26">
        <v>2072025</v>
      </c>
      <c r="B26" t="s">
        <v>99</v>
      </c>
      <c r="C26">
        <v>7</v>
      </c>
      <c r="D26">
        <v>2</v>
      </c>
      <c r="E26">
        <v>2</v>
      </c>
      <c r="F26" s="5">
        <v>0.44027777777777777</v>
      </c>
      <c r="G26" s="5">
        <v>0.4548611111111111</v>
      </c>
      <c r="H26" t="s">
        <v>28</v>
      </c>
      <c r="I26">
        <v>53.67</v>
      </c>
      <c r="J26">
        <v>0.05</v>
      </c>
      <c r="K26">
        <v>24.9</v>
      </c>
      <c r="R26">
        <v>0.58299999999999996</v>
      </c>
      <c r="S26">
        <v>6568512</v>
      </c>
      <c r="U26" s="4">
        <f t="shared" si="0"/>
        <v>29.428758346666669</v>
      </c>
      <c r="V26" s="4">
        <f t="shared" si="1"/>
        <v>1.7378752434951359</v>
      </c>
      <c r="W26" s="4">
        <f t="shared" si="2"/>
        <v>1.7419839167349853</v>
      </c>
      <c r="X26" s="4">
        <f t="shared" si="3"/>
        <v>0.58299999999999996</v>
      </c>
    </row>
    <row r="27" spans="1:26" x14ac:dyDescent="0.3">
      <c r="A27">
        <v>2072025</v>
      </c>
      <c r="B27" t="s">
        <v>99</v>
      </c>
      <c r="C27">
        <v>6</v>
      </c>
      <c r="D27">
        <v>2</v>
      </c>
      <c r="E27">
        <v>1</v>
      </c>
      <c r="F27" s="5">
        <v>0.46805555555555556</v>
      </c>
      <c r="G27" s="5">
        <v>0.48680555555555555</v>
      </c>
      <c r="H27" t="s">
        <v>28</v>
      </c>
      <c r="I27">
        <v>26.23</v>
      </c>
      <c r="J27">
        <v>0.02</v>
      </c>
      <c r="K27">
        <v>24.7</v>
      </c>
      <c r="R27">
        <v>0.32300000000000001</v>
      </c>
      <c r="S27">
        <v>8020062</v>
      </c>
      <c r="U27" s="4">
        <f t="shared" si="0"/>
        <v>35.932105555</v>
      </c>
      <c r="V27" s="4">
        <f t="shared" si="1"/>
        <v>1.2555690344678263</v>
      </c>
      <c r="W27" s="4">
        <f t="shared" si="2"/>
        <v>1.2643019222997154</v>
      </c>
      <c r="X27" s="4">
        <f t="shared" si="3"/>
        <v>0.32300000000000001</v>
      </c>
      <c r="Z27" t="s">
        <v>100</v>
      </c>
    </row>
    <row r="28" spans="1:26" x14ac:dyDescent="0.3">
      <c r="A28">
        <v>2072025</v>
      </c>
      <c r="B28" t="s">
        <v>99</v>
      </c>
      <c r="C28">
        <v>8</v>
      </c>
      <c r="D28">
        <v>2</v>
      </c>
      <c r="E28">
        <v>2</v>
      </c>
      <c r="F28" s="5">
        <v>11.06</v>
      </c>
      <c r="G28" s="5">
        <v>0.47638888888888886</v>
      </c>
      <c r="H28" t="s">
        <v>28</v>
      </c>
      <c r="I28">
        <v>38.36</v>
      </c>
      <c r="J28">
        <v>0.05</v>
      </c>
      <c r="K28">
        <v>24.2</v>
      </c>
      <c r="R28">
        <v>0.46400000000000002</v>
      </c>
      <c r="S28">
        <v>6844296</v>
      </c>
      <c r="U28" s="4">
        <f t="shared" si="0"/>
        <v>30.66434727333333</v>
      </c>
      <c r="V28" s="4">
        <f t="shared" si="1"/>
        <v>1.4978019380144363</v>
      </c>
      <c r="W28" s="4">
        <f t="shared" si="2"/>
        <v>1.5256336650794564</v>
      </c>
      <c r="X28" s="4">
        <f t="shared" si="3"/>
        <v>0.46400000000000002</v>
      </c>
    </row>
    <row r="29" spans="1:26" x14ac:dyDescent="0.3">
      <c r="A29">
        <v>2072025</v>
      </c>
      <c r="B29" t="s">
        <v>99</v>
      </c>
      <c r="C29">
        <v>5</v>
      </c>
      <c r="D29">
        <v>2</v>
      </c>
      <c r="E29">
        <v>2</v>
      </c>
      <c r="F29" s="5">
        <v>0.48055555555555557</v>
      </c>
      <c r="G29" s="5">
        <v>0.49305555555555558</v>
      </c>
      <c r="H29" t="s">
        <v>28</v>
      </c>
      <c r="I29">
        <v>62</v>
      </c>
      <c r="J29">
        <v>0.05</v>
      </c>
      <c r="K29">
        <v>23.9</v>
      </c>
      <c r="R29">
        <v>0.185</v>
      </c>
      <c r="S29">
        <v>7290099</v>
      </c>
      <c r="U29" s="4">
        <f t="shared" si="0"/>
        <v>32.6616685475</v>
      </c>
      <c r="V29" s="4">
        <f t="shared" si="1"/>
        <v>5.7004493176891691</v>
      </c>
      <c r="W29" s="4">
        <f t="shared" si="2"/>
        <v>5.8467291165327202</v>
      </c>
      <c r="X29" s="4">
        <f t="shared" si="3"/>
        <v>0.185</v>
      </c>
      <c r="Z29" t="s">
        <v>109</v>
      </c>
    </row>
    <row r="30" spans="1:26" x14ac:dyDescent="0.3">
      <c r="A30">
        <v>2072025</v>
      </c>
      <c r="B30" t="s">
        <v>99</v>
      </c>
      <c r="C30">
        <v>8</v>
      </c>
      <c r="D30">
        <v>3</v>
      </c>
      <c r="E30">
        <v>1</v>
      </c>
      <c r="F30" s="5">
        <v>0.4909722222222222</v>
      </c>
      <c r="G30" s="5">
        <v>0.50138888888888888</v>
      </c>
      <c r="H30" t="s">
        <v>28</v>
      </c>
      <c r="I30">
        <v>33.86</v>
      </c>
      <c r="J30">
        <v>0.05</v>
      </c>
      <c r="K30">
        <v>24.2</v>
      </c>
      <c r="R30">
        <v>0.54600000000000004</v>
      </c>
      <c r="S30">
        <v>6577470</v>
      </c>
      <c r="U30" s="4">
        <f t="shared" si="0"/>
        <v>29.468892674999999</v>
      </c>
      <c r="V30" s="4">
        <f t="shared" si="1"/>
        <v>1.1691170358027188</v>
      </c>
      <c r="W30" s="4">
        <f t="shared" si="2"/>
        <v>1.1908412340573034</v>
      </c>
      <c r="X30" s="4">
        <f t="shared" si="3"/>
        <v>0.54600000000000004</v>
      </c>
    </row>
    <row r="31" spans="1:26" x14ac:dyDescent="0.3">
      <c r="A31">
        <v>2072025</v>
      </c>
      <c r="B31" t="s">
        <v>99</v>
      </c>
      <c r="C31">
        <v>5</v>
      </c>
      <c r="D31">
        <v>3</v>
      </c>
      <c r="E31">
        <v>2</v>
      </c>
      <c r="F31" s="5">
        <v>0.55694444444444446</v>
      </c>
      <c r="G31" s="5">
        <v>0.56666666666666665</v>
      </c>
      <c r="H31" t="s">
        <v>28</v>
      </c>
      <c r="I31">
        <v>87.2</v>
      </c>
      <c r="J31">
        <v>0.05</v>
      </c>
      <c r="K31">
        <v>23.2</v>
      </c>
      <c r="R31">
        <v>0.19800000000000001</v>
      </c>
      <c r="S31">
        <v>9851353</v>
      </c>
      <c r="U31" s="4">
        <f t="shared" si="0"/>
        <v>44.136797926944446</v>
      </c>
      <c r="V31" s="4">
        <f t="shared" si="1"/>
        <v>5.5434223330055747</v>
      </c>
      <c r="W31" s="4">
        <f t="shared" si="2"/>
        <v>5.7789579961771418</v>
      </c>
      <c r="X31" s="4">
        <f t="shared" si="3"/>
        <v>0.19800000000000001</v>
      </c>
    </row>
    <row r="32" spans="1:26" x14ac:dyDescent="0.3">
      <c r="A32">
        <v>2072025</v>
      </c>
      <c r="B32" t="s">
        <v>99</v>
      </c>
      <c r="C32">
        <v>8</v>
      </c>
      <c r="D32">
        <v>4</v>
      </c>
      <c r="E32">
        <v>1</v>
      </c>
      <c r="F32" s="5">
        <v>0.56041666666666667</v>
      </c>
      <c r="G32" s="5">
        <v>0.57430555555555551</v>
      </c>
      <c r="H32" t="s">
        <v>28</v>
      </c>
      <c r="I32">
        <v>63.5</v>
      </c>
      <c r="J32">
        <v>0.05</v>
      </c>
      <c r="K32">
        <v>24.2</v>
      </c>
      <c r="R32">
        <v>0.28299999999999997</v>
      </c>
      <c r="S32">
        <v>5133786</v>
      </c>
      <c r="U32" s="4">
        <f t="shared" si="0"/>
        <v>23.000787331666665</v>
      </c>
      <c r="V32" s="4">
        <f t="shared" si="1"/>
        <v>5.4196605003645901</v>
      </c>
      <c r="W32" s="4">
        <f t="shared" si="2"/>
        <v>5.5203670811233101</v>
      </c>
      <c r="X32" s="4">
        <f t="shared" si="3"/>
        <v>0.28299999999999997</v>
      </c>
    </row>
    <row r="33" spans="1:24" x14ac:dyDescent="0.3">
      <c r="A33">
        <v>2072025</v>
      </c>
      <c r="B33" t="s">
        <v>99</v>
      </c>
      <c r="C33">
        <v>6</v>
      </c>
      <c r="D33">
        <v>3</v>
      </c>
      <c r="E33">
        <v>2</v>
      </c>
      <c r="F33" s="5">
        <v>0.5756944444444444</v>
      </c>
      <c r="G33" s="5">
        <v>0.58819444444444446</v>
      </c>
      <c r="H33" t="s">
        <v>28</v>
      </c>
      <c r="I33">
        <v>73.260000000000005</v>
      </c>
      <c r="J33">
        <v>4.4999999999999998E-2</v>
      </c>
      <c r="K33">
        <v>23.9</v>
      </c>
      <c r="R33">
        <v>0.13300000000000001</v>
      </c>
      <c r="S33">
        <v>6115528</v>
      </c>
      <c r="U33" s="4">
        <f t="shared" si="0"/>
        <v>27.399264197777775</v>
      </c>
      <c r="V33" s="4">
        <f t="shared" si="1"/>
        <v>11.168731955174342</v>
      </c>
      <c r="W33" s="4">
        <f t="shared" si="2"/>
        <v>11.455333900510597</v>
      </c>
      <c r="X33" s="4">
        <f t="shared" si="3"/>
        <v>0.13300000000000001</v>
      </c>
    </row>
    <row r="34" spans="1:24" x14ac:dyDescent="0.3">
      <c r="A34">
        <v>2072025</v>
      </c>
      <c r="B34" t="s">
        <v>99</v>
      </c>
      <c r="C34">
        <v>5</v>
      </c>
      <c r="D34">
        <v>4</v>
      </c>
      <c r="E34">
        <v>1</v>
      </c>
      <c r="F34" s="5">
        <v>0.58194444444444449</v>
      </c>
      <c r="G34" s="5">
        <v>0.59166666666666667</v>
      </c>
      <c r="H34" t="s">
        <v>28</v>
      </c>
      <c r="I34">
        <v>26.63</v>
      </c>
      <c r="J34">
        <v>4.9000000000000002E-2</v>
      </c>
      <c r="K34">
        <v>24.4</v>
      </c>
      <c r="R34">
        <v>0.38600000000000001</v>
      </c>
      <c r="S34">
        <v>7309708</v>
      </c>
      <c r="U34" s="4">
        <f t="shared" si="0"/>
        <v>32.749522314444448</v>
      </c>
      <c r="V34" s="4">
        <f t="shared" si="1"/>
        <v>1.1703247428448584</v>
      </c>
      <c r="W34" s="4">
        <f t="shared" si="2"/>
        <v>1.1865986709651002</v>
      </c>
      <c r="X34" s="4">
        <f t="shared" si="3"/>
        <v>0.38600000000000001</v>
      </c>
    </row>
    <row r="39" spans="1:24" x14ac:dyDescent="0.3">
      <c r="E39">
        <v>2.0907633981250453</v>
      </c>
      <c r="F39">
        <v>0.09</v>
      </c>
    </row>
    <row r="40" spans="1:24" x14ac:dyDescent="0.3">
      <c r="E40">
        <v>11.455333900510597</v>
      </c>
      <c r="F40">
        <v>0.13300000000000001</v>
      </c>
    </row>
    <row r="41" spans="1:24" x14ac:dyDescent="0.3">
      <c r="E41">
        <v>5.8467291165327202</v>
      </c>
      <c r="F41">
        <v>0.185</v>
      </c>
    </row>
    <row r="42" spans="1:24" x14ac:dyDescent="0.3">
      <c r="E42">
        <v>8.1134152799254267</v>
      </c>
      <c r="F42">
        <v>0.189</v>
      </c>
    </row>
    <row r="43" spans="1:24" x14ac:dyDescent="0.3">
      <c r="E43">
        <v>5.7789579961771418</v>
      </c>
      <c r="F43">
        <v>0.19800000000000001</v>
      </c>
    </row>
    <row r="44" spans="1:24" x14ac:dyDescent="0.3">
      <c r="E44">
        <v>4.1623513093455982</v>
      </c>
      <c r="F44">
        <v>0.23300000000000001</v>
      </c>
    </row>
    <row r="45" spans="1:24" x14ac:dyDescent="0.3">
      <c r="E45">
        <v>5.5203670811233101</v>
      </c>
      <c r="F45">
        <v>0.28299999999999997</v>
      </c>
    </row>
    <row r="46" spans="1:24" x14ac:dyDescent="0.3">
      <c r="E46">
        <v>1.723999319411389</v>
      </c>
      <c r="F46">
        <v>0.28799999999999998</v>
      </c>
    </row>
    <row r="47" spans="1:24" x14ac:dyDescent="0.3">
      <c r="E47">
        <v>4.3228651573173709</v>
      </c>
      <c r="F47">
        <v>0.30299999999999999</v>
      </c>
    </row>
    <row r="48" spans="1:24" x14ac:dyDescent="0.3">
      <c r="E48">
        <v>1.2643019222997154</v>
      </c>
      <c r="F48">
        <v>0.32300000000000001</v>
      </c>
    </row>
    <row r="49" spans="5:9" x14ac:dyDescent="0.3">
      <c r="E49">
        <v>1.1865986709651002</v>
      </c>
      <c r="F49">
        <v>0.38600000000000001</v>
      </c>
    </row>
    <row r="50" spans="5:9" x14ac:dyDescent="0.3">
      <c r="E50">
        <v>1.5256336650794564</v>
      </c>
      <c r="F50">
        <v>0.46400000000000002</v>
      </c>
    </row>
    <row r="51" spans="5:9" x14ac:dyDescent="0.3">
      <c r="E51">
        <v>1.1908412340573034</v>
      </c>
      <c r="F51">
        <v>0.54600000000000004</v>
      </c>
    </row>
    <row r="52" spans="5:9" x14ac:dyDescent="0.3">
      <c r="E52">
        <v>1.7419839167349853</v>
      </c>
      <c r="F52">
        <v>0.58299999999999996</v>
      </c>
    </row>
    <row r="53" spans="5:9" x14ac:dyDescent="0.3">
      <c r="E53">
        <v>0.26010117684930617</v>
      </c>
      <c r="F53">
        <v>0.997</v>
      </c>
    </row>
    <row r="54" spans="5:9" x14ac:dyDescent="0.3">
      <c r="E54">
        <v>0.88039916282853214</v>
      </c>
      <c r="F54">
        <v>1.05</v>
      </c>
      <c r="H54">
        <v>1.723999319411389</v>
      </c>
      <c r="I54">
        <v>0.28799999999999998</v>
      </c>
    </row>
    <row r="55" spans="5:9" x14ac:dyDescent="0.3">
      <c r="E55">
        <v>0.89410795104707963</v>
      </c>
      <c r="F55">
        <v>1.05</v>
      </c>
    </row>
    <row r="56" spans="5:9" x14ac:dyDescent="0.3">
      <c r="E56">
        <v>1.2026982302611728</v>
      </c>
      <c r="F56">
        <v>1.06</v>
      </c>
    </row>
    <row r="57" spans="5:9" x14ac:dyDescent="0.3">
      <c r="E57">
        <v>0.79212003692686017</v>
      </c>
      <c r="F57">
        <v>1.115</v>
      </c>
    </row>
    <row r="58" spans="5:9" x14ac:dyDescent="0.3">
      <c r="E58">
        <v>0.5414452810073721</v>
      </c>
      <c r="F58">
        <v>1.54</v>
      </c>
    </row>
    <row r="59" spans="5:9" x14ac:dyDescent="0.3">
      <c r="E59">
        <v>0.38099361302988971</v>
      </c>
      <c r="F59">
        <v>1.6</v>
      </c>
    </row>
    <row r="64" spans="5:9" x14ac:dyDescent="0.3">
      <c r="G64">
        <v>2.0907633981250453</v>
      </c>
      <c r="H64">
        <v>0.09</v>
      </c>
    </row>
    <row r="65" spans="7:11" x14ac:dyDescent="0.3">
      <c r="G65">
        <v>11.455333900510597</v>
      </c>
      <c r="H65">
        <v>0.13300000000000001</v>
      </c>
      <c r="K65">
        <f>(G65-G64)/(G70-G64)</f>
        <v>2.7305109767664923</v>
      </c>
    </row>
    <row r="66" spans="7:11" x14ac:dyDescent="0.3">
      <c r="G66">
        <v>5.8467291165327202</v>
      </c>
      <c r="H66">
        <v>0.185</v>
      </c>
    </row>
    <row r="67" spans="7:11" x14ac:dyDescent="0.3">
      <c r="G67">
        <v>8.1134152799254267</v>
      </c>
      <c r="H67">
        <v>0.189</v>
      </c>
    </row>
    <row r="68" spans="7:11" x14ac:dyDescent="0.3">
      <c r="G68">
        <v>5.7789579961771418</v>
      </c>
      <c r="H68">
        <v>0.19800000000000001</v>
      </c>
    </row>
    <row r="69" spans="7:11" x14ac:dyDescent="0.3">
      <c r="G69">
        <v>4.1623513093455982</v>
      </c>
      <c r="H69">
        <v>0.23300000000000001</v>
      </c>
    </row>
    <row r="70" spans="7:11" x14ac:dyDescent="0.3">
      <c r="G70">
        <v>5.5203670811233101</v>
      </c>
      <c r="H70">
        <v>0.28299999999999997</v>
      </c>
    </row>
    <row r="71" spans="7:11" x14ac:dyDescent="0.3">
      <c r="G71">
        <v>1.723999319411389</v>
      </c>
      <c r="H71">
        <v>0.28799999999999998</v>
      </c>
    </row>
  </sheetData>
  <sortState xmlns:xlrd2="http://schemas.microsoft.com/office/spreadsheetml/2017/richdata2" ref="H54:I61">
    <sortCondition ref="H54:H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4BB3-47FF-4DAF-9632-D6C75923AEEE}">
  <dimension ref="A1:AE26"/>
  <sheetViews>
    <sheetView workbookViewId="0">
      <selection activeCell="L7" sqref="L7"/>
    </sheetView>
  </sheetViews>
  <sheetFormatPr baseColWidth="10" defaultRowHeight="14.4" x14ac:dyDescent="0.3"/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>
        <f>AVERAGE(K6,K7)</f>
        <v>26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>
        <f>V2/(0.88862*(1/POWER(10,(1.3272*(20-K2)-0.001053*(K2-20)^2)/(K2+105))))</f>
        <v>7.197195434330494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37</v>
      </c>
      <c r="B3">
        <v>1</v>
      </c>
      <c r="C3">
        <v>1</v>
      </c>
      <c r="D3">
        <v>2</v>
      </c>
      <c r="E3">
        <v>11052024</v>
      </c>
      <c r="F3" s="5">
        <v>0.43402777777777779</v>
      </c>
      <c r="G3" s="5">
        <v>0.45</v>
      </c>
      <c r="H3" t="s">
        <v>28</v>
      </c>
      <c r="I3">
        <v>76.03</v>
      </c>
      <c r="J3">
        <v>0.04</v>
      </c>
      <c r="K3">
        <v>28</v>
      </c>
      <c r="R3">
        <v>0.92400000000000004</v>
      </c>
      <c r="S3">
        <f>3742239+1736196+274185</f>
        <v>5752620</v>
      </c>
      <c r="U3" s="4">
        <f>S3/(1200^2)*2.54^2</f>
        <v>25.773335549999999</v>
      </c>
      <c r="V3" s="4">
        <f>I3*0.000001/18*1000/R3/(U3/10000)</f>
        <v>1.7736580166117932</v>
      </c>
      <c r="W3" s="4">
        <f>V3/(0.88862*(1/POWER(10,(1.3272*(20-K3)-0.001053*(K3-20)^2)/(K3+105))))</f>
        <v>1.6588820843428438</v>
      </c>
      <c r="X3" s="4">
        <f>MAX(Q3:R3)</f>
        <v>0.92400000000000004</v>
      </c>
    </row>
    <row r="4" spans="1:31" x14ac:dyDescent="0.3">
      <c r="A4" t="s">
        <v>37</v>
      </c>
      <c r="B4">
        <v>3</v>
      </c>
      <c r="C4">
        <v>1</v>
      </c>
      <c r="D4">
        <v>1</v>
      </c>
      <c r="E4">
        <v>11052024</v>
      </c>
      <c r="F4" s="5">
        <v>0.44583333333333336</v>
      </c>
      <c r="G4" s="5">
        <v>0.4597222222222222</v>
      </c>
      <c r="H4" t="s">
        <v>28</v>
      </c>
      <c r="I4">
        <v>151.93</v>
      </c>
      <c r="J4">
        <v>0.02</v>
      </c>
      <c r="K4">
        <v>25</v>
      </c>
      <c r="R4">
        <v>6.9000000000000006E-2</v>
      </c>
      <c r="S4">
        <f>2819618+740109+62919</f>
        <v>3622646</v>
      </c>
      <c r="U4" s="4">
        <f t="shared" ref="U4:U17" si="0">S4/(1200^2)*2.54^2</f>
        <v>16.230460370555555</v>
      </c>
      <c r="V4" s="4">
        <f t="shared" ref="V4:V17" si="1">I4*0.000001/18*1000/R4/(U4/10000)</f>
        <v>75.368713712779083</v>
      </c>
      <c r="W4" s="4">
        <f t="shared" ref="W4:W17" si="2">V4/(0.88862*(1/POWER(10,(1.3272*(20-K4)-0.001053*(K4-20)^2)/(K4+105))))</f>
        <v>75.374833526691248</v>
      </c>
      <c r="X4" s="4">
        <f t="shared" ref="X4:X17" si="3">MAX(Q4:R4)</f>
        <v>6.9000000000000006E-2</v>
      </c>
    </row>
    <row r="5" spans="1:31" x14ac:dyDescent="0.3">
      <c r="A5" t="s">
        <v>37</v>
      </c>
      <c r="B5">
        <v>3</v>
      </c>
      <c r="C5">
        <v>2</v>
      </c>
      <c r="D5">
        <v>2</v>
      </c>
      <c r="E5">
        <v>11052024</v>
      </c>
      <c r="F5" s="5">
        <v>0.45833333333333331</v>
      </c>
      <c r="G5" s="5">
        <v>0.47083333333333333</v>
      </c>
      <c r="H5" t="s">
        <v>28</v>
      </c>
      <c r="I5">
        <v>57.03</v>
      </c>
      <c r="J5">
        <v>0.03</v>
      </c>
      <c r="K5">
        <v>29</v>
      </c>
      <c r="R5">
        <v>1.075</v>
      </c>
      <c r="S5">
        <f>4925019+4340568+566136+170205</f>
        <v>10001928</v>
      </c>
      <c r="U5" s="4">
        <f t="shared" si="0"/>
        <v>44.811415753333328</v>
      </c>
      <c r="V5" s="4">
        <f t="shared" si="1"/>
        <v>0.65770892799480229</v>
      </c>
      <c r="W5" s="4">
        <f t="shared" si="2"/>
        <v>0.6019228638124352</v>
      </c>
      <c r="X5" s="4">
        <f t="shared" si="3"/>
        <v>1.075</v>
      </c>
    </row>
    <row r="6" spans="1:31" x14ac:dyDescent="0.3">
      <c r="A6" t="s">
        <v>37</v>
      </c>
      <c r="B6">
        <v>2</v>
      </c>
      <c r="C6">
        <v>1</v>
      </c>
      <c r="D6">
        <v>1</v>
      </c>
      <c r="E6">
        <v>11052024</v>
      </c>
      <c r="F6" s="5">
        <v>0.46875</v>
      </c>
      <c r="G6" s="5">
        <v>0.4826388888888889</v>
      </c>
      <c r="H6" t="s">
        <v>28</v>
      </c>
      <c r="I6">
        <v>123.23</v>
      </c>
      <c r="J6">
        <v>0.04</v>
      </c>
      <c r="K6">
        <v>26</v>
      </c>
      <c r="R6">
        <v>9.8000000000000004E-2</v>
      </c>
      <c r="S6">
        <f>2960525+1858284+185796</f>
        <v>5004605</v>
      </c>
      <c r="U6" s="4">
        <f t="shared" si="0"/>
        <v>22.422020568055558</v>
      </c>
      <c r="V6" s="4">
        <f t="shared" si="1"/>
        <v>31.156102293259579</v>
      </c>
      <c r="W6" s="4">
        <f t="shared" si="2"/>
        <v>30.46140123557058</v>
      </c>
      <c r="X6" s="4">
        <f t="shared" si="3"/>
        <v>9.8000000000000004E-2</v>
      </c>
    </row>
    <row r="7" spans="1:31" x14ac:dyDescent="0.3">
      <c r="A7" t="s">
        <v>37</v>
      </c>
      <c r="B7">
        <v>3</v>
      </c>
      <c r="C7">
        <v>3</v>
      </c>
      <c r="D7">
        <v>1</v>
      </c>
      <c r="E7">
        <v>11052024</v>
      </c>
      <c r="F7" s="5">
        <v>0.50555555555555554</v>
      </c>
      <c r="G7" s="5">
        <v>0.5180555555555556</v>
      </c>
      <c r="H7" t="s">
        <v>28</v>
      </c>
      <c r="I7">
        <v>164.5667</v>
      </c>
      <c r="J7">
        <v>0.05</v>
      </c>
      <c r="K7">
        <v>26</v>
      </c>
      <c r="R7">
        <v>0.95899999999999996</v>
      </c>
      <c r="S7">
        <f>4835739+3175523+449619</f>
        <v>8460881</v>
      </c>
      <c r="U7" s="4">
        <f t="shared" si="0"/>
        <v>37.90709712472222</v>
      </c>
      <c r="V7" s="4">
        <f t="shared" si="1"/>
        <v>2.5149555880289221</v>
      </c>
      <c r="W7" s="4">
        <f t="shared" si="2"/>
        <v>2.458878537998741</v>
      </c>
      <c r="X7" s="4">
        <f t="shared" si="3"/>
        <v>0.95899999999999996</v>
      </c>
    </row>
    <row r="8" spans="1:31" x14ac:dyDescent="0.3">
      <c r="A8" t="s">
        <v>37</v>
      </c>
      <c r="B8">
        <v>2</v>
      </c>
      <c r="C8">
        <v>2</v>
      </c>
      <c r="D8">
        <v>2</v>
      </c>
      <c r="E8">
        <v>11052024</v>
      </c>
      <c r="F8" s="5">
        <v>0.49513888888888891</v>
      </c>
      <c r="G8" s="5">
        <v>0.5131944444444444</v>
      </c>
      <c r="H8" t="s">
        <v>28</v>
      </c>
      <c r="I8">
        <v>53.63</v>
      </c>
      <c r="J8">
        <v>0.06</v>
      </c>
      <c r="K8">
        <v>27</v>
      </c>
      <c r="R8">
        <v>1.0900000000000001</v>
      </c>
      <c r="S8">
        <f>4653196+1606899+337131</f>
        <v>6597226</v>
      </c>
      <c r="U8" s="4">
        <f t="shared" si="0"/>
        <v>29.557405042777781</v>
      </c>
      <c r="V8" s="4">
        <f t="shared" si="1"/>
        <v>0.92478864980754472</v>
      </c>
      <c r="W8" s="4">
        <f t="shared" si="2"/>
        <v>0.88420649912393312</v>
      </c>
      <c r="X8" s="4">
        <f t="shared" si="3"/>
        <v>1.0900000000000001</v>
      </c>
    </row>
    <row r="9" spans="1:31" x14ac:dyDescent="0.3">
      <c r="A9" t="s">
        <v>37</v>
      </c>
      <c r="B9">
        <v>3</v>
      </c>
      <c r="C9">
        <v>4</v>
      </c>
      <c r="D9">
        <v>2</v>
      </c>
      <c r="E9">
        <v>11052024</v>
      </c>
      <c r="F9" s="5">
        <v>0.52430555555555558</v>
      </c>
      <c r="G9" s="5">
        <v>0.53680555555555554</v>
      </c>
      <c r="H9" t="s">
        <v>28</v>
      </c>
      <c r="I9">
        <v>224.1</v>
      </c>
      <c r="J9">
        <v>0.03</v>
      </c>
      <c r="K9">
        <v>27</v>
      </c>
      <c r="R9">
        <v>0.27800000000000002</v>
      </c>
      <c r="S9">
        <f>4626500+3749898+51222+51093+359223+219051</f>
        <v>9056987</v>
      </c>
      <c r="U9" s="4">
        <f t="shared" si="0"/>
        <v>40.577817589722223</v>
      </c>
      <c r="V9" s="4">
        <f t="shared" si="1"/>
        <v>11.036614416940372</v>
      </c>
      <c r="W9" s="4">
        <f t="shared" si="2"/>
        <v>10.552298839107099</v>
      </c>
      <c r="X9" s="4">
        <f t="shared" si="3"/>
        <v>0.27800000000000002</v>
      </c>
    </row>
    <row r="10" spans="1:31" x14ac:dyDescent="0.3">
      <c r="A10" t="s">
        <v>37</v>
      </c>
      <c r="B10">
        <v>1</v>
      </c>
      <c r="C10">
        <v>2</v>
      </c>
      <c r="D10">
        <v>2</v>
      </c>
      <c r="E10">
        <v>11052024</v>
      </c>
      <c r="F10" s="5">
        <v>0.55694444444444446</v>
      </c>
      <c r="G10" s="5">
        <v>0.57222222222222219</v>
      </c>
      <c r="H10" t="s">
        <v>28</v>
      </c>
      <c r="I10">
        <v>164.23</v>
      </c>
      <c r="J10">
        <v>0.03</v>
      </c>
      <c r="K10">
        <v>23</v>
      </c>
      <c r="R10">
        <v>0.76</v>
      </c>
      <c r="S10">
        <f>3827186+2992989+427437+255441+200562</f>
        <v>7703615</v>
      </c>
      <c r="U10" s="4">
        <f t="shared" si="0"/>
        <v>34.514335093055557</v>
      </c>
      <c r="V10" s="4">
        <f t="shared" si="1"/>
        <v>3.4782987783762378</v>
      </c>
      <c r="W10" s="4">
        <f t="shared" si="2"/>
        <v>3.6430951275139472</v>
      </c>
      <c r="X10" s="4">
        <f t="shared" si="3"/>
        <v>0.76</v>
      </c>
    </row>
    <row r="11" spans="1:31" x14ac:dyDescent="0.3">
      <c r="A11" t="s">
        <v>37</v>
      </c>
      <c r="B11">
        <v>2</v>
      </c>
      <c r="C11">
        <v>3</v>
      </c>
      <c r="D11">
        <v>1</v>
      </c>
      <c r="E11">
        <v>11052024</v>
      </c>
      <c r="F11" s="5">
        <v>0.56597222222222221</v>
      </c>
      <c r="G11" s="5">
        <v>0.57986111111111116</v>
      </c>
      <c r="H11" t="s">
        <v>28</v>
      </c>
      <c r="I11">
        <v>50.36</v>
      </c>
      <c r="J11">
        <v>0.02</v>
      </c>
      <c r="K11">
        <v>25</v>
      </c>
      <c r="R11">
        <v>0.92500000000000004</v>
      </c>
      <c r="S11">
        <f>5553959+2731359+102816+113724+387417</f>
        <v>8889275</v>
      </c>
      <c r="U11" s="4">
        <f t="shared" si="0"/>
        <v>39.826421243055556</v>
      </c>
      <c r="V11" s="4">
        <f t="shared" si="1"/>
        <v>0.75945177352635507</v>
      </c>
      <c r="W11" s="4">
        <f t="shared" si="2"/>
        <v>0.75951343974434249</v>
      </c>
      <c r="X11" s="4">
        <f t="shared" si="3"/>
        <v>0.92500000000000004</v>
      </c>
    </row>
    <row r="12" spans="1:31" x14ac:dyDescent="0.3">
      <c r="A12" t="s">
        <v>37</v>
      </c>
      <c r="B12">
        <v>1</v>
      </c>
      <c r="C12">
        <v>3</v>
      </c>
      <c r="D12">
        <v>2</v>
      </c>
      <c r="E12">
        <v>11052024</v>
      </c>
      <c r="F12" s="5">
        <v>0.57638888888888884</v>
      </c>
      <c r="G12" s="5">
        <v>0.59027777777777779</v>
      </c>
      <c r="H12" t="s">
        <v>28</v>
      </c>
      <c r="I12">
        <v>173.56</v>
      </c>
      <c r="J12">
        <v>0.01</v>
      </c>
      <c r="K12">
        <v>26</v>
      </c>
      <c r="R12">
        <v>0.21099999999999999</v>
      </c>
      <c r="S12">
        <f>3911688+2586837+234777</f>
        <v>6733302</v>
      </c>
      <c r="U12" s="4">
        <f t="shared" si="0"/>
        <v>30.167063321666664</v>
      </c>
      <c r="V12" s="4">
        <f t="shared" si="1"/>
        <v>15.148221476871813</v>
      </c>
      <c r="W12" s="4">
        <f t="shared" si="2"/>
        <v>14.810455045659179</v>
      </c>
      <c r="X12" s="4">
        <f t="shared" si="3"/>
        <v>0.21099999999999999</v>
      </c>
    </row>
    <row r="13" spans="1:31" x14ac:dyDescent="0.3">
      <c r="A13" t="s">
        <v>37</v>
      </c>
      <c r="B13">
        <v>1</v>
      </c>
      <c r="C13">
        <v>4</v>
      </c>
      <c r="D13">
        <v>1</v>
      </c>
      <c r="E13">
        <v>11052024</v>
      </c>
      <c r="F13" s="5">
        <v>0.58750000000000002</v>
      </c>
      <c r="G13" s="5">
        <v>0.60416666666666663</v>
      </c>
      <c r="H13" t="s">
        <v>28</v>
      </c>
      <c r="I13">
        <v>156.56</v>
      </c>
      <c r="J13">
        <v>0.04</v>
      </c>
      <c r="K13">
        <v>25</v>
      </c>
      <c r="R13">
        <v>0.88400000000000001</v>
      </c>
      <c r="S13">
        <f>4606628+4315754+488439+348738</f>
        <v>9759559</v>
      </c>
      <c r="U13" s="4">
        <f t="shared" si="0"/>
        <v>43.725535308611114</v>
      </c>
      <c r="V13" s="4">
        <f t="shared" si="1"/>
        <v>2.2501988972322793</v>
      </c>
      <c r="W13" s="4">
        <f t="shared" si="2"/>
        <v>2.2503816096316034</v>
      </c>
      <c r="X13" s="4">
        <f t="shared" si="3"/>
        <v>0.88400000000000001</v>
      </c>
    </row>
    <row r="14" spans="1:31" x14ac:dyDescent="0.3">
      <c r="A14" t="s">
        <v>37</v>
      </c>
      <c r="B14">
        <v>1</v>
      </c>
      <c r="C14">
        <v>5</v>
      </c>
      <c r="D14">
        <v>2</v>
      </c>
      <c r="E14">
        <v>11052024</v>
      </c>
      <c r="F14" s="5">
        <v>0.59513888888888888</v>
      </c>
      <c r="G14" s="5">
        <v>0.60902777777777772</v>
      </c>
      <c r="H14" t="s">
        <v>28</v>
      </c>
      <c r="I14">
        <v>132</v>
      </c>
      <c r="J14">
        <v>0.02</v>
      </c>
      <c r="K14">
        <v>26</v>
      </c>
      <c r="R14">
        <v>0.68799999999999994</v>
      </c>
      <c r="S14">
        <f>5509488+5131139+994746+337377</f>
        <v>11972750</v>
      </c>
      <c r="U14" s="4">
        <f t="shared" si="0"/>
        <v>53.64124576388889</v>
      </c>
      <c r="V14" s="4">
        <f t="shared" si="1"/>
        <v>1.9870744194866772</v>
      </c>
      <c r="W14" s="4">
        <f t="shared" si="2"/>
        <v>1.942767763669117</v>
      </c>
      <c r="X14" s="4">
        <f t="shared" si="3"/>
        <v>0.68799999999999994</v>
      </c>
    </row>
    <row r="15" spans="1:31" x14ac:dyDescent="0.3">
      <c r="A15" t="s">
        <v>37</v>
      </c>
      <c r="B15">
        <v>3</v>
      </c>
      <c r="C15">
        <v>5</v>
      </c>
      <c r="D15">
        <v>1</v>
      </c>
      <c r="E15">
        <v>11052024</v>
      </c>
      <c r="F15" s="5">
        <v>0.61250000000000004</v>
      </c>
      <c r="G15" s="5">
        <v>0.63055555555555554</v>
      </c>
      <c r="H15" t="s">
        <v>28</v>
      </c>
      <c r="I15">
        <v>96.5</v>
      </c>
      <c r="J15">
        <v>0.04</v>
      </c>
      <c r="K15">
        <v>25</v>
      </c>
      <c r="R15">
        <v>6.3E-2</v>
      </c>
      <c r="S15">
        <f>3283770+1405266</f>
        <v>4689036</v>
      </c>
      <c r="U15" s="4">
        <f t="shared" si="0"/>
        <v>21.00818379</v>
      </c>
      <c r="V15" s="4">
        <f t="shared" si="1"/>
        <v>40.506596198084964</v>
      </c>
      <c r="W15" s="4">
        <f t="shared" si="2"/>
        <v>40.509885266170855</v>
      </c>
      <c r="X15" s="4">
        <f t="shared" si="3"/>
        <v>6.3E-2</v>
      </c>
    </row>
    <row r="16" spans="1:31" x14ac:dyDescent="0.3">
      <c r="A16" t="s">
        <v>37</v>
      </c>
      <c r="B16">
        <v>2</v>
      </c>
      <c r="C16">
        <v>4</v>
      </c>
      <c r="D16">
        <v>2</v>
      </c>
      <c r="E16">
        <v>11052024</v>
      </c>
      <c r="F16" s="5">
        <v>0.61527777777777781</v>
      </c>
      <c r="G16" s="5">
        <v>0.63263888888888886</v>
      </c>
      <c r="H16" t="s">
        <v>28</v>
      </c>
      <c r="I16">
        <v>58.93</v>
      </c>
      <c r="J16">
        <v>0.04</v>
      </c>
      <c r="K16">
        <v>25</v>
      </c>
      <c r="R16">
        <v>6.7000000000000004E-2</v>
      </c>
      <c r="S16">
        <f>3146154+556854</f>
        <v>3703008</v>
      </c>
      <c r="U16" s="4">
        <f t="shared" si="0"/>
        <v>16.590504453333335</v>
      </c>
      <c r="V16" s="4">
        <f t="shared" si="1"/>
        <v>29.453000301736257</v>
      </c>
      <c r="W16" s="4">
        <f t="shared" si="2"/>
        <v>29.455391836261956</v>
      </c>
      <c r="X16" s="4">
        <f t="shared" si="3"/>
        <v>6.7000000000000004E-2</v>
      </c>
    </row>
    <row r="17" spans="1:26" x14ac:dyDescent="0.3">
      <c r="A17" t="s">
        <v>37</v>
      </c>
      <c r="B17">
        <v>2</v>
      </c>
      <c r="C17">
        <v>5</v>
      </c>
      <c r="D17">
        <v>1</v>
      </c>
      <c r="E17">
        <v>11052024</v>
      </c>
      <c r="F17" s="5">
        <v>0.63611111111111107</v>
      </c>
      <c r="G17" s="5">
        <v>0.65</v>
      </c>
      <c r="H17" t="s">
        <v>28</v>
      </c>
      <c r="I17">
        <v>79.3</v>
      </c>
      <c r="J17">
        <v>0.01</v>
      </c>
      <c r="K17">
        <v>25</v>
      </c>
      <c r="R17">
        <v>0.11700000000000001</v>
      </c>
      <c r="S17">
        <f>4107921+4268460+352713+688113</f>
        <v>9417207</v>
      </c>
      <c r="U17" s="4">
        <f t="shared" si="0"/>
        <v>42.191703250833335</v>
      </c>
      <c r="V17" s="4">
        <f t="shared" si="1"/>
        <v>8.9245794993854837</v>
      </c>
      <c r="W17" s="4">
        <f t="shared" si="2"/>
        <v>8.9253041603633623</v>
      </c>
      <c r="X17" s="4">
        <f t="shared" si="3"/>
        <v>0.11700000000000001</v>
      </c>
    </row>
    <row r="18" spans="1:26" x14ac:dyDescent="0.3">
      <c r="A18" s="9" t="s">
        <v>37</v>
      </c>
      <c r="B18" s="9">
        <v>3</v>
      </c>
      <c r="C18" s="9">
        <v>7</v>
      </c>
      <c r="D18" s="9">
        <v>1</v>
      </c>
      <c r="E18">
        <v>11062024</v>
      </c>
      <c r="F18" s="5">
        <v>0.45277777777777778</v>
      </c>
      <c r="G18" s="5">
        <v>0.46944444444444444</v>
      </c>
      <c r="H18" t="s">
        <v>28</v>
      </c>
      <c r="I18">
        <v>81.93</v>
      </c>
      <c r="J18">
        <v>0.03</v>
      </c>
      <c r="K18">
        <v>26</v>
      </c>
      <c r="U18" s="4">
        <f t="shared" ref="U18:U26" si="4">S18/(1200^2)*2.54^2</f>
        <v>0</v>
      </c>
      <c r="V18" s="4" t="e">
        <f t="shared" ref="V18:V26" si="5">I18*0.000001/18*1000/R18/(U18/10000)</f>
        <v>#DIV/0!</v>
      </c>
      <c r="W18" s="4" t="e">
        <f t="shared" ref="W18:W26" si="6">V18/(0.88862*(1/POWER(10,(1.3272*(20-K18)-0.001053*(K18-20)^2)/(K18+105))))</f>
        <v>#DIV/0!</v>
      </c>
      <c r="X18" s="4">
        <f t="shared" ref="X18:X26" si="7">MAX(Q18:R18)</f>
        <v>0</v>
      </c>
      <c r="Z18" t="s">
        <v>38</v>
      </c>
    </row>
    <row r="19" spans="1:26" x14ac:dyDescent="0.3">
      <c r="A19" t="s">
        <v>37</v>
      </c>
      <c r="B19">
        <v>3</v>
      </c>
      <c r="C19">
        <v>6</v>
      </c>
      <c r="D19">
        <v>2</v>
      </c>
      <c r="E19">
        <v>11062024</v>
      </c>
      <c r="F19" s="5">
        <v>0.44583333333333336</v>
      </c>
      <c r="G19" s="5">
        <v>0.46041666666666664</v>
      </c>
      <c r="H19" t="s">
        <v>28</v>
      </c>
      <c r="I19">
        <v>93.93</v>
      </c>
      <c r="J19">
        <v>0.05</v>
      </c>
      <c r="K19">
        <v>27</v>
      </c>
      <c r="R19">
        <v>1.0640000000000001</v>
      </c>
      <c r="S19">
        <f>4488064+3975008+820142+388906+446306</f>
        <v>10118426</v>
      </c>
      <c r="U19" s="4">
        <f t="shared" si="4"/>
        <v>45.333359153888885</v>
      </c>
      <c r="V19" s="4">
        <f t="shared" si="5"/>
        <v>1.0818630503213351</v>
      </c>
      <c r="W19" s="4">
        <f t="shared" si="6"/>
        <v>1.0343880631052735</v>
      </c>
      <c r="X19" s="4">
        <f t="shared" si="7"/>
        <v>1.0640000000000001</v>
      </c>
    </row>
    <row r="20" spans="1:26" x14ac:dyDescent="0.3">
      <c r="A20" t="s">
        <v>37</v>
      </c>
      <c r="B20">
        <v>1</v>
      </c>
      <c r="C20">
        <v>7</v>
      </c>
      <c r="D20">
        <v>1</v>
      </c>
      <c r="E20">
        <v>11062024</v>
      </c>
      <c r="F20" s="5">
        <v>0.47291666666666665</v>
      </c>
      <c r="G20" s="5">
        <v>0.4861111111111111</v>
      </c>
      <c r="H20" t="s">
        <v>28</v>
      </c>
      <c r="I20">
        <v>56</v>
      </c>
      <c r="J20">
        <v>0.04</v>
      </c>
      <c r="K20">
        <v>26</v>
      </c>
      <c r="R20">
        <v>0.58299999999999996</v>
      </c>
      <c r="S20">
        <f>3148502+973545+623022</f>
        <v>4745069</v>
      </c>
      <c r="U20" s="4">
        <f t="shared" si="4"/>
        <v>21.259227194722225</v>
      </c>
      <c r="V20" s="4">
        <f t="shared" si="5"/>
        <v>2.5101489560251102</v>
      </c>
      <c r="W20" s="4">
        <f t="shared" si="6"/>
        <v>2.4541790815429341</v>
      </c>
      <c r="X20" s="4">
        <f t="shared" si="7"/>
        <v>0.58299999999999996</v>
      </c>
    </row>
    <row r="21" spans="1:26" x14ac:dyDescent="0.3">
      <c r="A21" t="s">
        <v>37</v>
      </c>
      <c r="B21">
        <v>1</v>
      </c>
      <c r="C21">
        <v>6</v>
      </c>
      <c r="D21">
        <v>2</v>
      </c>
      <c r="E21">
        <v>11062024</v>
      </c>
      <c r="F21" s="5">
        <v>0.4826388888888889</v>
      </c>
      <c r="G21" s="5">
        <v>0.49652777777777779</v>
      </c>
      <c r="H21" t="s">
        <v>28</v>
      </c>
      <c r="I21">
        <v>50.66</v>
      </c>
      <c r="J21">
        <v>0.04</v>
      </c>
      <c r="K21">
        <v>27</v>
      </c>
      <c r="R21">
        <v>1.012</v>
      </c>
      <c r="S21">
        <f>4433450+4827611+725994+513558</f>
        <v>10500613</v>
      </c>
      <c r="U21" s="4">
        <f t="shared" si="4"/>
        <v>47.045663076944443</v>
      </c>
      <c r="V21" s="4">
        <f t="shared" si="5"/>
        <v>0.5911430307339689</v>
      </c>
      <c r="W21" s="4">
        <f t="shared" si="6"/>
        <v>0.56520212461038577</v>
      </c>
      <c r="X21" s="4">
        <f t="shared" si="7"/>
        <v>1.012</v>
      </c>
    </row>
    <row r="22" spans="1:26" x14ac:dyDescent="0.3">
      <c r="A22" t="s">
        <v>37</v>
      </c>
      <c r="B22">
        <v>3</v>
      </c>
      <c r="C22">
        <v>8</v>
      </c>
      <c r="D22">
        <v>1</v>
      </c>
      <c r="E22">
        <v>11062024</v>
      </c>
      <c r="F22" s="5">
        <v>0.49652777777777779</v>
      </c>
      <c r="G22" s="5">
        <v>0.51111111111111107</v>
      </c>
      <c r="H22" t="s">
        <v>28</v>
      </c>
      <c r="I22">
        <v>44.1</v>
      </c>
      <c r="J22">
        <v>0.04</v>
      </c>
      <c r="K22">
        <v>27</v>
      </c>
      <c r="R22">
        <v>1.129</v>
      </c>
      <c r="S22">
        <f>4187364+1348485+875083</f>
        <v>6410932</v>
      </c>
      <c r="U22" s="4">
        <f t="shared" si="4"/>
        <v>28.722756174444445</v>
      </c>
      <c r="V22" s="4">
        <f t="shared" si="5"/>
        <v>0.75552011394444563</v>
      </c>
      <c r="W22" s="4">
        <f t="shared" si="6"/>
        <v>0.72236591042456721</v>
      </c>
      <c r="X22" s="4">
        <f t="shared" si="7"/>
        <v>1.129</v>
      </c>
    </row>
    <row r="23" spans="1:26" x14ac:dyDescent="0.3">
      <c r="A23" t="s">
        <v>37</v>
      </c>
      <c r="B23">
        <v>2</v>
      </c>
      <c r="C23">
        <v>6</v>
      </c>
      <c r="D23">
        <v>2</v>
      </c>
      <c r="E23">
        <v>11062024</v>
      </c>
      <c r="F23" s="5">
        <v>0.50208333333333333</v>
      </c>
      <c r="G23" s="5">
        <v>0.51597222222222228</v>
      </c>
      <c r="H23" t="s">
        <v>28</v>
      </c>
      <c r="I23">
        <v>180.83</v>
      </c>
      <c r="J23">
        <v>0.04</v>
      </c>
      <c r="K23">
        <v>27</v>
      </c>
      <c r="R23">
        <v>0.86399999999999999</v>
      </c>
      <c r="S23">
        <f>4228048+3603816+468196+357866</f>
        <v>8657926</v>
      </c>
      <c r="U23" s="4">
        <f t="shared" si="4"/>
        <v>38.789913459444442</v>
      </c>
      <c r="V23" s="4">
        <f t="shared" si="5"/>
        <v>2.9975430153497418</v>
      </c>
      <c r="W23" s="4">
        <f t="shared" si="6"/>
        <v>2.8660029684916339</v>
      </c>
      <c r="X23" s="4">
        <f t="shared" si="7"/>
        <v>0.86399999999999999</v>
      </c>
    </row>
    <row r="24" spans="1:26" x14ac:dyDescent="0.3">
      <c r="A24" t="s">
        <v>37</v>
      </c>
      <c r="B24">
        <v>2</v>
      </c>
      <c r="C24">
        <v>7</v>
      </c>
      <c r="D24">
        <v>1</v>
      </c>
      <c r="E24">
        <v>11062024</v>
      </c>
      <c r="F24" s="5">
        <v>0.51875000000000004</v>
      </c>
      <c r="G24" s="5">
        <v>0.53125</v>
      </c>
      <c r="H24" t="s">
        <v>28</v>
      </c>
      <c r="I24">
        <v>96.1</v>
      </c>
      <c r="J24">
        <v>0.04</v>
      </c>
      <c r="K24">
        <v>26</v>
      </c>
      <c r="R24">
        <v>0.93500000000000005</v>
      </c>
      <c r="S24">
        <f>3786410+4326989+1369523+275086</f>
        <v>9758008</v>
      </c>
      <c r="U24" s="4">
        <f t="shared" si="4"/>
        <v>43.718586397777777</v>
      </c>
      <c r="V24" s="4">
        <f t="shared" si="5"/>
        <v>1.306090169622862</v>
      </c>
      <c r="W24" s="4">
        <f t="shared" si="6"/>
        <v>1.2769677134910338</v>
      </c>
      <c r="X24" s="4">
        <f t="shared" si="7"/>
        <v>0.93500000000000005</v>
      </c>
    </row>
    <row r="25" spans="1:26" x14ac:dyDescent="0.3">
      <c r="A25" t="s">
        <v>37</v>
      </c>
      <c r="B25">
        <v>2</v>
      </c>
      <c r="C25">
        <v>8</v>
      </c>
      <c r="D25">
        <v>2</v>
      </c>
      <c r="E25">
        <v>11062024</v>
      </c>
      <c r="F25" s="5">
        <v>0.55277777777777781</v>
      </c>
      <c r="G25" s="5">
        <v>0.57152777777777775</v>
      </c>
      <c r="H25" t="s">
        <v>28</v>
      </c>
      <c r="I25">
        <v>79.260000000000005</v>
      </c>
      <c r="J25">
        <v>0.04</v>
      </c>
      <c r="K25">
        <v>27</v>
      </c>
      <c r="R25">
        <v>1.127</v>
      </c>
      <c r="S25">
        <f>4994664+3526503+116244+2064552</f>
        <v>10701963</v>
      </c>
      <c r="U25" s="4">
        <f t="shared" si="4"/>
        <v>47.947767007500005</v>
      </c>
      <c r="V25" s="4">
        <f t="shared" si="5"/>
        <v>0.81487174741789281</v>
      </c>
      <c r="W25" s="4">
        <f t="shared" si="6"/>
        <v>0.77911303860543846</v>
      </c>
      <c r="X25" s="4">
        <f t="shared" si="7"/>
        <v>1.127</v>
      </c>
    </row>
    <row r="26" spans="1:26" x14ac:dyDescent="0.3">
      <c r="A26" t="s">
        <v>37</v>
      </c>
      <c r="B26">
        <v>1</v>
      </c>
      <c r="C26">
        <v>8</v>
      </c>
      <c r="D26">
        <v>1</v>
      </c>
      <c r="E26">
        <v>11062024</v>
      </c>
      <c r="F26" s="5">
        <v>0.55069444444444449</v>
      </c>
      <c r="G26" s="5">
        <v>0.56527777777777777</v>
      </c>
      <c r="H26" t="s">
        <v>28</v>
      </c>
      <c r="I26">
        <v>185.96</v>
      </c>
      <c r="J26">
        <v>0.04</v>
      </c>
      <c r="K26">
        <v>26</v>
      </c>
      <c r="R26">
        <v>0.13100000000000001</v>
      </c>
      <c r="S26">
        <f>3250811+599022+1320192</f>
        <v>5170025</v>
      </c>
      <c r="U26" s="4">
        <f t="shared" si="4"/>
        <v>23.163148118055556</v>
      </c>
      <c r="V26" s="4">
        <f t="shared" si="5"/>
        <v>34.046945257322065</v>
      </c>
      <c r="W26" s="4">
        <f t="shared" si="6"/>
        <v>33.287785826572019</v>
      </c>
      <c r="X26" s="4">
        <f t="shared" si="7"/>
        <v>0.13100000000000001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146E-6B5C-415F-9192-209A980B6A9A}">
  <dimension ref="A1:AE31"/>
  <sheetViews>
    <sheetView topLeftCell="A10" workbookViewId="0">
      <selection activeCell="R35" sqref="R35"/>
    </sheetView>
  </sheetViews>
  <sheetFormatPr baseColWidth="10" defaultRowHeight="14.4" x14ac:dyDescent="0.3"/>
  <cols>
    <col min="2" max="2" width="9.33203125" bestFit="1" customWidth="1"/>
    <col min="3" max="3" width="4.5546875" bestFit="1" customWidth="1"/>
    <col min="4" max="4" width="16.88671875" bestFit="1" customWidth="1"/>
    <col min="5" max="5" width="9" bestFit="1" customWidth="1"/>
    <col min="6" max="6" width="9.21875" bestFit="1" customWidth="1"/>
    <col min="7" max="7" width="8.44140625" bestFit="1" customWidth="1"/>
    <col min="8" max="8" width="6" bestFit="1" customWidth="1"/>
    <col min="9" max="9" width="7" bestFit="1" customWidth="1"/>
    <col min="10" max="10" width="5" bestFit="1" customWidth="1"/>
    <col min="11" max="11" width="8.6640625" bestFit="1" customWidth="1"/>
    <col min="12" max="17" width="0" hidden="1" customWidth="1"/>
    <col min="18" max="18" width="15.33203125" bestFit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39</v>
      </c>
      <c r="B3">
        <v>2</v>
      </c>
      <c r="C3">
        <v>1</v>
      </c>
      <c r="D3">
        <v>2</v>
      </c>
      <c r="E3">
        <v>11072024</v>
      </c>
      <c r="F3" s="5">
        <v>0.37708333333333333</v>
      </c>
      <c r="G3" s="5">
        <v>0.39513888888888887</v>
      </c>
      <c r="H3" t="s">
        <v>28</v>
      </c>
      <c r="I3">
        <v>44.13</v>
      </c>
      <c r="J3">
        <v>0.06</v>
      </c>
      <c r="K3">
        <v>26</v>
      </c>
      <c r="R3">
        <v>1.468</v>
      </c>
      <c r="S3">
        <f>5281756+1344062+349298</f>
        <v>6975116</v>
      </c>
      <c r="U3" s="4">
        <f t="shared" ref="U3:U8" si="0">S3/(1200^2)*2.54^2</f>
        <v>31.250457212222223</v>
      </c>
      <c r="V3" s="4">
        <f t="shared" ref="V3:V8" si="1">I3*0.000001/18*1000/R3/(U3/10000)</f>
        <v>0.53441543266890212</v>
      </c>
      <c r="W3" s="4">
        <f t="shared" ref="W3:W8" si="2">V3/(0.88862*(1/POWER(10,(1.3272*(20-K3)-0.001053*(K3-20)^2)/(K3+105))))</f>
        <v>0.52249934114930507</v>
      </c>
      <c r="X3" s="4">
        <f t="shared" ref="X3:X8" si="3">MAX(Q3:R3)</f>
        <v>1.468</v>
      </c>
    </row>
    <row r="4" spans="1:31" x14ac:dyDescent="0.3">
      <c r="A4" t="s">
        <v>39</v>
      </c>
      <c r="B4">
        <v>2</v>
      </c>
      <c r="C4">
        <v>2</v>
      </c>
      <c r="D4">
        <v>1</v>
      </c>
      <c r="E4">
        <v>11072024</v>
      </c>
      <c r="F4" s="5">
        <v>0.38680555555555557</v>
      </c>
      <c r="G4" s="5">
        <v>0.40694444444444444</v>
      </c>
      <c r="H4" t="s">
        <v>28</v>
      </c>
      <c r="I4">
        <v>171.56</v>
      </c>
      <c r="J4">
        <v>0.03</v>
      </c>
      <c r="K4">
        <v>26</v>
      </c>
      <c r="R4">
        <v>0.185</v>
      </c>
      <c r="S4">
        <f>5045502+685140</f>
        <v>5730642</v>
      </c>
      <c r="U4" s="4">
        <f t="shared" si="0"/>
        <v>25.674868005</v>
      </c>
      <c r="V4" s="4">
        <f t="shared" si="1"/>
        <v>20.066128289145034</v>
      </c>
      <c r="W4" s="4">
        <f t="shared" si="2"/>
        <v>19.618705167504814</v>
      </c>
      <c r="X4" s="4">
        <f t="shared" si="3"/>
        <v>0.185</v>
      </c>
    </row>
    <row r="5" spans="1:31" x14ac:dyDescent="0.3">
      <c r="A5" t="s">
        <v>39</v>
      </c>
      <c r="B5">
        <v>3</v>
      </c>
      <c r="C5">
        <v>1</v>
      </c>
      <c r="D5">
        <v>2</v>
      </c>
      <c r="E5">
        <v>11072024</v>
      </c>
      <c r="F5" s="5">
        <v>0.40347222222222223</v>
      </c>
      <c r="G5" s="5">
        <v>0.42222222222222222</v>
      </c>
      <c r="H5" t="s">
        <v>28</v>
      </c>
      <c r="I5">
        <v>117.17</v>
      </c>
      <c r="J5">
        <v>0.03</v>
      </c>
      <c r="K5">
        <v>26</v>
      </c>
      <c r="R5">
        <v>0.49099999999999999</v>
      </c>
      <c r="S5">
        <f>8063160+963144+1127600</f>
        <v>10153904</v>
      </c>
      <c r="U5" s="4">
        <f t="shared" si="0"/>
        <v>45.492310448888887</v>
      </c>
      <c r="V5" s="4">
        <f t="shared" si="1"/>
        <v>2.9142341191190404</v>
      </c>
      <c r="W5" s="4">
        <f t="shared" si="2"/>
        <v>2.8492541833796667</v>
      </c>
      <c r="X5" s="4">
        <f t="shared" si="3"/>
        <v>0.49099999999999999</v>
      </c>
    </row>
    <row r="6" spans="1:31" x14ac:dyDescent="0.3">
      <c r="A6" t="s">
        <v>39</v>
      </c>
      <c r="B6">
        <v>3</v>
      </c>
      <c r="C6">
        <v>2</v>
      </c>
      <c r="D6">
        <v>1</v>
      </c>
      <c r="E6">
        <v>11072024</v>
      </c>
      <c r="F6" s="5">
        <v>0.41111111111111109</v>
      </c>
      <c r="G6" s="5">
        <v>0.43333333333333335</v>
      </c>
      <c r="H6" t="s">
        <v>28</v>
      </c>
      <c r="I6">
        <v>110.97</v>
      </c>
      <c r="J6">
        <v>0.05</v>
      </c>
      <c r="K6">
        <v>25</v>
      </c>
      <c r="R6">
        <v>0.246</v>
      </c>
      <c r="S6">
        <f>6778726+1491326+1245354</f>
        <v>9515406</v>
      </c>
      <c r="U6" s="4">
        <f t="shared" si="0"/>
        <v>42.631662048333332</v>
      </c>
      <c r="V6" s="4">
        <f t="shared" si="1"/>
        <v>5.8784889928390314</v>
      </c>
      <c r="W6" s="4">
        <f t="shared" si="2"/>
        <v>5.8789663163456787</v>
      </c>
      <c r="X6" s="4">
        <f t="shared" si="3"/>
        <v>0.246</v>
      </c>
    </row>
    <row r="7" spans="1:31" x14ac:dyDescent="0.3">
      <c r="A7" t="s">
        <v>39</v>
      </c>
      <c r="B7">
        <v>1</v>
      </c>
      <c r="C7">
        <v>1</v>
      </c>
      <c r="D7">
        <v>2</v>
      </c>
      <c r="E7">
        <v>11072024</v>
      </c>
      <c r="F7" s="5">
        <v>0.44374999999999998</v>
      </c>
      <c r="G7" s="5">
        <v>0.45833333333333331</v>
      </c>
      <c r="H7" t="s">
        <v>28</v>
      </c>
      <c r="I7">
        <v>23.6</v>
      </c>
      <c r="J7">
        <v>0.05</v>
      </c>
      <c r="K7">
        <v>26</v>
      </c>
      <c r="R7">
        <v>1.32</v>
      </c>
      <c r="S7">
        <f>3760147+962550</f>
        <v>4722697</v>
      </c>
      <c r="U7" s="4">
        <f t="shared" si="0"/>
        <v>21.158994420277779</v>
      </c>
      <c r="V7" s="4">
        <f t="shared" si="1"/>
        <v>0.46942967777055328</v>
      </c>
      <c r="W7" s="4">
        <f t="shared" si="2"/>
        <v>0.45896260167135966</v>
      </c>
      <c r="X7" s="4">
        <f t="shared" si="3"/>
        <v>1.32</v>
      </c>
    </row>
    <row r="8" spans="1:31" x14ac:dyDescent="0.3">
      <c r="A8" t="s">
        <v>39</v>
      </c>
      <c r="B8">
        <v>2</v>
      </c>
      <c r="C8">
        <v>3</v>
      </c>
      <c r="D8">
        <v>1</v>
      </c>
      <c r="E8">
        <v>11072024</v>
      </c>
      <c r="F8" s="5">
        <v>0.47361111111111109</v>
      </c>
      <c r="G8" s="5">
        <v>0.48749999999999999</v>
      </c>
      <c r="H8" t="s">
        <v>28</v>
      </c>
      <c r="I8">
        <v>44.57</v>
      </c>
      <c r="J8">
        <v>0.04</v>
      </c>
      <c r="K8">
        <v>25</v>
      </c>
      <c r="R8">
        <v>0.86</v>
      </c>
      <c r="S8">
        <f>3183813+662040+666150</f>
        <v>4512003</v>
      </c>
      <c r="U8" s="4">
        <f t="shared" si="0"/>
        <v>20.215026774166667</v>
      </c>
      <c r="V8" s="4">
        <f t="shared" si="1"/>
        <v>1.4242864966608282</v>
      </c>
      <c r="W8" s="4">
        <f t="shared" si="2"/>
        <v>1.42440214635004</v>
      </c>
      <c r="X8" s="4">
        <f t="shared" si="3"/>
        <v>0.86</v>
      </c>
    </row>
    <row r="9" spans="1:31" x14ac:dyDescent="0.3">
      <c r="A9" t="s">
        <v>39</v>
      </c>
      <c r="B9">
        <v>1</v>
      </c>
      <c r="C9">
        <v>2</v>
      </c>
      <c r="D9">
        <v>2</v>
      </c>
      <c r="E9">
        <v>11082024</v>
      </c>
      <c r="F9" s="5">
        <v>0.38124999999999998</v>
      </c>
      <c r="G9" s="5">
        <v>0.39583333333333331</v>
      </c>
      <c r="H9" t="s">
        <v>28</v>
      </c>
      <c r="I9">
        <v>58.06</v>
      </c>
      <c r="J9">
        <v>0.06</v>
      </c>
      <c r="K9">
        <v>26</v>
      </c>
      <c r="R9">
        <v>1.617</v>
      </c>
      <c r="S9">
        <f>6463264+2334373+298439</f>
        <v>9096076</v>
      </c>
      <c r="U9" s="4">
        <f t="shared" ref="U9:U11" si="4">S9/(1200^2)*2.54^2</f>
        <v>40.752947167777776</v>
      </c>
      <c r="V9" s="4">
        <f t="shared" ref="V9:V11" si="5">I9*0.000001/18*1000/R9/(U9/10000)</f>
        <v>0.48948060145221556</v>
      </c>
      <c r="W9" s="4">
        <f t="shared" ref="W9:W11" si="6">V9/(0.88862*(1/POWER(10,(1.3272*(20-K9)-0.001053*(K9-20)^2)/(K9+105))))</f>
        <v>0.47856644125507602</v>
      </c>
      <c r="X9" s="4">
        <f t="shared" ref="X9:X16" si="7">MAX(Q9:R9)</f>
        <v>1.617</v>
      </c>
    </row>
    <row r="10" spans="1:31" x14ac:dyDescent="0.3">
      <c r="A10" t="s">
        <v>39</v>
      </c>
      <c r="B10">
        <v>3</v>
      </c>
      <c r="C10">
        <v>3</v>
      </c>
      <c r="D10">
        <v>2</v>
      </c>
      <c r="E10">
        <v>11082024</v>
      </c>
      <c r="F10" s="5">
        <v>0.40069444444444446</v>
      </c>
      <c r="G10" s="5">
        <v>0.41388888888888886</v>
      </c>
      <c r="H10" t="s">
        <v>28</v>
      </c>
      <c r="I10">
        <v>51.6</v>
      </c>
      <c r="J10">
        <v>0.03</v>
      </c>
      <c r="K10">
        <v>25</v>
      </c>
      <c r="R10">
        <v>0.91</v>
      </c>
      <c r="S10">
        <f>5584263+814566+317757</f>
        <v>6716586</v>
      </c>
      <c r="U10" s="4">
        <f t="shared" si="4"/>
        <v>30.09217099833333</v>
      </c>
      <c r="V10" s="4">
        <f t="shared" si="5"/>
        <v>1.0468447591759413</v>
      </c>
      <c r="W10" s="4">
        <f t="shared" si="6"/>
        <v>1.046929761225273</v>
      </c>
      <c r="X10" s="4">
        <f t="shared" si="7"/>
        <v>0.91</v>
      </c>
    </row>
    <row r="11" spans="1:31" x14ac:dyDescent="0.3">
      <c r="A11" t="s">
        <v>39</v>
      </c>
      <c r="B11">
        <v>1</v>
      </c>
      <c r="C11">
        <v>3</v>
      </c>
      <c r="D11">
        <v>1</v>
      </c>
      <c r="E11">
        <v>11082024</v>
      </c>
      <c r="F11" s="5">
        <v>0.3888888888888889</v>
      </c>
      <c r="G11" s="5">
        <v>0.40486111111111112</v>
      </c>
      <c r="H11" t="s">
        <v>28</v>
      </c>
      <c r="I11">
        <v>71.3</v>
      </c>
      <c r="J11">
        <v>0.03</v>
      </c>
      <c r="K11">
        <v>25</v>
      </c>
      <c r="R11">
        <v>0.51</v>
      </c>
      <c r="S11">
        <f>5946627+808257+468075+163144</f>
        <v>7386103</v>
      </c>
      <c r="U11" s="4">
        <f t="shared" si="4"/>
        <v>33.091793135277776</v>
      </c>
      <c r="V11" s="4">
        <f t="shared" si="5"/>
        <v>2.3470727318521951</v>
      </c>
      <c r="W11" s="4">
        <f t="shared" si="6"/>
        <v>2.3472633102453995</v>
      </c>
      <c r="X11" s="4">
        <f t="shared" si="7"/>
        <v>0.51</v>
      </c>
    </row>
    <row r="12" spans="1:31" x14ac:dyDescent="0.3">
      <c r="A12" t="s">
        <v>39</v>
      </c>
      <c r="B12">
        <v>2</v>
      </c>
      <c r="C12">
        <v>4</v>
      </c>
      <c r="D12">
        <v>1</v>
      </c>
      <c r="E12">
        <v>11082024</v>
      </c>
      <c r="F12" s="5">
        <v>0.40972222222222221</v>
      </c>
      <c r="G12" s="5">
        <v>0.4236111111111111</v>
      </c>
      <c r="H12" t="s">
        <v>28</v>
      </c>
      <c r="I12">
        <v>138.83000000000001</v>
      </c>
      <c r="J12">
        <v>0.04</v>
      </c>
      <c r="K12">
        <v>25</v>
      </c>
      <c r="R12">
        <v>1.268</v>
      </c>
      <c r="S12">
        <f>6214254+1622337+192996</f>
        <v>8029587</v>
      </c>
      <c r="U12" s="4">
        <f t="shared" ref="U12:U16" si="8">S12/(1200^2)*2.54^2</f>
        <v>35.974780200833337</v>
      </c>
      <c r="V12" s="4">
        <f t="shared" ref="V12:V16" si="9">I12*0.000001/18*1000/R12/(U12/10000)</f>
        <v>1.6908045811266819</v>
      </c>
      <c r="W12" s="4">
        <f t="shared" ref="W12:W16" si="10">V12/(0.88862*(1/POWER(10,(1.3272*(20-K12)-0.001053*(K12-20)^2)/(K12+105))))</f>
        <v>1.6909418716400608</v>
      </c>
      <c r="X12" s="4">
        <f t="shared" si="7"/>
        <v>1.268</v>
      </c>
    </row>
    <row r="13" spans="1:31" x14ac:dyDescent="0.3">
      <c r="A13" t="s">
        <v>39</v>
      </c>
      <c r="B13">
        <v>1</v>
      </c>
      <c r="C13">
        <v>4</v>
      </c>
      <c r="D13">
        <v>1</v>
      </c>
      <c r="E13">
        <v>11082024</v>
      </c>
      <c r="F13" s="5">
        <v>0.42986111111111114</v>
      </c>
      <c r="G13" s="5">
        <v>0.44444444444444442</v>
      </c>
      <c r="H13" t="s">
        <v>28</v>
      </c>
      <c r="I13">
        <v>191.83</v>
      </c>
      <c r="J13">
        <v>0.02</v>
      </c>
      <c r="K13">
        <v>25</v>
      </c>
      <c r="R13">
        <v>1.026</v>
      </c>
      <c r="S13">
        <f>5773559+603204+274922</f>
        <v>6651685</v>
      </c>
      <c r="U13" s="4">
        <f t="shared" si="8"/>
        <v>29.801396490277778</v>
      </c>
      <c r="V13" s="4">
        <f t="shared" si="9"/>
        <v>3.4854595372396737</v>
      </c>
      <c r="W13" s="4">
        <f t="shared" si="10"/>
        <v>3.4857425507437596</v>
      </c>
      <c r="X13" s="4">
        <f t="shared" si="7"/>
        <v>1.026</v>
      </c>
    </row>
    <row r="14" spans="1:31" x14ac:dyDescent="0.3">
      <c r="A14" t="s">
        <v>39</v>
      </c>
      <c r="B14">
        <v>1</v>
      </c>
      <c r="C14">
        <v>5</v>
      </c>
      <c r="D14">
        <v>2</v>
      </c>
      <c r="E14">
        <v>11082024</v>
      </c>
      <c r="F14" s="5">
        <v>0.42499999999999999</v>
      </c>
      <c r="G14" s="5">
        <v>0.43888888888888888</v>
      </c>
      <c r="H14" t="s">
        <v>28</v>
      </c>
      <c r="I14">
        <v>121.13</v>
      </c>
      <c r="J14">
        <v>0.04</v>
      </c>
      <c r="K14">
        <v>26</v>
      </c>
      <c r="R14">
        <v>0.67100000000000004</v>
      </c>
      <c r="S14">
        <f>5654817+473235+62206</f>
        <v>6190258</v>
      </c>
      <c r="U14" s="4">
        <f t="shared" si="8"/>
        <v>27.734075356111113</v>
      </c>
      <c r="V14" s="4">
        <f t="shared" si="9"/>
        <v>3.6161213881814085</v>
      </c>
      <c r="W14" s="4">
        <f t="shared" si="10"/>
        <v>3.5354911691169102</v>
      </c>
      <c r="X14" s="4">
        <f t="shared" si="7"/>
        <v>0.67100000000000004</v>
      </c>
    </row>
    <row r="15" spans="1:31" x14ac:dyDescent="0.3">
      <c r="A15" t="s">
        <v>39</v>
      </c>
      <c r="B15">
        <v>2</v>
      </c>
      <c r="C15">
        <v>5</v>
      </c>
      <c r="D15">
        <v>2</v>
      </c>
      <c r="E15">
        <v>11082024</v>
      </c>
      <c r="F15" s="5">
        <v>0.4548611111111111</v>
      </c>
      <c r="G15" s="5">
        <v>0.46805555555555556</v>
      </c>
      <c r="H15" t="s">
        <v>28</v>
      </c>
      <c r="I15">
        <v>59.97</v>
      </c>
      <c r="J15">
        <v>0.05</v>
      </c>
      <c r="K15">
        <v>26</v>
      </c>
      <c r="R15">
        <v>1.1100000000000001</v>
      </c>
      <c r="S15">
        <f>4607082+209598</f>
        <v>4816680</v>
      </c>
      <c r="U15" s="4">
        <f t="shared" si="8"/>
        <v>21.580064366666669</v>
      </c>
      <c r="V15" s="4">
        <f t="shared" si="9"/>
        <v>1.3908677242583791</v>
      </c>
      <c r="W15" s="4">
        <f t="shared" si="10"/>
        <v>1.3598549464066121</v>
      </c>
      <c r="X15" s="4">
        <f t="shared" si="7"/>
        <v>1.1100000000000001</v>
      </c>
    </row>
    <row r="16" spans="1:31" x14ac:dyDescent="0.3">
      <c r="A16" t="s">
        <v>39</v>
      </c>
      <c r="B16">
        <v>3</v>
      </c>
      <c r="C16">
        <v>4</v>
      </c>
      <c r="D16">
        <v>1</v>
      </c>
      <c r="E16">
        <v>11082024</v>
      </c>
      <c r="F16" s="5">
        <v>0.4548611111111111</v>
      </c>
      <c r="G16" s="5">
        <v>0.47291666666666665</v>
      </c>
      <c r="H16" t="s">
        <v>28</v>
      </c>
      <c r="I16">
        <v>101.23</v>
      </c>
      <c r="J16">
        <v>0.05</v>
      </c>
      <c r="K16">
        <v>25</v>
      </c>
      <c r="R16">
        <v>0.128</v>
      </c>
      <c r="S16">
        <f>4592508+1761562</f>
        <v>6354070</v>
      </c>
      <c r="U16" s="4">
        <f t="shared" si="8"/>
        <v>28.467998619444444</v>
      </c>
      <c r="V16" s="4">
        <f t="shared" si="9"/>
        <v>15.433691890948205</v>
      </c>
      <c r="W16" s="4">
        <f t="shared" si="10"/>
        <v>15.434945081001445</v>
      </c>
      <c r="X16" s="4">
        <f t="shared" si="7"/>
        <v>0.128</v>
      </c>
    </row>
    <row r="17" spans="1:26" x14ac:dyDescent="0.3">
      <c r="A17" t="s">
        <v>39</v>
      </c>
      <c r="B17">
        <v>1</v>
      </c>
      <c r="C17">
        <v>6</v>
      </c>
      <c r="D17">
        <v>2</v>
      </c>
      <c r="E17">
        <v>11082024</v>
      </c>
      <c r="F17" s="5">
        <v>0.4777777777777778</v>
      </c>
      <c r="G17" s="5">
        <v>0.49166666666666664</v>
      </c>
      <c r="H17" t="s">
        <v>28</v>
      </c>
      <c r="I17">
        <v>67</v>
      </c>
      <c r="J17">
        <v>0.04</v>
      </c>
      <c r="K17">
        <v>27</v>
      </c>
      <c r="R17">
        <v>1.57</v>
      </c>
      <c r="S17">
        <f>4791126+404936</f>
        <v>5196062</v>
      </c>
      <c r="U17" s="4">
        <f t="shared" ref="U17:U18" si="11">S17/(1200^2)*2.54^2</f>
        <v>23.279801110555557</v>
      </c>
      <c r="V17" s="4">
        <f t="shared" ref="V17:V18" si="12">I17*0.000001/18*1000/R17/(U17/10000)</f>
        <v>1.0184116988372323</v>
      </c>
      <c r="W17" s="4">
        <f t="shared" ref="W17:W18" si="13">V17/(0.88862*(1/POWER(10,(1.3272*(20-K17)-0.001053*(K17-20)^2)/(K17+105))))</f>
        <v>0.97372112328922322</v>
      </c>
      <c r="X17" s="4">
        <f t="shared" ref="X17:X18" si="14">MAX(Q17:R17)</f>
        <v>1.57</v>
      </c>
    </row>
    <row r="18" spans="1:26" x14ac:dyDescent="0.3">
      <c r="A18" t="s">
        <v>39</v>
      </c>
      <c r="B18">
        <v>2</v>
      </c>
      <c r="C18">
        <v>6</v>
      </c>
      <c r="D18">
        <v>1</v>
      </c>
      <c r="E18">
        <v>11082024</v>
      </c>
      <c r="F18" s="5">
        <v>0.48680555555555555</v>
      </c>
      <c r="G18" s="5">
        <v>0.51041666666666663</v>
      </c>
      <c r="H18" t="s">
        <v>28</v>
      </c>
      <c r="I18">
        <v>26.43</v>
      </c>
      <c r="J18">
        <v>0.05</v>
      </c>
      <c r="K18">
        <v>25</v>
      </c>
      <c r="R18">
        <v>0.13800000000000001</v>
      </c>
      <c r="S18">
        <f>4186731+1475286</f>
        <v>5662017</v>
      </c>
      <c r="U18" s="4">
        <f t="shared" si="11"/>
        <v>25.367408942499999</v>
      </c>
      <c r="V18" s="4">
        <f t="shared" si="12"/>
        <v>4.1943962989973738</v>
      </c>
      <c r="W18" s="4">
        <f t="shared" si="13"/>
        <v>4.1947368769847007</v>
      </c>
      <c r="X18" s="4">
        <f t="shared" si="14"/>
        <v>0.13800000000000001</v>
      </c>
    </row>
    <row r="19" spans="1:26" x14ac:dyDescent="0.3">
      <c r="U19" s="4"/>
      <c r="V19" s="4"/>
      <c r="W19" s="4"/>
      <c r="X19" s="4"/>
    </row>
    <row r="20" spans="1:26" x14ac:dyDescent="0.3">
      <c r="A20" t="s">
        <v>39</v>
      </c>
      <c r="B20">
        <v>3</v>
      </c>
      <c r="C20">
        <v>1</v>
      </c>
      <c r="D20">
        <v>1</v>
      </c>
      <c r="E20">
        <v>13022025</v>
      </c>
      <c r="F20" s="5">
        <v>0.37986111111111109</v>
      </c>
      <c r="G20" s="5">
        <v>0.39097222222222222</v>
      </c>
      <c r="H20">
        <v>0</v>
      </c>
      <c r="I20">
        <v>41.16</v>
      </c>
      <c r="J20">
        <v>4.8000000000000001E-2</v>
      </c>
      <c r="K20">
        <v>23.2</v>
      </c>
      <c r="R20">
        <v>0.41099999999999998</v>
      </c>
      <c r="S20">
        <v>13076534</v>
      </c>
      <c r="U20" s="4">
        <f t="shared" ref="U20:U31" si="15">S20/(1200^2)*2.54^2</f>
        <v>58.586504690555557</v>
      </c>
      <c r="V20" s="4">
        <f t="shared" ref="V20:V31" si="16">I20*0.000001/18*1000/R20/(U20/10000)</f>
        <v>0.94964973333415958</v>
      </c>
      <c r="W20" s="4">
        <f t="shared" ref="W20:W31" si="17">V20/(0.88862*(1/POWER(10,(1.3272*(20-K20)-0.001053*(K20-20)^2)/(K20+105))))</f>
        <v>0.98999960499914041</v>
      </c>
      <c r="X20" s="4">
        <f t="shared" ref="X20:X31" si="18">MAX(Q20:R20)</f>
        <v>0.41099999999999998</v>
      </c>
    </row>
    <row r="21" spans="1:26" x14ac:dyDescent="0.3">
      <c r="A21" t="s">
        <v>39</v>
      </c>
      <c r="B21">
        <v>2</v>
      </c>
      <c r="C21">
        <v>1</v>
      </c>
      <c r="D21">
        <v>2</v>
      </c>
      <c r="E21">
        <v>13022025</v>
      </c>
      <c r="F21" s="5">
        <v>0.36527777777777776</v>
      </c>
      <c r="G21" s="5">
        <v>0.38124999999999998</v>
      </c>
      <c r="H21">
        <v>0</v>
      </c>
      <c r="I21">
        <v>15.43</v>
      </c>
      <c r="J21">
        <v>0.05</v>
      </c>
      <c r="K21">
        <v>22.8</v>
      </c>
      <c r="R21">
        <v>0.124</v>
      </c>
      <c r="S21">
        <v>11633263</v>
      </c>
      <c r="U21" s="4">
        <f t="shared" si="15"/>
        <v>52.120249701944445</v>
      </c>
      <c r="V21" s="4">
        <f t="shared" si="16"/>
        <v>1.3263717032840845</v>
      </c>
      <c r="W21" s="4">
        <f t="shared" si="17"/>
        <v>1.3957467749969499</v>
      </c>
      <c r="X21" s="4">
        <f t="shared" si="18"/>
        <v>0.124</v>
      </c>
    </row>
    <row r="22" spans="1:26" x14ac:dyDescent="0.3">
      <c r="A22" t="s">
        <v>39</v>
      </c>
      <c r="B22">
        <v>2</v>
      </c>
      <c r="C22">
        <v>2</v>
      </c>
      <c r="D22">
        <v>2</v>
      </c>
      <c r="E22">
        <v>13022025</v>
      </c>
      <c r="F22" s="5">
        <v>0.38611111111111113</v>
      </c>
      <c r="G22" s="5">
        <v>0.41180555555555554</v>
      </c>
      <c r="H22">
        <v>0</v>
      </c>
      <c r="I22">
        <v>18.829999999999998</v>
      </c>
      <c r="J22">
        <v>0.05</v>
      </c>
      <c r="K22">
        <v>23.4</v>
      </c>
      <c r="R22">
        <v>0.17100000000000001</v>
      </c>
      <c r="S22">
        <v>14527369</v>
      </c>
      <c r="U22" s="4">
        <f t="shared" si="15"/>
        <v>65.086648500277775</v>
      </c>
      <c r="V22" s="4">
        <f t="shared" si="16"/>
        <v>0.93991762947833646</v>
      </c>
      <c r="W22" s="4">
        <f t="shared" si="17"/>
        <v>0.97529272309514203</v>
      </c>
      <c r="X22" s="4">
        <f t="shared" si="18"/>
        <v>0.17100000000000001</v>
      </c>
      <c r="Z22" t="s">
        <v>100</v>
      </c>
    </row>
    <row r="23" spans="1:26" x14ac:dyDescent="0.3">
      <c r="A23" t="s">
        <v>39</v>
      </c>
      <c r="B23">
        <v>4</v>
      </c>
      <c r="C23">
        <v>1</v>
      </c>
      <c r="D23">
        <v>1</v>
      </c>
      <c r="E23">
        <v>13022025</v>
      </c>
      <c r="F23" s="5">
        <v>0.39513888888888887</v>
      </c>
      <c r="G23" s="5">
        <v>0.41180555555555554</v>
      </c>
      <c r="H23">
        <v>0</v>
      </c>
      <c r="I23">
        <v>19.57</v>
      </c>
      <c r="J23">
        <v>0.03</v>
      </c>
      <c r="K23">
        <v>23.6</v>
      </c>
      <c r="R23">
        <v>0.38300000000000001</v>
      </c>
      <c r="S23">
        <v>6331880</v>
      </c>
      <c r="U23" s="4">
        <f t="shared" si="15"/>
        <v>28.368581255555554</v>
      </c>
      <c r="V23" s="4">
        <f t="shared" si="16"/>
        <v>1.000649378108099</v>
      </c>
      <c r="W23" s="4">
        <f t="shared" si="17"/>
        <v>1.0334902496578657</v>
      </c>
      <c r="X23" s="4">
        <f t="shared" si="18"/>
        <v>0.38300000000000001</v>
      </c>
      <c r="Z23" t="s">
        <v>100</v>
      </c>
    </row>
    <row r="24" spans="1:26" x14ac:dyDescent="0.3">
      <c r="A24" t="s">
        <v>39</v>
      </c>
      <c r="B24">
        <v>4</v>
      </c>
      <c r="C24">
        <v>2</v>
      </c>
      <c r="D24">
        <v>1</v>
      </c>
      <c r="E24">
        <v>13022025</v>
      </c>
      <c r="F24" s="5">
        <v>0.41666666666666669</v>
      </c>
      <c r="G24" s="5">
        <v>0.42708333333333331</v>
      </c>
      <c r="H24">
        <v>0</v>
      </c>
      <c r="I24">
        <v>35.299999999999997</v>
      </c>
      <c r="J24">
        <v>0.05</v>
      </c>
      <c r="K24">
        <v>22.8</v>
      </c>
      <c r="R24">
        <v>0.121</v>
      </c>
      <c r="S24">
        <v>4503889</v>
      </c>
      <c r="U24" s="4">
        <f t="shared" si="15"/>
        <v>20.178673800277778</v>
      </c>
      <c r="V24" s="4">
        <f t="shared" si="16"/>
        <v>8.0320094394262753</v>
      </c>
      <c r="W24" s="4">
        <f t="shared" si="17"/>
        <v>8.4521188472784896</v>
      </c>
      <c r="X24" s="4">
        <f t="shared" si="18"/>
        <v>0.121</v>
      </c>
      <c r="Z24" t="s">
        <v>116</v>
      </c>
    </row>
    <row r="25" spans="1:26" x14ac:dyDescent="0.3">
      <c r="A25" t="s">
        <v>39</v>
      </c>
      <c r="B25">
        <v>3</v>
      </c>
      <c r="C25">
        <v>2</v>
      </c>
      <c r="D25">
        <v>2</v>
      </c>
      <c r="E25">
        <v>13022025</v>
      </c>
      <c r="F25" s="5">
        <v>0.42152777777777778</v>
      </c>
      <c r="G25" s="5">
        <v>0.43402777777777779</v>
      </c>
      <c r="H25">
        <v>0</v>
      </c>
      <c r="I25">
        <v>23.56</v>
      </c>
      <c r="J25">
        <v>0.05</v>
      </c>
      <c r="K25">
        <v>22.3</v>
      </c>
      <c r="L25">
        <v>0.48299999999999998</v>
      </c>
      <c r="R25">
        <v>0.48299999999999998</v>
      </c>
      <c r="S25">
        <v>6589425</v>
      </c>
      <c r="U25" s="4">
        <f t="shared" si="15"/>
        <v>29.522454395833336</v>
      </c>
      <c r="V25" s="4">
        <f t="shared" si="16"/>
        <v>0.91791652804124313</v>
      </c>
      <c r="W25" s="4">
        <f t="shared" si="17"/>
        <v>0.97738143802421928</v>
      </c>
      <c r="X25" s="4">
        <f t="shared" si="18"/>
        <v>0.48299999999999998</v>
      </c>
    </row>
    <row r="26" spans="1:26" x14ac:dyDescent="0.3">
      <c r="A26" t="s">
        <v>39</v>
      </c>
      <c r="B26">
        <v>3</v>
      </c>
      <c r="C26">
        <v>3</v>
      </c>
      <c r="D26">
        <v>1</v>
      </c>
      <c r="E26">
        <v>13022025</v>
      </c>
      <c r="F26" s="5">
        <v>0.60416666666666663</v>
      </c>
      <c r="G26" s="5">
        <v>0.61875000000000002</v>
      </c>
      <c r="H26">
        <v>0</v>
      </c>
      <c r="I26">
        <v>18.600000000000001</v>
      </c>
      <c r="J26">
        <v>0.05</v>
      </c>
      <c r="K26">
        <v>23</v>
      </c>
      <c r="R26">
        <v>0.315</v>
      </c>
      <c r="S26">
        <v>10343236</v>
      </c>
      <c r="U26" s="4">
        <f t="shared" si="15"/>
        <v>46.340570401111108</v>
      </c>
      <c r="V26" s="4">
        <f t="shared" si="16"/>
        <v>0.70789445447668153</v>
      </c>
      <c r="W26" s="4">
        <f t="shared" si="17"/>
        <v>0.74143338517401713</v>
      </c>
      <c r="X26" s="4">
        <f t="shared" si="18"/>
        <v>0.315</v>
      </c>
      <c r="Z26" t="s">
        <v>100</v>
      </c>
    </row>
    <row r="27" spans="1:26" x14ac:dyDescent="0.3">
      <c r="A27" t="s">
        <v>39</v>
      </c>
      <c r="B27">
        <v>1</v>
      </c>
      <c r="C27">
        <v>1</v>
      </c>
      <c r="D27">
        <v>2</v>
      </c>
      <c r="E27">
        <v>13022025</v>
      </c>
      <c r="F27" s="5">
        <v>0.43958333333333333</v>
      </c>
      <c r="G27" s="5">
        <v>0.4597222222222222</v>
      </c>
      <c r="H27">
        <v>0</v>
      </c>
      <c r="I27">
        <v>11.43</v>
      </c>
      <c r="J27">
        <v>0.04</v>
      </c>
      <c r="K27">
        <v>22</v>
      </c>
      <c r="R27">
        <v>0.32800000000000001</v>
      </c>
      <c r="S27">
        <v>7295703</v>
      </c>
      <c r="U27" s="4">
        <f t="shared" si="15"/>
        <v>32.686776024166669</v>
      </c>
      <c r="V27" s="4">
        <f t="shared" si="16"/>
        <v>0.5922809910419895</v>
      </c>
      <c r="W27" s="4">
        <f t="shared" si="17"/>
        <v>0.63515212883658578</v>
      </c>
      <c r="X27" s="4">
        <f t="shared" si="18"/>
        <v>0.32800000000000001</v>
      </c>
      <c r="Z27" t="s">
        <v>117</v>
      </c>
    </row>
    <row r="28" spans="1:26" x14ac:dyDescent="0.3">
      <c r="A28" t="s">
        <v>39</v>
      </c>
      <c r="B28">
        <v>1</v>
      </c>
      <c r="C28">
        <v>2</v>
      </c>
      <c r="D28">
        <v>2</v>
      </c>
      <c r="E28">
        <v>13022025</v>
      </c>
      <c r="F28" s="5">
        <v>0.59444444444444444</v>
      </c>
      <c r="G28" s="5">
        <v>0.60833333333333328</v>
      </c>
      <c r="H28">
        <v>0</v>
      </c>
      <c r="I28">
        <v>19.03</v>
      </c>
      <c r="J28">
        <v>0.04</v>
      </c>
      <c r="K28">
        <v>22.7</v>
      </c>
      <c r="R28">
        <v>2.1000000000000001E-2</v>
      </c>
      <c r="S28">
        <v>9903473</v>
      </c>
      <c r="U28" s="4">
        <f t="shared" si="15"/>
        <v>44.370310004722228</v>
      </c>
      <c r="V28" s="4">
        <f t="shared" si="16"/>
        <v>11.346306874700074</v>
      </c>
      <c r="W28" s="4">
        <f t="shared" si="17"/>
        <v>11.967871993320026</v>
      </c>
      <c r="X28" s="4">
        <f t="shared" si="18"/>
        <v>2.1000000000000001E-2</v>
      </c>
      <c r="Z28" t="s">
        <v>100</v>
      </c>
    </row>
    <row r="29" spans="1:26" x14ac:dyDescent="0.3">
      <c r="A29" t="s">
        <v>39</v>
      </c>
      <c r="B29">
        <v>4</v>
      </c>
      <c r="C29">
        <v>3</v>
      </c>
      <c r="D29">
        <v>2</v>
      </c>
      <c r="E29">
        <v>13022025</v>
      </c>
      <c r="F29" s="5">
        <v>0.62708333333333333</v>
      </c>
      <c r="G29" s="5">
        <v>0.63749999999999996</v>
      </c>
      <c r="H29">
        <v>0</v>
      </c>
      <c r="I29">
        <v>10.1</v>
      </c>
      <c r="J29">
        <v>0.04</v>
      </c>
      <c r="K29">
        <v>23</v>
      </c>
      <c r="R29">
        <v>0.47799999999999998</v>
      </c>
      <c r="S29">
        <v>6676637</v>
      </c>
      <c r="U29" s="4">
        <f t="shared" si="15"/>
        <v>29.913188381388888</v>
      </c>
      <c r="V29" s="4">
        <f t="shared" si="16"/>
        <v>0.39242644495817475</v>
      </c>
      <c r="W29" s="4">
        <f t="shared" si="17"/>
        <v>0.4110189953843309</v>
      </c>
      <c r="X29" s="4">
        <f t="shared" si="18"/>
        <v>0.47799999999999998</v>
      </c>
      <c r="Z29" t="s">
        <v>100</v>
      </c>
    </row>
    <row r="30" spans="1:26" x14ac:dyDescent="0.3">
      <c r="A30" t="s">
        <v>39</v>
      </c>
      <c r="B30">
        <v>3</v>
      </c>
      <c r="C30">
        <v>4</v>
      </c>
      <c r="D30">
        <v>2</v>
      </c>
      <c r="E30">
        <v>13022025</v>
      </c>
      <c r="F30" s="5">
        <v>0.65069444444444446</v>
      </c>
      <c r="G30" s="5">
        <v>0.66527777777777775</v>
      </c>
      <c r="H30" t="s">
        <v>28</v>
      </c>
      <c r="I30">
        <v>46.9</v>
      </c>
      <c r="J30">
        <v>0.04</v>
      </c>
      <c r="K30">
        <v>25.1</v>
      </c>
      <c r="R30">
        <v>1.548</v>
      </c>
      <c r="S30">
        <v>5590669</v>
      </c>
      <c r="U30" s="4">
        <f t="shared" si="15"/>
        <v>25.047750083611113</v>
      </c>
      <c r="V30" s="4">
        <f t="shared" si="16"/>
        <v>0.6719866726021082</v>
      </c>
      <c r="W30" s="4">
        <f t="shared" si="17"/>
        <v>0.67051268913059592</v>
      </c>
      <c r="X30" s="4">
        <f t="shared" si="18"/>
        <v>1.548</v>
      </c>
    </row>
    <row r="31" spans="1:26" x14ac:dyDescent="0.3">
      <c r="A31" t="s">
        <v>39</v>
      </c>
      <c r="B31">
        <v>4</v>
      </c>
      <c r="C31">
        <v>4</v>
      </c>
      <c r="D31">
        <v>1</v>
      </c>
      <c r="E31">
        <v>13022025</v>
      </c>
      <c r="F31" s="5">
        <v>0.64861111111111114</v>
      </c>
      <c r="G31" s="5">
        <v>0.65902777777777777</v>
      </c>
      <c r="H31" t="s">
        <v>28</v>
      </c>
      <c r="I31">
        <v>62.7</v>
      </c>
      <c r="J31">
        <v>0.05</v>
      </c>
      <c r="K31">
        <v>25.7</v>
      </c>
      <c r="R31">
        <v>1.361</v>
      </c>
      <c r="S31">
        <v>9590306</v>
      </c>
      <c r="U31" s="4">
        <f t="shared" si="15"/>
        <v>42.96723485388889</v>
      </c>
      <c r="V31" s="4">
        <f t="shared" si="16"/>
        <v>0.59566146441145462</v>
      </c>
      <c r="W31" s="4">
        <f t="shared" si="17"/>
        <v>0.58632810618833664</v>
      </c>
      <c r="X31" s="4">
        <f t="shared" si="18"/>
        <v>1.361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EEFC-0235-4E88-9007-0CE0804F1C9F}">
  <dimension ref="A1:AE32"/>
  <sheetViews>
    <sheetView zoomScale="107" zoomScaleNormal="107" workbookViewId="0">
      <selection activeCell="S33" sqref="S33"/>
    </sheetView>
  </sheetViews>
  <sheetFormatPr baseColWidth="10" defaultRowHeight="14.4" x14ac:dyDescent="0.3"/>
  <cols>
    <col min="1" max="1" width="7.88671875" bestFit="1" customWidth="1"/>
    <col min="2" max="2" width="9.33203125" bestFit="1" customWidth="1"/>
    <col min="3" max="3" width="4.5546875" bestFit="1" customWidth="1"/>
    <col min="4" max="4" width="16.6640625" bestFit="1" customWidth="1"/>
    <col min="5" max="5" width="9" bestFit="1" customWidth="1"/>
    <col min="8" max="9" width="6" bestFit="1" customWidth="1"/>
    <col min="10" max="10" width="5" bestFit="1" customWidth="1"/>
    <col min="11" max="11" width="8.6640625" bestFit="1" customWidth="1"/>
    <col min="12" max="12" width="7.6640625" hidden="1" customWidth="1"/>
    <col min="13" max="13" width="19.21875" hidden="1" customWidth="1"/>
    <col min="14" max="14" width="6.5546875" hidden="1" customWidth="1"/>
    <col min="15" max="16" width="17.21875" hidden="1" customWidth="1"/>
    <col min="17" max="17" width="17.44140625" hidden="1" customWidth="1"/>
    <col min="18" max="18" width="15.33203125" bestFit="1" customWidth="1"/>
    <col min="19" max="19" width="12.6640625" bestFit="1" customWidth="1"/>
    <col min="20" max="20" width="0" hidden="1" customWidth="1"/>
    <col min="21" max="21" width="9.88671875" bestFit="1" customWidth="1"/>
    <col min="22" max="22" width="24.77734375" bestFit="1" customWidth="1"/>
    <col min="23" max="23" width="29.6640625" bestFit="1" customWidth="1"/>
    <col min="24" max="24" width="18.5546875" bestFit="1" customWidth="1"/>
    <col min="25" max="25" width="0" hidden="1" customWidth="1"/>
    <col min="26" max="26" width="5.88671875" bestFit="1" customWidth="1"/>
    <col min="28" max="31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40</v>
      </c>
      <c r="B3">
        <v>3</v>
      </c>
      <c r="C3">
        <v>1</v>
      </c>
      <c r="D3">
        <v>2</v>
      </c>
      <c r="E3">
        <v>11122024</v>
      </c>
      <c r="F3" s="5">
        <v>0.4548611111111111</v>
      </c>
      <c r="G3" s="5">
        <v>0.46875</v>
      </c>
      <c r="H3" t="s">
        <v>28</v>
      </c>
      <c r="I3">
        <v>53.6</v>
      </c>
      <c r="J3">
        <v>0.03</v>
      </c>
      <c r="K3">
        <v>25</v>
      </c>
      <c r="R3">
        <v>0.127</v>
      </c>
      <c r="S3">
        <f>1750320+150676</f>
        <v>1900996</v>
      </c>
      <c r="U3" s="4">
        <f t="shared" ref="U3:U12" si="0">S3/(1200^2)*2.54^2</f>
        <v>8.5169901344444447</v>
      </c>
      <c r="V3" s="4">
        <f t="shared" ref="V3:V5" si="1">I3*0.000001/18*1000/R3/(U3/10000)</f>
        <v>27.529759628974706</v>
      </c>
      <c r="W3" s="4">
        <f t="shared" ref="W3:W5" si="2">V3/(0.88862*(1/POWER(10,(1.3272*(20-K3)-0.001053*(K3-20)^2)/(K3+105))))</f>
        <v>27.53199499956386</v>
      </c>
      <c r="X3" s="4">
        <f t="shared" ref="X3:X5" si="3">MAX(Q3:R3)</f>
        <v>0.127</v>
      </c>
    </row>
    <row r="4" spans="1:31" x14ac:dyDescent="0.3">
      <c r="A4" t="s">
        <v>40</v>
      </c>
      <c r="B4">
        <v>2</v>
      </c>
      <c r="C4">
        <v>1</v>
      </c>
      <c r="D4">
        <v>1</v>
      </c>
      <c r="E4">
        <v>11122024</v>
      </c>
      <c r="F4" s="5">
        <v>0.46736111111111112</v>
      </c>
      <c r="G4" s="5">
        <v>0.48958333333333331</v>
      </c>
      <c r="H4" t="s">
        <v>28</v>
      </c>
      <c r="I4">
        <v>37</v>
      </c>
      <c r="J4">
        <v>0.05</v>
      </c>
      <c r="K4">
        <v>26</v>
      </c>
      <c r="R4">
        <v>5.2999999999999999E-2</v>
      </c>
      <c r="S4">
        <f>1435104+262842</f>
        <v>1697946</v>
      </c>
      <c r="U4" s="4">
        <f t="shared" si="0"/>
        <v>7.6072697316666664</v>
      </c>
      <c r="V4" s="4">
        <f t="shared" si="1"/>
        <v>50.982899849742452</v>
      </c>
      <c r="W4" s="4">
        <f t="shared" si="2"/>
        <v>49.846112131038282</v>
      </c>
      <c r="X4" s="4">
        <f t="shared" si="3"/>
        <v>5.2999999999999999E-2</v>
      </c>
    </row>
    <row r="5" spans="1:31" x14ac:dyDescent="0.3">
      <c r="A5" t="s">
        <v>40</v>
      </c>
      <c r="B5">
        <v>2</v>
      </c>
      <c r="C5">
        <v>2</v>
      </c>
      <c r="D5">
        <v>2</v>
      </c>
      <c r="E5">
        <v>11122024</v>
      </c>
      <c r="F5" s="5">
        <v>0.47708333333333336</v>
      </c>
      <c r="G5" s="5">
        <v>0.49652777777777779</v>
      </c>
      <c r="H5" t="s">
        <v>28</v>
      </c>
      <c r="I5">
        <v>32.5</v>
      </c>
      <c r="J5">
        <v>0.04</v>
      </c>
      <c r="K5">
        <v>25</v>
      </c>
      <c r="R5">
        <v>0.45800000000000002</v>
      </c>
      <c r="S5">
        <f>2067158+235078</f>
        <v>2302236</v>
      </c>
      <c r="U5" s="4">
        <f t="shared" si="0"/>
        <v>10.314656790000001</v>
      </c>
      <c r="V5" s="4">
        <f t="shared" si="1"/>
        <v>3.8219992371950808</v>
      </c>
      <c r="W5" s="4">
        <f t="shared" si="2"/>
        <v>3.8223095771617839</v>
      </c>
      <c r="X5" s="4">
        <f t="shared" si="3"/>
        <v>0.45800000000000002</v>
      </c>
    </row>
    <row r="6" spans="1:31" x14ac:dyDescent="0.3">
      <c r="A6" t="s">
        <v>40</v>
      </c>
      <c r="B6">
        <v>2</v>
      </c>
      <c r="C6">
        <v>3</v>
      </c>
      <c r="D6">
        <v>1</v>
      </c>
      <c r="E6">
        <v>11122024</v>
      </c>
      <c r="F6" s="5">
        <v>0.49444444444444446</v>
      </c>
      <c r="G6" s="5">
        <v>0.51249999999999996</v>
      </c>
      <c r="H6" t="s">
        <v>28</v>
      </c>
      <c r="I6">
        <v>59.8</v>
      </c>
      <c r="J6">
        <v>0.04</v>
      </c>
      <c r="K6">
        <v>25</v>
      </c>
      <c r="R6">
        <v>0.16500000000000001</v>
      </c>
      <c r="S6">
        <f>2399334+188522</f>
        <v>2587856</v>
      </c>
      <c r="U6" s="4">
        <f t="shared" si="0"/>
        <v>11.594313728888888</v>
      </c>
      <c r="V6" s="4">
        <f t="shared" ref="V6:V12" si="4">I6*0.000001/18*1000/R6/(U6/10000)</f>
        <v>17.365995612583522</v>
      </c>
      <c r="W6" s="4">
        <f t="shared" ref="W6:W12" si="5">V6/(0.88862*(1/POWER(10,(1.3272*(20-K6)-0.001053*(K6-20)^2)/(K6+105))))</f>
        <v>17.367405702477765</v>
      </c>
      <c r="X6" s="4">
        <f t="shared" ref="X6:X12" si="6">MAX(Q6:R6)</f>
        <v>0.16500000000000001</v>
      </c>
    </row>
    <row r="7" spans="1:31" x14ac:dyDescent="0.3">
      <c r="A7" t="s">
        <v>40</v>
      </c>
      <c r="B7">
        <v>1</v>
      </c>
      <c r="C7">
        <v>1</v>
      </c>
      <c r="D7">
        <v>1</v>
      </c>
      <c r="E7">
        <v>11122024</v>
      </c>
      <c r="F7" s="5">
        <v>0.56666666666666665</v>
      </c>
      <c r="G7" s="5">
        <v>0.58263888888888893</v>
      </c>
      <c r="H7" t="s">
        <v>28</v>
      </c>
      <c r="I7">
        <v>49.79</v>
      </c>
      <c r="J7">
        <v>0.05</v>
      </c>
      <c r="K7">
        <v>26</v>
      </c>
      <c r="R7">
        <v>6.2E-2</v>
      </c>
      <c r="S7">
        <f>1378457+104316</f>
        <v>1482773</v>
      </c>
      <c r="U7" s="4">
        <f t="shared" si="0"/>
        <v>6.6432349213888893</v>
      </c>
      <c r="V7" s="4">
        <f t="shared" si="4"/>
        <v>67.158087691371705</v>
      </c>
      <c r="W7" s="4">
        <f t="shared" si="5"/>
        <v>65.660634829251023</v>
      </c>
      <c r="X7" s="4">
        <f t="shared" si="6"/>
        <v>6.2E-2</v>
      </c>
    </row>
    <row r="8" spans="1:31" x14ac:dyDescent="0.3">
      <c r="A8" t="s">
        <v>40</v>
      </c>
      <c r="B8">
        <v>3</v>
      </c>
      <c r="C8">
        <v>2</v>
      </c>
      <c r="D8">
        <v>2</v>
      </c>
      <c r="E8">
        <v>11122024</v>
      </c>
      <c r="F8" s="5">
        <v>0.55833333333333335</v>
      </c>
      <c r="G8" s="5">
        <v>0.57986111111111116</v>
      </c>
      <c r="H8" t="s">
        <v>28</v>
      </c>
      <c r="I8">
        <v>12.83</v>
      </c>
      <c r="J8">
        <v>0.14000000000000001</v>
      </c>
      <c r="K8">
        <v>25</v>
      </c>
      <c r="R8">
        <v>6.8000000000000005E-2</v>
      </c>
      <c r="S8">
        <f>1200871+39078</f>
        <v>1239949</v>
      </c>
      <c r="U8" s="4">
        <f t="shared" si="0"/>
        <v>5.5553159502777776</v>
      </c>
      <c r="V8" s="4">
        <f t="shared" si="4"/>
        <v>18.86846083572749</v>
      </c>
      <c r="W8" s="4">
        <f t="shared" si="5"/>
        <v>18.869992923293211</v>
      </c>
      <c r="X8" s="4">
        <f t="shared" si="6"/>
        <v>6.8000000000000005E-2</v>
      </c>
      <c r="Z8" t="s">
        <v>41</v>
      </c>
    </row>
    <row r="9" spans="1:31" x14ac:dyDescent="0.3">
      <c r="A9" t="s">
        <v>40</v>
      </c>
      <c r="B9">
        <v>3</v>
      </c>
      <c r="C9">
        <v>3</v>
      </c>
      <c r="D9">
        <v>2</v>
      </c>
      <c r="E9">
        <v>11122024</v>
      </c>
      <c r="F9" s="5">
        <v>0.58750000000000002</v>
      </c>
      <c r="G9" s="5">
        <v>0.60138888888888886</v>
      </c>
      <c r="H9" t="s">
        <v>28</v>
      </c>
      <c r="I9">
        <v>52.53</v>
      </c>
      <c r="J9">
        <v>0.03</v>
      </c>
      <c r="K9">
        <v>24</v>
      </c>
      <c r="R9">
        <v>8.4000000000000005E-2</v>
      </c>
      <c r="S9">
        <f>1812812</f>
        <v>1812812</v>
      </c>
      <c r="U9" s="4">
        <f t="shared" si="0"/>
        <v>8.121901318888888</v>
      </c>
      <c r="V9" s="4">
        <f t="shared" si="4"/>
        <v>42.775776419820332</v>
      </c>
      <c r="W9" s="4">
        <f t="shared" si="5"/>
        <v>43.772134448325623</v>
      </c>
      <c r="X9" s="4">
        <f t="shared" si="6"/>
        <v>8.4000000000000005E-2</v>
      </c>
    </row>
    <row r="10" spans="1:31" x14ac:dyDescent="0.3">
      <c r="A10" t="s">
        <v>40</v>
      </c>
      <c r="B10">
        <v>1</v>
      </c>
      <c r="C10">
        <v>2</v>
      </c>
      <c r="D10">
        <v>1</v>
      </c>
      <c r="E10">
        <v>11122024</v>
      </c>
      <c r="F10" s="5">
        <v>0.59375</v>
      </c>
      <c r="G10" s="5">
        <v>0.6069444444444444</v>
      </c>
      <c r="H10" t="s">
        <v>28</v>
      </c>
      <c r="I10">
        <v>89.67</v>
      </c>
      <c r="J10">
        <v>0.02</v>
      </c>
      <c r="K10">
        <v>26</v>
      </c>
      <c r="R10">
        <v>0.03</v>
      </c>
      <c r="S10">
        <f>1446626+185177</f>
        <v>1631803</v>
      </c>
      <c r="U10" s="4">
        <f t="shared" si="0"/>
        <v>7.310930718611111</v>
      </c>
      <c r="V10" s="4">
        <f t="shared" si="4"/>
        <v>227.13326380297286</v>
      </c>
      <c r="W10" s="4">
        <f t="shared" si="5"/>
        <v>222.06877540467869</v>
      </c>
      <c r="X10" s="4">
        <f t="shared" si="6"/>
        <v>0.03</v>
      </c>
    </row>
    <row r="11" spans="1:31" x14ac:dyDescent="0.3">
      <c r="A11" t="s">
        <v>40</v>
      </c>
      <c r="B11">
        <v>1</v>
      </c>
      <c r="C11">
        <v>4</v>
      </c>
      <c r="D11">
        <v>1</v>
      </c>
      <c r="E11">
        <v>11122024</v>
      </c>
      <c r="F11" s="5">
        <v>0.61458333333333337</v>
      </c>
      <c r="G11" s="5">
        <v>0.63611111111111107</v>
      </c>
      <c r="H11" t="s">
        <v>28</v>
      </c>
      <c r="I11">
        <v>26.73</v>
      </c>
      <c r="J11">
        <v>0.09</v>
      </c>
      <c r="K11">
        <v>26</v>
      </c>
      <c r="R11">
        <v>0.223</v>
      </c>
      <c r="S11">
        <f>1729485</f>
        <v>1729485</v>
      </c>
      <c r="U11" s="4">
        <f t="shared" si="0"/>
        <v>7.7485732125000002</v>
      </c>
      <c r="V11" s="4">
        <f t="shared" si="4"/>
        <v>8.5940890567691817</v>
      </c>
      <c r="W11" s="4">
        <f t="shared" si="5"/>
        <v>8.40246294444567</v>
      </c>
      <c r="X11" s="4">
        <f t="shared" si="6"/>
        <v>0.223</v>
      </c>
      <c r="Z11" t="s">
        <v>42</v>
      </c>
    </row>
    <row r="12" spans="1:31" x14ac:dyDescent="0.3">
      <c r="A12" t="s">
        <v>40</v>
      </c>
      <c r="B12">
        <v>1</v>
      </c>
      <c r="C12">
        <v>3</v>
      </c>
      <c r="D12">
        <v>2</v>
      </c>
      <c r="E12">
        <v>11122024</v>
      </c>
      <c r="F12" s="5">
        <v>0.61319444444444449</v>
      </c>
      <c r="G12" s="5">
        <v>0.62986111111111109</v>
      </c>
      <c r="H12" t="s">
        <v>28</v>
      </c>
      <c r="I12">
        <v>18.670000000000002</v>
      </c>
      <c r="J12">
        <v>0.05</v>
      </c>
      <c r="K12">
        <v>24</v>
      </c>
      <c r="R12">
        <v>0.216</v>
      </c>
      <c r="S12">
        <f>71031+1479389+188755</f>
        <v>1739175</v>
      </c>
      <c r="U12" s="4">
        <f t="shared" si="0"/>
        <v>7.7919871041666671</v>
      </c>
      <c r="V12" s="4">
        <f t="shared" si="4"/>
        <v>6.1626831106310531</v>
      </c>
      <c r="W12" s="4">
        <f t="shared" si="5"/>
        <v>6.3062278761111283</v>
      </c>
      <c r="X12" s="4">
        <f t="shared" si="6"/>
        <v>0.216</v>
      </c>
    </row>
    <row r="13" spans="1:31" x14ac:dyDescent="0.3">
      <c r="A13" t="s">
        <v>40</v>
      </c>
      <c r="B13">
        <v>2</v>
      </c>
      <c r="C13">
        <v>4</v>
      </c>
      <c r="D13">
        <v>2</v>
      </c>
      <c r="E13">
        <v>11142024</v>
      </c>
      <c r="F13" s="5">
        <v>0.38055555555555554</v>
      </c>
      <c r="G13" s="5">
        <v>0.39513888888888887</v>
      </c>
      <c r="H13" t="s">
        <v>28</v>
      </c>
      <c r="I13">
        <v>31.87</v>
      </c>
      <c r="J13">
        <v>0.08</v>
      </c>
      <c r="K13">
        <f>AVERAGE(K14:K23)</f>
        <v>24.7</v>
      </c>
      <c r="R13">
        <v>0.14499999999999999</v>
      </c>
      <c r="S13">
        <f>1287085+39249</f>
        <v>1326334</v>
      </c>
      <c r="U13" s="4">
        <f t="shared" ref="U13:U19" si="7">S13/(1200^2)*2.54^2</f>
        <v>5.942344746111111</v>
      </c>
      <c r="V13" s="4">
        <f t="shared" ref="V13:V19" si="8">I13*0.000001/18*1000/R13/(U13/10000)</f>
        <v>20.548669744110367</v>
      </c>
      <c r="W13" s="4">
        <f t="shared" ref="W13:W19" si="9">V13/(0.88862*(1/POWER(10,(1.3272*(20-K13)-0.001053*(K13-20)^2)/(K13+105))))</f>
        <v>20.691592373646152</v>
      </c>
      <c r="X13" s="4">
        <f t="shared" ref="X13:X19" si="10">MAX(Q13:R13)</f>
        <v>0.14499999999999999</v>
      </c>
    </row>
    <row r="14" spans="1:31" x14ac:dyDescent="0.3">
      <c r="A14" t="s">
        <v>40</v>
      </c>
      <c r="B14">
        <v>1</v>
      </c>
      <c r="C14">
        <v>5</v>
      </c>
      <c r="D14">
        <v>1</v>
      </c>
      <c r="E14">
        <v>11142024</v>
      </c>
      <c r="F14" s="5">
        <v>0.49930555555555556</v>
      </c>
      <c r="G14" s="5">
        <v>0.51527777777777772</v>
      </c>
      <c r="H14" t="s">
        <v>28</v>
      </c>
      <c r="I14">
        <v>23.53</v>
      </c>
      <c r="J14">
        <v>0.05</v>
      </c>
      <c r="K14">
        <v>25</v>
      </c>
      <c r="R14">
        <v>0.66200000000000003</v>
      </c>
      <c r="S14">
        <f>1128124+232043</f>
        <v>1360167</v>
      </c>
      <c r="U14" s="4">
        <f t="shared" si="7"/>
        <v>6.0939259841666669</v>
      </c>
      <c r="V14" s="4">
        <f t="shared" si="8"/>
        <v>3.2403674247727388</v>
      </c>
      <c r="W14" s="4">
        <f t="shared" si="9"/>
        <v>3.2406305372058664</v>
      </c>
      <c r="X14" s="4">
        <f t="shared" si="10"/>
        <v>0.66200000000000003</v>
      </c>
    </row>
    <row r="15" spans="1:31" x14ac:dyDescent="0.3">
      <c r="A15" t="s">
        <v>40</v>
      </c>
      <c r="B15">
        <v>2</v>
      </c>
      <c r="C15">
        <v>5</v>
      </c>
      <c r="D15">
        <v>2</v>
      </c>
      <c r="E15">
        <v>11142024</v>
      </c>
      <c r="F15" s="5">
        <v>0.4861111111111111</v>
      </c>
      <c r="G15" s="5">
        <v>0.50277777777777777</v>
      </c>
      <c r="H15" t="s">
        <v>28</v>
      </c>
      <c r="I15">
        <v>37.06</v>
      </c>
      <c r="J15">
        <v>0.04</v>
      </c>
      <c r="K15">
        <v>25</v>
      </c>
      <c r="R15">
        <v>0.28999999999999998</v>
      </c>
      <c r="S15">
        <f>1543467+119585</f>
        <v>1663052</v>
      </c>
      <c r="U15" s="4">
        <f t="shared" si="7"/>
        <v>7.4509349188888887</v>
      </c>
      <c r="V15" s="4">
        <f t="shared" si="8"/>
        <v>9.5284913041439765</v>
      </c>
      <c r="W15" s="4">
        <f t="shared" si="9"/>
        <v>9.529265001753668</v>
      </c>
      <c r="X15" s="4">
        <f t="shared" si="10"/>
        <v>0.28999999999999998</v>
      </c>
    </row>
    <row r="16" spans="1:31" x14ac:dyDescent="0.3">
      <c r="A16" t="s">
        <v>40</v>
      </c>
      <c r="B16">
        <v>1</v>
      </c>
      <c r="C16">
        <v>6</v>
      </c>
      <c r="D16">
        <v>2</v>
      </c>
      <c r="E16">
        <v>11142024</v>
      </c>
      <c r="F16" s="5">
        <v>0.51666666666666672</v>
      </c>
      <c r="G16" s="5">
        <v>0.53541666666666665</v>
      </c>
      <c r="H16" t="s">
        <v>28</v>
      </c>
      <c r="I16">
        <v>22.57</v>
      </c>
      <c r="J16">
        <v>0.05</v>
      </c>
      <c r="K16">
        <v>25</v>
      </c>
      <c r="R16">
        <v>0.26</v>
      </c>
      <c r="S16">
        <f>1241846+110109</f>
        <v>1351955</v>
      </c>
      <c r="U16" s="4">
        <f t="shared" si="7"/>
        <v>6.0571339430555549</v>
      </c>
      <c r="V16" s="4">
        <f t="shared" si="8"/>
        <v>7.9619331815811885</v>
      </c>
      <c r="W16" s="4">
        <f t="shared" si="9"/>
        <v>7.9625796772828146</v>
      </c>
      <c r="X16" s="4">
        <f t="shared" si="10"/>
        <v>0.26</v>
      </c>
    </row>
    <row r="17" spans="1:26" x14ac:dyDescent="0.3">
      <c r="A17" t="s">
        <v>40</v>
      </c>
      <c r="B17">
        <v>3</v>
      </c>
      <c r="C17">
        <v>4</v>
      </c>
      <c r="D17">
        <v>1</v>
      </c>
      <c r="E17">
        <v>11142024</v>
      </c>
      <c r="F17" s="5">
        <v>0.52013888888888893</v>
      </c>
      <c r="G17" s="5">
        <v>0.54236111111111107</v>
      </c>
      <c r="H17" t="s">
        <v>28</v>
      </c>
      <c r="I17">
        <v>23.63</v>
      </c>
      <c r="J17">
        <v>0.05</v>
      </c>
      <c r="K17">
        <v>25</v>
      </c>
      <c r="R17">
        <v>0.26900000000000002</v>
      </c>
      <c r="S17">
        <f>1138113+152939</f>
        <v>1291052</v>
      </c>
      <c r="U17" s="4">
        <f t="shared" si="7"/>
        <v>5.7842715855555555</v>
      </c>
      <c r="V17" s="4">
        <f t="shared" si="8"/>
        <v>8.4370429622717289</v>
      </c>
      <c r="W17" s="4">
        <f t="shared" si="9"/>
        <v>8.4377280360955282</v>
      </c>
      <c r="X17" s="4">
        <f t="shared" si="10"/>
        <v>0.26900000000000002</v>
      </c>
    </row>
    <row r="18" spans="1:26" x14ac:dyDescent="0.3">
      <c r="A18" t="s">
        <v>40</v>
      </c>
      <c r="B18">
        <v>3</v>
      </c>
      <c r="C18">
        <v>5</v>
      </c>
      <c r="D18">
        <v>2</v>
      </c>
      <c r="E18">
        <v>11142024</v>
      </c>
      <c r="F18" s="5">
        <v>0.54166666666666663</v>
      </c>
      <c r="G18" s="5">
        <v>0.56388888888888888</v>
      </c>
      <c r="H18" t="s">
        <v>28</v>
      </c>
      <c r="I18">
        <v>17.13</v>
      </c>
      <c r="J18">
        <v>0.107</v>
      </c>
      <c r="K18">
        <v>25</v>
      </c>
      <c r="R18">
        <v>1.349</v>
      </c>
      <c r="S18">
        <f>1558458+311647+129901</f>
        <v>2000006</v>
      </c>
      <c r="U18" s="4">
        <f t="shared" si="7"/>
        <v>8.9605824372222234</v>
      </c>
      <c r="V18" s="4">
        <f>I18*0.000001/18*1000/R18/(U18/10000)</f>
        <v>0.7872935047794174</v>
      </c>
      <c r="W18" s="4">
        <f t="shared" si="9"/>
        <v>0.78735743169956984</v>
      </c>
      <c r="X18" s="4">
        <f t="shared" si="10"/>
        <v>1.349</v>
      </c>
    </row>
    <row r="19" spans="1:26" x14ac:dyDescent="0.3">
      <c r="A19" t="s">
        <v>40</v>
      </c>
      <c r="B19">
        <v>3</v>
      </c>
      <c r="C19">
        <v>6</v>
      </c>
      <c r="D19">
        <v>1</v>
      </c>
      <c r="E19">
        <v>11142024</v>
      </c>
      <c r="F19" s="5">
        <v>0.54861111111111116</v>
      </c>
      <c r="G19" s="5">
        <v>0.56527777777777777</v>
      </c>
      <c r="H19" t="s">
        <v>28</v>
      </c>
      <c r="I19">
        <v>11.73</v>
      </c>
      <c r="J19">
        <v>0.1</v>
      </c>
      <c r="K19">
        <v>25</v>
      </c>
      <c r="R19">
        <v>0.159</v>
      </c>
      <c r="S19">
        <f>1526568+201071</f>
        <v>1727639</v>
      </c>
      <c r="U19" s="4">
        <f t="shared" si="7"/>
        <v>7.7403026197222218</v>
      </c>
      <c r="V19" s="4">
        <f t="shared" si="8"/>
        <v>5.2950545942685565</v>
      </c>
      <c r="W19" s="4">
        <f t="shared" si="9"/>
        <v>5.2954845438746379</v>
      </c>
      <c r="X19" s="4">
        <f t="shared" si="10"/>
        <v>0.159</v>
      </c>
    </row>
    <row r="20" spans="1:26" x14ac:dyDescent="0.3">
      <c r="A20" t="s">
        <v>40</v>
      </c>
      <c r="B20">
        <v>3</v>
      </c>
      <c r="C20">
        <v>7</v>
      </c>
      <c r="D20">
        <v>2</v>
      </c>
      <c r="E20">
        <v>11142024</v>
      </c>
      <c r="F20" s="5">
        <v>0.57013888888888886</v>
      </c>
      <c r="G20" s="5">
        <v>0.59166666666666667</v>
      </c>
      <c r="H20" t="s">
        <v>28</v>
      </c>
      <c r="I20">
        <v>38.799999999999997</v>
      </c>
      <c r="J20">
        <v>0.05</v>
      </c>
      <c r="K20">
        <v>24</v>
      </c>
      <c r="R20">
        <v>0.67500000000000004</v>
      </c>
      <c r="S20">
        <f>2230269+53409</f>
        <v>2283678</v>
      </c>
      <c r="U20" s="4">
        <f t="shared" ref="U20:U23" si="11">S20/(1200^2)*2.54^2</f>
        <v>10.231511794999999</v>
      </c>
      <c r="V20" s="4">
        <f t="shared" ref="V20:V23" si="12">I20*0.000001/18*1000/R20/(U20/10000)</f>
        <v>3.1211571680156411</v>
      </c>
      <c r="W20" s="4">
        <f t="shared" ref="W20:W23" si="13">V20/(0.88862*(1/POWER(10,(1.3272*(20-K20)-0.001053*(K20-20)^2)/(K20+105))))</f>
        <v>3.1938569589454042</v>
      </c>
      <c r="X20" s="4">
        <f t="shared" ref="X20:X32" si="14">MAX(Q20:R20)</f>
        <v>0.67500000000000004</v>
      </c>
    </row>
    <row r="21" spans="1:26" x14ac:dyDescent="0.3">
      <c r="A21" t="s">
        <v>40</v>
      </c>
      <c r="B21">
        <v>2</v>
      </c>
      <c r="C21">
        <v>6</v>
      </c>
      <c r="D21">
        <v>1</v>
      </c>
      <c r="E21">
        <v>11142024</v>
      </c>
      <c r="F21" s="5">
        <v>0.57361111111111107</v>
      </c>
      <c r="G21" s="5">
        <v>0.59375</v>
      </c>
      <c r="H21" t="s">
        <v>28</v>
      </c>
      <c r="I21">
        <v>31.43</v>
      </c>
      <c r="J21">
        <v>0.05</v>
      </c>
      <c r="K21">
        <v>25</v>
      </c>
      <c r="R21">
        <v>1.0209999999999999</v>
      </c>
      <c r="S21">
        <f>2480654+621453</f>
        <v>3102107</v>
      </c>
      <c r="U21" s="4">
        <f t="shared" si="11"/>
        <v>13.89830105638889</v>
      </c>
      <c r="V21" s="4">
        <f t="shared" si="12"/>
        <v>1.2305079359735394</v>
      </c>
      <c r="W21" s="4">
        <f t="shared" si="13"/>
        <v>1.2306078511666565</v>
      </c>
      <c r="X21" s="4">
        <f t="shared" si="14"/>
        <v>1.0209999999999999</v>
      </c>
      <c r="Z21" t="s">
        <v>43</v>
      </c>
    </row>
    <row r="22" spans="1:26" x14ac:dyDescent="0.3">
      <c r="A22" t="s">
        <v>40</v>
      </c>
      <c r="B22">
        <v>3</v>
      </c>
      <c r="C22">
        <v>9</v>
      </c>
      <c r="D22">
        <v>1</v>
      </c>
      <c r="E22">
        <v>11142024</v>
      </c>
      <c r="F22" s="5">
        <v>0.60416666666666663</v>
      </c>
      <c r="G22" s="5">
        <v>0.62569444444444444</v>
      </c>
      <c r="H22" t="s">
        <v>28</v>
      </c>
      <c r="I22">
        <v>43.73</v>
      </c>
      <c r="J22">
        <v>0.05</v>
      </c>
      <c r="K22">
        <v>24</v>
      </c>
      <c r="R22">
        <v>6.6000000000000003E-2</v>
      </c>
      <c r="S22">
        <f>1120779+104338</f>
        <v>1225117</v>
      </c>
      <c r="U22" s="4">
        <f t="shared" si="11"/>
        <v>5.488864470277778</v>
      </c>
      <c r="V22" s="4">
        <f t="shared" si="12"/>
        <v>67.062621985092406</v>
      </c>
      <c r="W22" s="4">
        <f t="shared" si="13"/>
        <v>68.624683212729224</v>
      </c>
      <c r="X22" s="4">
        <f t="shared" si="14"/>
        <v>6.6000000000000003E-2</v>
      </c>
      <c r="Z22" t="s">
        <v>43</v>
      </c>
    </row>
    <row r="23" spans="1:26" x14ac:dyDescent="0.3">
      <c r="A23" t="s">
        <v>40</v>
      </c>
      <c r="B23">
        <v>3</v>
      </c>
      <c r="C23">
        <v>8</v>
      </c>
      <c r="D23">
        <v>2</v>
      </c>
      <c r="E23">
        <v>11142024</v>
      </c>
      <c r="F23" s="5">
        <v>0.59861111111111109</v>
      </c>
      <c r="G23" s="5">
        <v>0.61458333333333337</v>
      </c>
      <c r="H23" t="s">
        <v>28</v>
      </c>
      <c r="I23">
        <v>71.2</v>
      </c>
      <c r="J23">
        <v>0.04</v>
      </c>
      <c r="K23">
        <v>24</v>
      </c>
      <c r="R23">
        <v>0.95199999999999996</v>
      </c>
      <c r="S23">
        <f>1087393+25308+158492</f>
        <v>1271193</v>
      </c>
      <c r="U23" s="4">
        <f t="shared" si="11"/>
        <v>5.6952977491666665</v>
      </c>
      <c r="V23" s="4">
        <f t="shared" si="12"/>
        <v>7.2954839491471306</v>
      </c>
      <c r="W23" s="4">
        <f t="shared" si="13"/>
        <v>7.4654145643912333</v>
      </c>
      <c r="X23" s="4">
        <f t="shared" si="14"/>
        <v>0.95199999999999996</v>
      </c>
      <c r="Z23" t="s">
        <v>43</v>
      </c>
    </row>
    <row r="24" spans="1:26" x14ac:dyDescent="0.3">
      <c r="A24" t="s">
        <v>40</v>
      </c>
      <c r="B24">
        <v>1</v>
      </c>
      <c r="C24">
        <v>7</v>
      </c>
      <c r="D24">
        <v>1</v>
      </c>
      <c r="E24">
        <v>12122024</v>
      </c>
      <c r="F24" s="5">
        <v>0.51736111111111116</v>
      </c>
      <c r="G24" s="5">
        <v>0.53611111111111109</v>
      </c>
      <c r="H24">
        <v>0</v>
      </c>
      <c r="I24">
        <v>11.7</v>
      </c>
      <c r="J24">
        <v>0.1</v>
      </c>
      <c r="K24">
        <v>23</v>
      </c>
      <c r="R24">
        <v>7.6999999999999999E-2</v>
      </c>
      <c r="S24">
        <v>1849785</v>
      </c>
      <c r="U24" s="4">
        <f t="shared" ref="U24:U32" si="15">S24/(1200^2)*2.54^2</f>
        <v>8.2875506291666667</v>
      </c>
      <c r="V24" s="4">
        <f t="shared" ref="V24:V32" si="16">I24*0.000001/18*1000/R24/(U24/10000)</f>
        <v>10.18583031257724</v>
      </c>
      <c r="W24" s="4">
        <f t="shared" ref="W24:W32" si="17">V24/(0.88862*(1/POWER(10,(1.3272*(20-K24)-0.001053*(K24-20)^2)/(K24+105))))</f>
        <v>10.668419001876826</v>
      </c>
      <c r="X24" s="4">
        <f t="shared" si="14"/>
        <v>7.6999999999999999E-2</v>
      </c>
      <c r="Z24" t="s">
        <v>67</v>
      </c>
    </row>
    <row r="25" spans="1:26" x14ac:dyDescent="0.3">
      <c r="A25" t="s">
        <v>40</v>
      </c>
      <c r="B25">
        <v>1</v>
      </c>
      <c r="C25">
        <v>8</v>
      </c>
      <c r="D25">
        <v>1</v>
      </c>
      <c r="E25">
        <v>12122024</v>
      </c>
      <c r="F25" s="5">
        <v>0.54027777777777775</v>
      </c>
      <c r="G25" s="5">
        <v>0.55347222222222225</v>
      </c>
      <c r="H25">
        <v>0</v>
      </c>
      <c r="I25">
        <v>34.270000000000003</v>
      </c>
      <c r="J25">
        <v>0.05</v>
      </c>
      <c r="K25">
        <v>23</v>
      </c>
      <c r="R25">
        <v>0.104</v>
      </c>
      <c r="S25">
        <v>3017289</v>
      </c>
      <c r="U25" s="4">
        <f t="shared" si="15"/>
        <v>13.518292855833332</v>
      </c>
      <c r="V25" s="4">
        <f t="shared" si="16"/>
        <v>13.542112252527783</v>
      </c>
      <c r="W25" s="4">
        <f t="shared" si="17"/>
        <v>14.183716324237642</v>
      </c>
      <c r="X25" s="4">
        <f t="shared" si="14"/>
        <v>0.104</v>
      </c>
    </row>
    <row r="26" spans="1:26" x14ac:dyDescent="0.3">
      <c r="A26" t="s">
        <v>40</v>
      </c>
      <c r="B26">
        <v>1</v>
      </c>
      <c r="C26">
        <v>9</v>
      </c>
      <c r="D26">
        <v>2</v>
      </c>
      <c r="E26">
        <v>12122024</v>
      </c>
      <c r="F26" s="5">
        <v>0.54861111111111116</v>
      </c>
      <c r="G26" s="5">
        <v>0.56111111111111112</v>
      </c>
      <c r="H26">
        <v>0</v>
      </c>
      <c r="I26">
        <v>32.6</v>
      </c>
      <c r="J26">
        <v>0.05</v>
      </c>
      <c r="K26">
        <v>23</v>
      </c>
      <c r="R26">
        <v>0.14899999999999999</v>
      </c>
      <c r="S26">
        <v>1989031</v>
      </c>
      <c r="U26" s="4">
        <f t="shared" si="15"/>
        <v>8.9114113886111124</v>
      </c>
      <c r="V26" s="4">
        <f t="shared" si="16"/>
        <v>13.639936030556127</v>
      </c>
      <c r="W26" s="4">
        <f t="shared" si="17"/>
        <v>14.286174839677892</v>
      </c>
      <c r="X26" s="4">
        <f t="shared" si="14"/>
        <v>0.14899999999999999</v>
      </c>
    </row>
    <row r="27" spans="1:26" x14ac:dyDescent="0.3">
      <c r="A27" t="s">
        <v>40</v>
      </c>
      <c r="B27">
        <v>1</v>
      </c>
      <c r="C27">
        <v>10</v>
      </c>
      <c r="D27">
        <v>1</v>
      </c>
      <c r="E27">
        <v>12122024</v>
      </c>
      <c r="F27" s="5">
        <v>0.55902777777777779</v>
      </c>
      <c r="G27" s="5">
        <v>0.5756944444444444</v>
      </c>
      <c r="H27">
        <v>0</v>
      </c>
      <c r="I27">
        <v>65.2</v>
      </c>
      <c r="J27">
        <v>0.04</v>
      </c>
      <c r="K27">
        <v>24</v>
      </c>
      <c r="R27">
        <v>0.32300000000000001</v>
      </c>
      <c r="S27">
        <v>1588721</v>
      </c>
      <c r="U27" s="4">
        <f t="shared" si="15"/>
        <v>7.1179113913888887</v>
      </c>
      <c r="V27" s="4">
        <f t="shared" si="16"/>
        <v>15.755057444357304</v>
      </c>
      <c r="W27" s="4">
        <f t="shared" si="17"/>
        <v>16.122033319211884</v>
      </c>
      <c r="X27" s="4">
        <f t="shared" si="14"/>
        <v>0.32300000000000001</v>
      </c>
    </row>
    <row r="28" spans="1:26" x14ac:dyDescent="0.3">
      <c r="A28" t="s">
        <v>40</v>
      </c>
      <c r="B28">
        <v>1</v>
      </c>
      <c r="C28">
        <v>11</v>
      </c>
      <c r="D28">
        <v>2</v>
      </c>
      <c r="E28">
        <v>12122024</v>
      </c>
      <c r="F28" s="5">
        <v>0.56666666666666665</v>
      </c>
      <c r="G28" s="5">
        <v>0.57916666666666672</v>
      </c>
      <c r="H28">
        <v>0</v>
      </c>
      <c r="I28">
        <v>23.17</v>
      </c>
      <c r="J28">
        <v>0.06</v>
      </c>
      <c r="K28">
        <v>23</v>
      </c>
      <c r="R28">
        <v>0.104</v>
      </c>
      <c r="S28">
        <v>1908967</v>
      </c>
      <c r="U28" s="4">
        <f t="shared" si="15"/>
        <v>8.5527024286111111</v>
      </c>
      <c r="V28" s="4">
        <f t="shared" si="16"/>
        <v>14.471609243333278</v>
      </c>
      <c r="W28" s="4">
        <f t="shared" si="17"/>
        <v>15.157251426884335</v>
      </c>
      <c r="X28" s="4">
        <f t="shared" si="14"/>
        <v>0.104</v>
      </c>
      <c r="Z28" t="s">
        <v>68</v>
      </c>
    </row>
    <row r="29" spans="1:26" x14ac:dyDescent="0.3">
      <c r="A29" t="s">
        <v>40</v>
      </c>
      <c r="B29">
        <v>1</v>
      </c>
      <c r="C29">
        <v>12</v>
      </c>
      <c r="D29">
        <v>1</v>
      </c>
      <c r="E29">
        <v>12122024</v>
      </c>
      <c r="F29" s="5">
        <v>0.58194444444444449</v>
      </c>
      <c r="G29" s="5">
        <v>0.59722222222222221</v>
      </c>
      <c r="H29">
        <v>0</v>
      </c>
      <c r="I29">
        <v>13.47</v>
      </c>
      <c r="J29">
        <v>0.09</v>
      </c>
      <c r="K29">
        <v>24</v>
      </c>
      <c r="R29">
        <v>5.2999999999999999E-2</v>
      </c>
      <c r="S29">
        <v>2715744</v>
      </c>
      <c r="U29" s="4">
        <f t="shared" si="15"/>
        <v>12.167287493333333</v>
      </c>
      <c r="V29" s="4">
        <f t="shared" si="16"/>
        <v>11.604473768769109</v>
      </c>
      <c r="W29" s="4">
        <f t="shared" si="17"/>
        <v>11.874771857402628</v>
      </c>
      <c r="X29" s="4">
        <f t="shared" si="14"/>
        <v>5.2999999999999999E-2</v>
      </c>
      <c r="Z29" t="s">
        <v>69</v>
      </c>
    </row>
    <row r="30" spans="1:26" x14ac:dyDescent="0.3">
      <c r="A30" t="s">
        <v>40</v>
      </c>
      <c r="B30">
        <v>1</v>
      </c>
      <c r="C30">
        <v>13</v>
      </c>
      <c r="D30">
        <v>1</v>
      </c>
      <c r="E30">
        <v>12192024</v>
      </c>
      <c r="F30" s="5">
        <v>0.57777777777777772</v>
      </c>
      <c r="G30" s="5">
        <v>0.59513888888888888</v>
      </c>
      <c r="H30">
        <v>0</v>
      </c>
      <c r="I30">
        <v>33.03</v>
      </c>
      <c r="J30">
        <v>0.03</v>
      </c>
      <c r="K30">
        <v>23</v>
      </c>
      <c r="R30">
        <v>0.34599999999999997</v>
      </c>
      <c r="S30">
        <v>2043504</v>
      </c>
      <c r="U30" s="4">
        <f t="shared" si="15"/>
        <v>9.1554655599999997</v>
      </c>
      <c r="V30" s="4">
        <f t="shared" si="16"/>
        <v>5.792679982614108</v>
      </c>
      <c r="W30" s="4">
        <f t="shared" si="17"/>
        <v>6.0671280889103514</v>
      </c>
      <c r="X30" s="4">
        <f t="shared" si="14"/>
        <v>0.34599999999999997</v>
      </c>
      <c r="Z30" t="s">
        <v>78</v>
      </c>
    </row>
    <row r="31" spans="1:26" x14ac:dyDescent="0.3">
      <c r="A31" t="s">
        <v>40</v>
      </c>
      <c r="B31">
        <v>3</v>
      </c>
      <c r="C31">
        <v>9</v>
      </c>
      <c r="D31">
        <v>2</v>
      </c>
      <c r="E31">
        <v>12192024</v>
      </c>
      <c r="F31" s="5">
        <v>0.57152777777777775</v>
      </c>
      <c r="G31" s="5">
        <v>0.58888888888888891</v>
      </c>
      <c r="H31">
        <v>0</v>
      </c>
      <c r="I31">
        <v>35.53</v>
      </c>
      <c r="J31">
        <v>0.03</v>
      </c>
      <c r="K31">
        <v>23</v>
      </c>
      <c r="R31">
        <v>0.435</v>
      </c>
      <c r="S31">
        <v>2118510</v>
      </c>
      <c r="U31" s="4">
        <f t="shared" si="15"/>
        <v>9.4915132750000009</v>
      </c>
      <c r="V31" s="4">
        <f t="shared" si="16"/>
        <v>4.7807714904566918</v>
      </c>
      <c r="W31" s="4">
        <f t="shared" si="17"/>
        <v>5.0072769570332865</v>
      </c>
      <c r="X31" s="4">
        <f t="shared" si="14"/>
        <v>0.435</v>
      </c>
      <c r="Z31" t="s">
        <v>78</v>
      </c>
    </row>
    <row r="32" spans="1:26" x14ac:dyDescent="0.3">
      <c r="A32" t="s">
        <v>40</v>
      </c>
      <c r="B32">
        <v>3</v>
      </c>
      <c r="C32">
        <v>10</v>
      </c>
      <c r="D32">
        <v>1</v>
      </c>
      <c r="E32">
        <v>12192024</v>
      </c>
      <c r="F32" s="5">
        <v>0.60347222222222219</v>
      </c>
      <c r="G32" s="5">
        <v>0.62152777777777779</v>
      </c>
      <c r="H32">
        <v>0</v>
      </c>
      <c r="I32">
        <v>11.43</v>
      </c>
      <c r="J32">
        <v>0.06</v>
      </c>
      <c r="K32">
        <v>23</v>
      </c>
      <c r="R32">
        <v>0.69</v>
      </c>
      <c r="S32">
        <v>1508781</v>
      </c>
      <c r="U32" s="4">
        <f t="shared" si="15"/>
        <v>6.7597579858333336</v>
      </c>
      <c r="V32" s="4">
        <f t="shared" si="16"/>
        <v>1.3614242654857587</v>
      </c>
      <c r="W32" s="4">
        <f t="shared" si="17"/>
        <v>1.4259264152074329</v>
      </c>
      <c r="X32" s="4">
        <f t="shared" si="14"/>
        <v>0.69</v>
      </c>
      <c r="Z32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35CC-828A-4290-B5E8-9F6A0266471F}">
  <dimension ref="A1:AE36"/>
  <sheetViews>
    <sheetView workbookViewId="0">
      <selection activeCell="E36" sqref="E36"/>
    </sheetView>
  </sheetViews>
  <sheetFormatPr baseColWidth="10" defaultRowHeight="14.4" x14ac:dyDescent="0.3"/>
  <cols>
    <col min="3" max="3" width="4.5546875" bestFit="1" customWidth="1"/>
    <col min="4" max="4" width="0" hidden="1" customWidth="1"/>
    <col min="5" max="5" width="9" bestFit="1" customWidth="1"/>
    <col min="6" max="6" width="9.44140625" bestFit="1" customWidth="1"/>
    <col min="7" max="7" width="8.5546875" bestFit="1" customWidth="1"/>
    <col min="8" max="10" width="6" bestFit="1" customWidth="1"/>
    <col min="11" max="11" width="8.88671875" bestFit="1" customWidth="1"/>
    <col min="12" max="12" width="7.77734375" hidden="1" customWidth="1"/>
    <col min="13" max="13" width="19.6640625" hidden="1" customWidth="1"/>
    <col min="14" max="14" width="6.6640625" hidden="1" customWidth="1"/>
    <col min="15" max="16" width="17.77734375" hidden="1" customWidth="1"/>
    <col min="17" max="17" width="17.88671875" hidden="1" customWidth="1"/>
    <col min="18" max="18" width="16" bestFit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44</v>
      </c>
      <c r="B3">
        <v>3</v>
      </c>
      <c r="C3">
        <v>1</v>
      </c>
      <c r="D3">
        <v>2</v>
      </c>
      <c r="E3">
        <v>11192024</v>
      </c>
      <c r="F3" s="5">
        <v>0.45833333333333331</v>
      </c>
      <c r="G3" s="5">
        <v>0.47430555555555554</v>
      </c>
      <c r="H3" t="s">
        <v>28</v>
      </c>
      <c r="I3">
        <v>24.03</v>
      </c>
      <c r="J3">
        <v>0.06</v>
      </c>
      <c r="K3">
        <v>25</v>
      </c>
      <c r="R3">
        <v>0.14699999999999999</v>
      </c>
      <c r="S3">
        <f>1554230</f>
        <v>1554230</v>
      </c>
      <c r="U3" s="4">
        <f t="shared" ref="U3:U18" si="0">S3/(1200^2)*2.54^2</f>
        <v>6.9633821305555559</v>
      </c>
      <c r="V3" s="4">
        <f t="shared" ref="V3:V18" si="1">I3*0.000001/18*1000/R3/(U3/10000)</f>
        <v>13.041985177304449</v>
      </c>
      <c r="W3" s="4">
        <f t="shared" ref="W3:W18" si="2">V3/(0.88862*(1/POWER(10,(1.3272*(20-K3)-0.001053*(K3-20)^2)/(K3+105))))</f>
        <v>13.043044164759568</v>
      </c>
      <c r="X3" s="4">
        <f t="shared" ref="X3:X18" si="3">MAX(Q3:R3)</f>
        <v>0.14699999999999999</v>
      </c>
      <c r="Z3" t="s">
        <v>46</v>
      </c>
    </row>
    <row r="4" spans="1:31" x14ac:dyDescent="0.3">
      <c r="A4" t="s">
        <v>44</v>
      </c>
      <c r="B4">
        <v>2</v>
      </c>
      <c r="C4">
        <v>2</v>
      </c>
      <c r="D4">
        <v>2</v>
      </c>
      <c r="E4">
        <v>11192024</v>
      </c>
      <c r="F4" s="5">
        <v>0.48055555555555557</v>
      </c>
      <c r="G4" s="5">
        <v>0.50347222222222221</v>
      </c>
      <c r="H4" t="s">
        <v>28</v>
      </c>
      <c r="I4">
        <v>12.3</v>
      </c>
      <c r="J4">
        <v>0.1</v>
      </c>
      <c r="K4">
        <v>25</v>
      </c>
      <c r="R4">
        <v>0.81699999999999995</v>
      </c>
      <c r="S4">
        <v>768176</v>
      </c>
      <c r="U4" s="4">
        <f t="shared" si="0"/>
        <v>3.4416418622222222</v>
      </c>
      <c r="V4" s="4">
        <f t="shared" si="1"/>
        <v>2.4302159909034851</v>
      </c>
      <c r="W4" s="4">
        <f t="shared" si="2"/>
        <v>2.4304133203907226</v>
      </c>
      <c r="X4" s="4">
        <f t="shared" si="3"/>
        <v>0.81699999999999995</v>
      </c>
      <c r="Z4" t="s">
        <v>46</v>
      </c>
    </row>
    <row r="5" spans="1:31" x14ac:dyDescent="0.3">
      <c r="A5" t="s">
        <v>44</v>
      </c>
      <c r="B5">
        <v>1</v>
      </c>
      <c r="C5">
        <v>2</v>
      </c>
      <c r="D5">
        <v>1</v>
      </c>
      <c r="E5">
        <v>11202024</v>
      </c>
      <c r="F5" s="5">
        <v>0.36875000000000002</v>
      </c>
      <c r="G5" s="5">
        <v>0.39097222222222222</v>
      </c>
      <c r="H5" t="s">
        <v>28</v>
      </c>
      <c r="I5">
        <v>13.4</v>
      </c>
      <c r="J5">
        <v>0.08</v>
      </c>
      <c r="K5">
        <v>25</v>
      </c>
      <c r="R5">
        <v>1.43</v>
      </c>
      <c r="S5">
        <v>516256</v>
      </c>
      <c r="U5" s="4">
        <f t="shared" si="0"/>
        <v>2.3129702844444444</v>
      </c>
      <c r="V5" s="4">
        <f t="shared" si="1"/>
        <v>2.2507445257367928</v>
      </c>
      <c r="W5" s="4">
        <f t="shared" si="2"/>
        <v>2.2509272824402418</v>
      </c>
      <c r="X5" s="4">
        <f t="shared" si="3"/>
        <v>1.43</v>
      </c>
      <c r="Z5" t="s">
        <v>46</v>
      </c>
    </row>
    <row r="6" spans="1:31" x14ac:dyDescent="0.3">
      <c r="A6" t="s">
        <v>44</v>
      </c>
      <c r="B6">
        <v>3</v>
      </c>
      <c r="C6">
        <v>2</v>
      </c>
      <c r="D6">
        <v>2</v>
      </c>
      <c r="E6">
        <v>11202024</v>
      </c>
      <c r="F6" s="5">
        <v>0.37569444444444444</v>
      </c>
      <c r="G6" s="5">
        <v>0.38611111111111113</v>
      </c>
      <c r="H6" t="s">
        <v>28</v>
      </c>
      <c r="I6">
        <v>18.37</v>
      </c>
      <c r="J6">
        <v>0.05</v>
      </c>
      <c r="K6">
        <v>25</v>
      </c>
      <c r="R6">
        <v>0.70899999999999996</v>
      </c>
      <c r="S6">
        <f>908684</f>
        <v>908684</v>
      </c>
      <c r="U6" s="4">
        <f t="shared" si="0"/>
        <v>4.0711567322222217</v>
      </c>
      <c r="V6" s="4">
        <f t="shared" si="1"/>
        <v>3.5356770843605942</v>
      </c>
      <c r="W6" s="4">
        <f t="shared" si="2"/>
        <v>3.5359641754457924</v>
      </c>
      <c r="X6" s="4">
        <f t="shared" si="3"/>
        <v>0.70899999999999996</v>
      </c>
    </row>
    <row r="7" spans="1:31" x14ac:dyDescent="0.3">
      <c r="A7" t="s">
        <v>44</v>
      </c>
      <c r="B7">
        <v>2</v>
      </c>
      <c r="C7">
        <v>1</v>
      </c>
      <c r="D7">
        <v>1</v>
      </c>
      <c r="E7">
        <v>11202024</v>
      </c>
      <c r="F7" s="5">
        <v>0.40069444444444446</v>
      </c>
      <c r="G7" s="5">
        <v>0.4201388888888889</v>
      </c>
      <c r="H7" t="s">
        <v>28</v>
      </c>
      <c r="I7">
        <v>12.57</v>
      </c>
      <c r="J7">
        <v>0.09</v>
      </c>
      <c r="K7">
        <v>26</v>
      </c>
      <c r="R7">
        <v>0.998</v>
      </c>
      <c r="S7">
        <f>682133</f>
        <v>682133</v>
      </c>
      <c r="U7" s="4">
        <f t="shared" si="0"/>
        <v>3.0561453213888887</v>
      </c>
      <c r="V7" s="4">
        <f t="shared" si="1"/>
        <v>2.2895926906158923</v>
      </c>
      <c r="W7" s="4">
        <f t="shared" si="2"/>
        <v>2.2385406543606394</v>
      </c>
      <c r="X7" s="4">
        <f t="shared" si="3"/>
        <v>0.998</v>
      </c>
      <c r="Z7" t="s">
        <v>45</v>
      </c>
    </row>
    <row r="8" spans="1:31" x14ac:dyDescent="0.3">
      <c r="A8" t="s">
        <v>44</v>
      </c>
      <c r="B8">
        <v>2</v>
      </c>
      <c r="C8">
        <v>3</v>
      </c>
      <c r="D8">
        <v>2</v>
      </c>
      <c r="E8">
        <v>11202024</v>
      </c>
      <c r="F8" s="5">
        <v>0.39444444444444443</v>
      </c>
      <c r="G8" s="5">
        <v>0.41388888888888886</v>
      </c>
      <c r="H8" t="s">
        <v>28</v>
      </c>
      <c r="I8">
        <v>24.23</v>
      </c>
      <c r="J8">
        <v>0.06</v>
      </c>
      <c r="K8">
        <v>25</v>
      </c>
      <c r="R8">
        <v>1.0720000000000001</v>
      </c>
      <c r="S8">
        <f>502620</f>
        <v>502620</v>
      </c>
      <c r="U8" s="4">
        <f t="shared" si="0"/>
        <v>2.2518772166666663</v>
      </c>
      <c r="V8" s="4">
        <f t="shared" si="1"/>
        <v>5.5762394772511783</v>
      </c>
      <c r="W8" s="4">
        <f t="shared" si="2"/>
        <v>5.5766922586010166</v>
      </c>
      <c r="X8" s="4">
        <f t="shared" si="3"/>
        <v>1.0720000000000001</v>
      </c>
      <c r="Z8" t="s">
        <v>46</v>
      </c>
    </row>
    <row r="9" spans="1:31" x14ac:dyDescent="0.3">
      <c r="A9" t="s">
        <v>44</v>
      </c>
      <c r="B9">
        <v>3</v>
      </c>
      <c r="C9">
        <v>3</v>
      </c>
      <c r="D9">
        <v>2</v>
      </c>
      <c r="E9">
        <v>11202024</v>
      </c>
      <c r="F9" s="5">
        <v>0.4201388888888889</v>
      </c>
      <c r="G9" s="5">
        <v>0.44305555555555554</v>
      </c>
      <c r="H9" t="s">
        <v>28</v>
      </c>
      <c r="I9">
        <v>41.7</v>
      </c>
      <c r="J9">
        <v>0.04</v>
      </c>
      <c r="K9">
        <v>25</v>
      </c>
      <c r="R9">
        <v>0.91</v>
      </c>
      <c r="S9">
        <f>1017650</f>
        <v>1017650</v>
      </c>
      <c r="U9" s="4">
        <f t="shared" si="0"/>
        <v>4.5593546805555558</v>
      </c>
      <c r="V9" s="4">
        <f t="shared" si="1"/>
        <v>5.5836576098031108</v>
      </c>
      <c r="W9" s="4">
        <f t="shared" si="2"/>
        <v>5.5841109934929465</v>
      </c>
      <c r="X9" s="4">
        <f t="shared" si="3"/>
        <v>0.91</v>
      </c>
    </row>
    <row r="10" spans="1:31" x14ac:dyDescent="0.3">
      <c r="A10" t="s">
        <v>44</v>
      </c>
      <c r="B10">
        <v>1</v>
      </c>
      <c r="C10">
        <v>3</v>
      </c>
      <c r="D10">
        <v>1</v>
      </c>
      <c r="E10">
        <v>11202024</v>
      </c>
      <c r="F10" s="5">
        <v>0.42638888888888887</v>
      </c>
      <c r="G10" s="5">
        <v>0.44236111111111109</v>
      </c>
      <c r="H10" t="s">
        <v>28</v>
      </c>
      <c r="I10">
        <v>25.23</v>
      </c>
      <c r="J10">
        <v>0.04</v>
      </c>
      <c r="K10">
        <v>25</v>
      </c>
      <c r="R10">
        <v>1.52</v>
      </c>
      <c r="S10">
        <f>863645</f>
        <v>863645</v>
      </c>
      <c r="U10" s="4">
        <f t="shared" si="0"/>
        <v>3.8693695013888889</v>
      </c>
      <c r="V10" s="4">
        <f t="shared" si="1"/>
        <v>2.3832025410755349</v>
      </c>
      <c r="W10" s="4">
        <f t="shared" si="2"/>
        <v>2.3833960531490188</v>
      </c>
      <c r="X10" s="4">
        <f t="shared" si="3"/>
        <v>1.52</v>
      </c>
    </row>
    <row r="11" spans="1:31" x14ac:dyDescent="0.3">
      <c r="A11" t="s">
        <v>44</v>
      </c>
      <c r="B11">
        <v>3</v>
      </c>
      <c r="C11">
        <v>5</v>
      </c>
      <c r="D11">
        <v>2</v>
      </c>
      <c r="E11">
        <v>11202024</v>
      </c>
      <c r="F11" s="5">
        <v>0.44722222222222224</v>
      </c>
      <c r="G11" s="5">
        <v>0.47430555555555554</v>
      </c>
      <c r="H11" t="s">
        <v>28</v>
      </c>
      <c r="I11">
        <v>19.7</v>
      </c>
      <c r="J11">
        <v>0.05</v>
      </c>
      <c r="K11">
        <v>25</v>
      </c>
      <c r="R11">
        <v>0.23100000000000001</v>
      </c>
      <c r="S11">
        <f>757502</f>
        <v>757502</v>
      </c>
      <c r="U11" s="4">
        <f t="shared" si="0"/>
        <v>3.393819377222222</v>
      </c>
      <c r="V11" s="4">
        <f t="shared" si="1"/>
        <v>13.960244230005495</v>
      </c>
      <c r="W11" s="4">
        <f t="shared" si="2"/>
        <v>13.961377778564936</v>
      </c>
      <c r="X11" s="4">
        <f t="shared" si="3"/>
        <v>0.23100000000000001</v>
      </c>
    </row>
    <row r="12" spans="1:31" x14ac:dyDescent="0.3">
      <c r="A12" t="s">
        <v>44</v>
      </c>
      <c r="B12">
        <v>3</v>
      </c>
      <c r="C12">
        <v>4</v>
      </c>
      <c r="D12">
        <v>1</v>
      </c>
      <c r="E12">
        <v>11202024</v>
      </c>
      <c r="F12" s="5">
        <v>0.44861111111111113</v>
      </c>
      <c r="G12" s="5">
        <v>0.46319444444444446</v>
      </c>
      <c r="H12" t="s">
        <v>28</v>
      </c>
      <c r="I12">
        <v>49.47</v>
      </c>
      <c r="J12">
        <v>0.05</v>
      </c>
      <c r="K12">
        <v>26</v>
      </c>
      <c r="R12">
        <v>1.1499999999999999</v>
      </c>
      <c r="S12">
        <f>1355771</f>
        <v>1355771</v>
      </c>
      <c r="U12" s="4">
        <f t="shared" si="0"/>
        <v>6.0742306830555552</v>
      </c>
      <c r="V12" s="4">
        <f t="shared" si="1"/>
        <v>3.9344160555680219</v>
      </c>
      <c r="W12" s="4">
        <f t="shared" si="2"/>
        <v>3.8466886829504592</v>
      </c>
      <c r="X12" s="4">
        <f t="shared" si="3"/>
        <v>1.1499999999999999</v>
      </c>
    </row>
    <row r="13" spans="1:31" x14ac:dyDescent="0.3">
      <c r="A13" t="s">
        <v>44</v>
      </c>
      <c r="B13">
        <v>1</v>
      </c>
      <c r="C13">
        <v>4</v>
      </c>
      <c r="D13">
        <v>2</v>
      </c>
      <c r="E13">
        <v>11202024</v>
      </c>
      <c r="F13" s="5">
        <v>0.50624999999999998</v>
      </c>
      <c r="G13" s="5">
        <v>0.52152777777777781</v>
      </c>
      <c r="H13" t="s">
        <v>28</v>
      </c>
      <c r="I13">
        <v>37.700000000000003</v>
      </c>
      <c r="J13">
        <v>0.04</v>
      </c>
      <c r="K13">
        <v>26</v>
      </c>
      <c r="R13">
        <v>0.63200000000000001</v>
      </c>
      <c r="S13">
        <v>731295</v>
      </c>
      <c r="U13" s="4">
        <f t="shared" si="0"/>
        <v>3.2764047375000001</v>
      </c>
      <c r="V13" s="4">
        <f t="shared" si="1"/>
        <v>10.114728306276467</v>
      </c>
      <c r="W13" s="4">
        <f t="shared" si="2"/>
        <v>9.8891958444021419</v>
      </c>
      <c r="X13" s="4">
        <f t="shared" si="3"/>
        <v>0.63200000000000001</v>
      </c>
    </row>
    <row r="14" spans="1:31" x14ac:dyDescent="0.3">
      <c r="A14" t="s">
        <v>44</v>
      </c>
      <c r="B14">
        <v>1</v>
      </c>
      <c r="C14">
        <v>5</v>
      </c>
      <c r="D14">
        <v>1</v>
      </c>
      <c r="E14">
        <v>11202024</v>
      </c>
      <c r="F14" s="5">
        <v>0.5131944444444444</v>
      </c>
      <c r="G14" s="5">
        <v>0.53125</v>
      </c>
      <c r="H14" t="s">
        <v>28</v>
      </c>
      <c r="I14">
        <v>37.67</v>
      </c>
      <c r="J14">
        <v>0.05</v>
      </c>
      <c r="K14">
        <v>26</v>
      </c>
      <c r="R14">
        <v>0.215</v>
      </c>
      <c r="S14">
        <v>913865</v>
      </c>
      <c r="U14" s="4">
        <f t="shared" si="0"/>
        <v>4.0943690513888891</v>
      </c>
      <c r="V14" s="4">
        <f>I14*0.000001/18*1000/R14/(U14/10000)</f>
        <v>23.773748792618136</v>
      </c>
      <c r="W14" s="4">
        <f t="shared" si="2"/>
        <v>23.243655256654961</v>
      </c>
      <c r="X14" s="4">
        <f t="shared" si="3"/>
        <v>0.215</v>
      </c>
    </row>
    <row r="15" spans="1:31" x14ac:dyDescent="0.3">
      <c r="A15" t="s">
        <v>44</v>
      </c>
      <c r="B15">
        <v>2</v>
      </c>
      <c r="C15">
        <v>4</v>
      </c>
      <c r="D15">
        <v>2</v>
      </c>
      <c r="E15">
        <v>11202024</v>
      </c>
      <c r="F15" s="5">
        <v>0.53611111111111109</v>
      </c>
      <c r="G15" s="5">
        <v>0.55277777777777781</v>
      </c>
      <c r="H15" t="s">
        <v>28</v>
      </c>
      <c r="I15">
        <v>15.9</v>
      </c>
      <c r="J15">
        <v>0.05</v>
      </c>
      <c r="K15">
        <v>26</v>
      </c>
      <c r="R15">
        <v>0.36399999999999999</v>
      </c>
      <c r="S15">
        <v>1001093</v>
      </c>
      <c r="U15" s="4">
        <f t="shared" si="0"/>
        <v>4.4851747213888888</v>
      </c>
      <c r="V15" s="4">
        <f t="shared" si="1"/>
        <v>5.4105805848929291</v>
      </c>
      <c r="W15" s="4">
        <f t="shared" si="2"/>
        <v>5.2899385347527277</v>
      </c>
      <c r="X15" s="4">
        <f t="shared" si="3"/>
        <v>0.36399999999999999</v>
      </c>
    </row>
    <row r="16" spans="1:31" x14ac:dyDescent="0.3">
      <c r="A16" t="s">
        <v>44</v>
      </c>
      <c r="B16">
        <v>2</v>
      </c>
      <c r="C16">
        <v>5</v>
      </c>
      <c r="D16">
        <v>1</v>
      </c>
      <c r="E16">
        <v>11202024</v>
      </c>
      <c r="F16" s="5">
        <v>0.54236111111111107</v>
      </c>
      <c r="G16" s="5">
        <v>0.56180555555555556</v>
      </c>
      <c r="H16" t="s">
        <v>28</v>
      </c>
      <c r="I16">
        <v>15.8</v>
      </c>
      <c r="J16">
        <v>0.108</v>
      </c>
      <c r="K16">
        <v>25</v>
      </c>
      <c r="R16">
        <v>0.27700000000000002</v>
      </c>
      <c r="S16">
        <v>830169</v>
      </c>
      <c r="U16" s="4">
        <f t="shared" si="0"/>
        <v>3.7193877225</v>
      </c>
      <c r="V16" s="4">
        <f t="shared" si="1"/>
        <v>8.5198776798486815</v>
      </c>
      <c r="W16" s="4">
        <f t="shared" si="2"/>
        <v>8.5205694797134601</v>
      </c>
      <c r="X16" s="4">
        <f t="shared" si="3"/>
        <v>0.27700000000000002</v>
      </c>
    </row>
    <row r="17" spans="1:26" x14ac:dyDescent="0.3">
      <c r="A17" t="s">
        <v>44</v>
      </c>
      <c r="B17">
        <v>1</v>
      </c>
      <c r="C17">
        <v>6</v>
      </c>
      <c r="D17">
        <v>2</v>
      </c>
      <c r="E17">
        <v>11202024</v>
      </c>
      <c r="F17" s="5">
        <v>0.55694444444444446</v>
      </c>
      <c r="G17" s="5">
        <v>0.58263888888888893</v>
      </c>
      <c r="H17" t="s">
        <v>28</v>
      </c>
      <c r="I17">
        <v>39.5</v>
      </c>
      <c r="J17">
        <v>0.05</v>
      </c>
      <c r="K17">
        <v>24</v>
      </c>
      <c r="R17">
        <v>1.4</v>
      </c>
      <c r="S17">
        <v>1123623</v>
      </c>
      <c r="U17" s="4">
        <f t="shared" si="0"/>
        <v>5.0341431575</v>
      </c>
      <c r="V17" s="4">
        <f t="shared" si="1"/>
        <v>3.1136586076720398</v>
      </c>
      <c r="W17" s="4">
        <f t="shared" si="2"/>
        <v>3.186183737814182</v>
      </c>
      <c r="X17" s="4">
        <f t="shared" si="3"/>
        <v>1.4</v>
      </c>
    </row>
    <row r="18" spans="1:26" x14ac:dyDescent="0.3">
      <c r="A18" t="s">
        <v>44</v>
      </c>
      <c r="B18">
        <v>3</v>
      </c>
      <c r="C18">
        <v>6</v>
      </c>
      <c r="D18">
        <v>1</v>
      </c>
      <c r="E18">
        <v>11202024</v>
      </c>
      <c r="F18" s="5">
        <v>0.56874999999999998</v>
      </c>
      <c r="G18" s="5">
        <v>0.58472222222222225</v>
      </c>
      <c r="H18" t="s">
        <v>28</v>
      </c>
      <c r="I18">
        <v>32.369999999999997</v>
      </c>
      <c r="J18">
        <v>0.05</v>
      </c>
      <c r="K18">
        <v>25</v>
      </c>
      <c r="R18">
        <v>2.21</v>
      </c>
      <c r="S18">
        <v>1423166</v>
      </c>
      <c r="U18" s="4">
        <f t="shared" si="0"/>
        <v>6.3761790038888888</v>
      </c>
      <c r="V18" s="4">
        <f t="shared" si="1"/>
        <v>1.2761961194937905</v>
      </c>
      <c r="W18" s="4">
        <f t="shared" si="2"/>
        <v>1.2762997444912463</v>
      </c>
      <c r="X18" s="4">
        <f t="shared" si="3"/>
        <v>2.21</v>
      </c>
    </row>
    <row r="19" spans="1:26" x14ac:dyDescent="0.3">
      <c r="A19" t="s">
        <v>44</v>
      </c>
      <c r="B19">
        <v>4</v>
      </c>
      <c r="C19">
        <v>1</v>
      </c>
      <c r="D19">
        <v>1</v>
      </c>
      <c r="E19">
        <v>11262024</v>
      </c>
      <c r="F19" s="5">
        <v>0.37361111111111112</v>
      </c>
      <c r="G19" s="5">
        <v>0.38680555555555557</v>
      </c>
      <c r="H19" t="s">
        <v>28</v>
      </c>
      <c r="I19">
        <v>21.8</v>
      </c>
      <c r="J19">
        <v>0.04</v>
      </c>
      <c r="K19">
        <v>25</v>
      </c>
      <c r="R19">
        <v>0.22800000000000001</v>
      </c>
      <c r="S19">
        <v>1468102</v>
      </c>
      <c r="U19" s="4">
        <f t="shared" ref="U19:U24" si="4">S19/(1200^2)*2.54^2</f>
        <v>6.5775047661111117</v>
      </c>
      <c r="V19" s="4">
        <f t="shared" ref="V19:V24" si="5">I19*0.000001/18*1000/R19/(U19/10000)</f>
        <v>8.075844909417274</v>
      </c>
      <c r="W19" s="4">
        <f t="shared" ref="W19:W24" si="6">V19/(0.88862*(1/POWER(10,(1.3272*(20-K19)-0.001053*(K19-20)^2)/(K19+105))))</f>
        <v>8.0765006545613058</v>
      </c>
      <c r="X19" s="4">
        <f t="shared" ref="X19:X36" si="7">MAX(Q19:R19)</f>
        <v>0.22800000000000001</v>
      </c>
    </row>
    <row r="20" spans="1:26" x14ac:dyDescent="0.3">
      <c r="A20" t="s">
        <v>44</v>
      </c>
      <c r="B20">
        <v>6</v>
      </c>
      <c r="C20">
        <v>1</v>
      </c>
      <c r="D20">
        <v>2</v>
      </c>
      <c r="E20">
        <v>11262024</v>
      </c>
      <c r="F20" s="5">
        <v>0.39791666666666664</v>
      </c>
      <c r="G20" s="5">
        <v>0.41875000000000001</v>
      </c>
      <c r="H20" t="s">
        <v>28</v>
      </c>
      <c r="I20">
        <v>16.03</v>
      </c>
      <c r="J20">
        <v>0.04</v>
      </c>
      <c r="K20">
        <v>25</v>
      </c>
      <c r="R20">
        <v>0.20399999999999999</v>
      </c>
      <c r="S20">
        <v>1122686</v>
      </c>
      <c r="U20" s="4">
        <f t="shared" si="4"/>
        <v>5.0299451372222226</v>
      </c>
      <c r="V20" s="4">
        <f t="shared" si="5"/>
        <v>8.6789582997258652</v>
      </c>
      <c r="W20" s="4">
        <f t="shared" si="6"/>
        <v>8.6796630166717872</v>
      </c>
      <c r="X20" s="4">
        <f t="shared" si="7"/>
        <v>0.20399999999999999</v>
      </c>
    </row>
    <row r="21" spans="1:26" x14ac:dyDescent="0.3">
      <c r="A21" t="s">
        <v>44</v>
      </c>
      <c r="B21">
        <v>4</v>
      </c>
      <c r="C21">
        <v>2</v>
      </c>
      <c r="D21">
        <v>1</v>
      </c>
      <c r="E21">
        <v>11262024</v>
      </c>
      <c r="F21" s="5">
        <v>0.39583333333333331</v>
      </c>
      <c r="G21" s="5">
        <v>0.40902777777777777</v>
      </c>
      <c r="H21" t="s">
        <v>28</v>
      </c>
      <c r="I21">
        <v>39.26</v>
      </c>
      <c r="J21">
        <v>0.03</v>
      </c>
      <c r="K21">
        <v>25</v>
      </c>
      <c r="R21">
        <v>0.27</v>
      </c>
      <c r="S21">
        <v>1232146</v>
      </c>
      <c r="U21" s="4">
        <f t="shared" si="4"/>
        <v>5.5203563427777773</v>
      </c>
      <c r="V21" s="4">
        <f t="shared" si="5"/>
        <v>14.633456245954353</v>
      </c>
      <c r="W21" s="4">
        <f t="shared" si="6"/>
        <v>14.634644458207228</v>
      </c>
      <c r="X21" s="4">
        <f t="shared" si="7"/>
        <v>0.27</v>
      </c>
    </row>
    <row r="22" spans="1:26" x14ac:dyDescent="0.3">
      <c r="A22" t="s">
        <v>44</v>
      </c>
      <c r="B22">
        <v>4</v>
      </c>
      <c r="C22">
        <v>3</v>
      </c>
      <c r="D22">
        <v>1</v>
      </c>
      <c r="E22">
        <v>11262024</v>
      </c>
      <c r="F22" s="5">
        <v>0.41388888888888886</v>
      </c>
      <c r="G22" s="5">
        <v>0.4284722222222222</v>
      </c>
      <c r="H22" t="s">
        <v>28</v>
      </c>
      <c r="I22">
        <v>26.5</v>
      </c>
      <c r="J22">
        <v>0.05</v>
      </c>
      <c r="K22">
        <v>26</v>
      </c>
      <c r="R22">
        <v>0.85</v>
      </c>
      <c r="S22">
        <v>1122707</v>
      </c>
      <c r="U22" s="4">
        <f t="shared" si="4"/>
        <v>5.0300392230555548</v>
      </c>
      <c r="V22" s="4">
        <f t="shared" si="5"/>
        <v>3.4433650852104298</v>
      </c>
      <c r="W22" s="4">
        <f t="shared" si="6"/>
        <v>3.3665868879831544</v>
      </c>
      <c r="X22" s="4">
        <f t="shared" si="7"/>
        <v>0.85</v>
      </c>
    </row>
    <row r="23" spans="1:26" x14ac:dyDescent="0.3">
      <c r="A23" t="s">
        <v>44</v>
      </c>
      <c r="B23">
        <v>5</v>
      </c>
      <c r="C23">
        <v>1</v>
      </c>
      <c r="D23">
        <v>2</v>
      </c>
      <c r="E23">
        <v>11262024</v>
      </c>
      <c r="F23" s="5">
        <v>0.43819444444444444</v>
      </c>
      <c r="G23" s="5">
        <v>0.45763888888888887</v>
      </c>
      <c r="H23" t="s">
        <v>28</v>
      </c>
      <c r="I23">
        <v>16.66</v>
      </c>
      <c r="J23">
        <v>0.05</v>
      </c>
      <c r="K23">
        <f>AVERAGE(K19:K22,K24)</f>
        <v>25.2</v>
      </c>
      <c r="R23">
        <v>0.245</v>
      </c>
      <c r="S23">
        <v>722889</v>
      </c>
      <c r="U23" s="4">
        <f t="shared" si="4"/>
        <v>3.2387435225000001</v>
      </c>
      <c r="V23" s="4">
        <f t="shared" si="5"/>
        <v>11.664331403623141</v>
      </c>
      <c r="W23" s="4">
        <f t="shared" si="6"/>
        <v>11.612310167764456</v>
      </c>
      <c r="X23" s="4">
        <f t="shared" si="7"/>
        <v>0.245</v>
      </c>
    </row>
    <row r="24" spans="1:26" x14ac:dyDescent="0.3">
      <c r="A24" t="s">
        <v>44</v>
      </c>
      <c r="B24">
        <v>5</v>
      </c>
      <c r="C24">
        <v>2</v>
      </c>
      <c r="D24">
        <v>1</v>
      </c>
      <c r="E24">
        <v>11262024</v>
      </c>
      <c r="F24" s="5">
        <v>0.44444444444444442</v>
      </c>
      <c r="G24" s="5">
        <v>0.46527777777777779</v>
      </c>
      <c r="H24" t="s">
        <v>28</v>
      </c>
      <c r="I24">
        <v>21.03</v>
      </c>
      <c r="J24">
        <v>0.05</v>
      </c>
      <c r="K24">
        <v>25</v>
      </c>
      <c r="R24">
        <v>0.29799999999999999</v>
      </c>
      <c r="S24">
        <v>831698</v>
      </c>
      <c r="U24" s="4">
        <f t="shared" si="4"/>
        <v>3.7262380672222224</v>
      </c>
      <c r="V24" s="4">
        <f t="shared" si="5"/>
        <v>10.521554406220851</v>
      </c>
      <c r="W24" s="4">
        <f t="shared" si="6"/>
        <v>10.522408738898973</v>
      </c>
      <c r="X24" s="4">
        <f t="shared" si="7"/>
        <v>0.29799999999999999</v>
      </c>
    </row>
    <row r="25" spans="1:26" x14ac:dyDescent="0.3">
      <c r="A25" t="s">
        <v>110</v>
      </c>
      <c r="B25">
        <v>1</v>
      </c>
      <c r="C25">
        <v>2</v>
      </c>
      <c r="D25">
        <v>1</v>
      </c>
      <c r="E25">
        <v>2102025</v>
      </c>
      <c r="F25" s="5">
        <v>0.48055555555555557</v>
      </c>
      <c r="G25" s="5">
        <v>0.49027777777777776</v>
      </c>
      <c r="H25">
        <v>0</v>
      </c>
      <c r="I25">
        <v>4.0599999999999996</v>
      </c>
      <c r="J25">
        <v>0.04</v>
      </c>
      <c r="K25">
        <v>22.4</v>
      </c>
      <c r="R25">
        <v>1.633</v>
      </c>
      <c r="S25">
        <v>601154</v>
      </c>
      <c r="T25" t="s">
        <v>118</v>
      </c>
      <c r="U25" s="4">
        <f t="shared" ref="U25:U36" si="8">S25/(1200^2)*2.54^2</f>
        <v>2.6933369072222222</v>
      </c>
      <c r="V25" s="4">
        <f t="shared" ref="V25:V36" si="9">I25*0.000001/18*1000/R25/(U25/10000)</f>
        <v>0.51283382401680222</v>
      </c>
      <c r="W25" s="4">
        <f t="shared" ref="W25:W36" si="10">V25/(0.88862*(1/POWER(10,(1.3272*(20-K25)-0.001053*(K25-20)^2)/(K25+105))))</f>
        <v>0.54476697505466398</v>
      </c>
      <c r="X25" s="4">
        <f t="shared" si="7"/>
        <v>1.633</v>
      </c>
      <c r="Z25" t="s">
        <v>111</v>
      </c>
    </row>
    <row r="26" spans="1:26" x14ac:dyDescent="0.3">
      <c r="A26" t="s">
        <v>110</v>
      </c>
      <c r="B26">
        <v>3</v>
      </c>
      <c r="C26">
        <v>2</v>
      </c>
      <c r="D26">
        <v>1</v>
      </c>
      <c r="E26">
        <v>2102025</v>
      </c>
      <c r="F26" s="5">
        <v>0.49722222222222223</v>
      </c>
      <c r="G26" s="5">
        <v>0.51249999999999996</v>
      </c>
      <c r="H26">
        <v>0</v>
      </c>
      <c r="I26">
        <v>2.9</v>
      </c>
      <c r="J26">
        <v>0.06</v>
      </c>
      <c r="K26">
        <v>22.5</v>
      </c>
      <c r="R26">
        <v>1.83</v>
      </c>
      <c r="S26">
        <v>754347</v>
      </c>
      <c r="T26">
        <v>601154</v>
      </c>
      <c r="U26" s="4">
        <f t="shared" si="8"/>
        <v>3.3796841008333334</v>
      </c>
      <c r="V26" s="4">
        <f t="shared" si="9"/>
        <v>0.26049434179056541</v>
      </c>
      <c r="W26" s="4">
        <f t="shared" si="10"/>
        <v>0.2760622757077571</v>
      </c>
      <c r="X26" s="4">
        <f t="shared" si="7"/>
        <v>1.83</v>
      </c>
      <c r="Z26" t="s">
        <v>112</v>
      </c>
    </row>
    <row r="27" spans="1:26" x14ac:dyDescent="0.3">
      <c r="A27" t="s">
        <v>110</v>
      </c>
      <c r="B27">
        <v>4</v>
      </c>
      <c r="C27">
        <v>2</v>
      </c>
      <c r="D27">
        <v>2</v>
      </c>
      <c r="E27">
        <v>2102025</v>
      </c>
      <c r="F27" s="5">
        <v>0.4909722222222222</v>
      </c>
      <c r="G27" s="5">
        <v>0.50486111111111109</v>
      </c>
      <c r="H27">
        <v>0</v>
      </c>
      <c r="I27">
        <v>6.1</v>
      </c>
      <c r="J27">
        <v>0.03</v>
      </c>
      <c r="K27">
        <v>22.4</v>
      </c>
      <c r="R27">
        <v>2.4500000000000002</v>
      </c>
      <c r="S27">
        <v>848082</v>
      </c>
      <c r="U27" s="4">
        <f t="shared" si="8"/>
        <v>3.7996429383333328</v>
      </c>
      <c r="V27" s="4">
        <f t="shared" si="9"/>
        <v>0.36403945768000467</v>
      </c>
      <c r="W27" s="4">
        <f t="shared" si="10"/>
        <v>0.38670747691240226</v>
      </c>
      <c r="X27" s="4">
        <f t="shared" si="7"/>
        <v>2.4500000000000002</v>
      </c>
      <c r="Z27" t="s">
        <v>112</v>
      </c>
    </row>
    <row r="28" spans="1:26" x14ac:dyDescent="0.3">
      <c r="A28" t="s">
        <v>110</v>
      </c>
      <c r="B28">
        <v>1</v>
      </c>
      <c r="C28">
        <v>3</v>
      </c>
      <c r="D28">
        <v>2</v>
      </c>
      <c r="E28">
        <v>2102025</v>
      </c>
      <c r="F28" s="5">
        <v>0.53888888888888886</v>
      </c>
      <c r="G28" s="5">
        <v>0.55000000000000004</v>
      </c>
      <c r="H28">
        <v>0</v>
      </c>
      <c r="I28">
        <v>20.03</v>
      </c>
      <c r="J28">
        <v>0.05</v>
      </c>
      <c r="K28">
        <v>22.5</v>
      </c>
      <c r="R28">
        <v>0.29399999999999998</v>
      </c>
      <c r="S28">
        <v>900710</v>
      </c>
      <c r="U28" s="4">
        <f t="shared" si="8"/>
        <v>4.035430997222222</v>
      </c>
      <c r="V28" s="4">
        <f t="shared" si="9"/>
        <v>9.3793164358923171</v>
      </c>
      <c r="W28" s="4">
        <f t="shared" si="10"/>
        <v>9.93985290458766</v>
      </c>
      <c r="X28" s="4">
        <f t="shared" si="7"/>
        <v>0.29399999999999998</v>
      </c>
      <c r="Z28" t="s">
        <v>113</v>
      </c>
    </row>
    <row r="29" spans="1:26" x14ac:dyDescent="0.3">
      <c r="A29" t="s">
        <v>110</v>
      </c>
      <c r="B29">
        <v>4</v>
      </c>
      <c r="C29">
        <v>3</v>
      </c>
      <c r="D29">
        <v>1</v>
      </c>
      <c r="E29">
        <v>2102025</v>
      </c>
      <c r="F29" s="5">
        <v>0.54583333333333328</v>
      </c>
      <c r="G29" s="5">
        <v>0.5541666666666667</v>
      </c>
      <c r="H29">
        <v>0</v>
      </c>
      <c r="I29">
        <v>6.36</v>
      </c>
      <c r="J29">
        <v>7.0000000000000007E-2</v>
      </c>
      <c r="K29">
        <v>22.3</v>
      </c>
      <c r="R29">
        <v>0.746</v>
      </c>
      <c r="S29">
        <v>704508</v>
      </c>
      <c r="U29" s="4">
        <f t="shared" si="8"/>
        <v>3.1563915366666668</v>
      </c>
      <c r="V29" s="4">
        <f t="shared" si="9"/>
        <v>1.5005653466877342</v>
      </c>
      <c r="W29" s="4">
        <f t="shared" si="10"/>
        <v>1.5977756926597924</v>
      </c>
      <c r="X29" s="4">
        <f t="shared" si="7"/>
        <v>0.746</v>
      </c>
      <c r="Z29" t="s">
        <v>112</v>
      </c>
    </row>
    <row r="30" spans="1:26" x14ac:dyDescent="0.3">
      <c r="A30" t="s">
        <v>110</v>
      </c>
      <c r="B30">
        <v>3</v>
      </c>
      <c r="C30">
        <v>3</v>
      </c>
      <c r="D30">
        <v>2</v>
      </c>
      <c r="E30">
        <v>2102025</v>
      </c>
      <c r="F30" s="5">
        <v>0.5541666666666667</v>
      </c>
      <c r="G30" s="5">
        <v>0.57291666666666663</v>
      </c>
      <c r="H30">
        <v>0</v>
      </c>
      <c r="I30">
        <v>4.2300000000000004</v>
      </c>
      <c r="J30">
        <v>0.05</v>
      </c>
      <c r="K30">
        <v>22.1</v>
      </c>
      <c r="R30">
        <v>0.42</v>
      </c>
      <c r="S30">
        <v>557610</v>
      </c>
      <c r="U30" s="4">
        <f t="shared" si="8"/>
        <v>2.4982476916666667</v>
      </c>
      <c r="V30" s="4">
        <f t="shared" si="9"/>
        <v>2.2396650716027762</v>
      </c>
      <c r="W30" s="4">
        <f t="shared" si="10"/>
        <v>2.3960832172010127</v>
      </c>
      <c r="X30" s="4">
        <f t="shared" si="7"/>
        <v>0.42</v>
      </c>
      <c r="Z30" t="s">
        <v>114</v>
      </c>
    </row>
    <row r="31" spans="1:26" x14ac:dyDescent="0.3">
      <c r="A31" t="s">
        <v>110</v>
      </c>
      <c r="B31">
        <v>2</v>
      </c>
      <c r="C31">
        <v>2</v>
      </c>
      <c r="D31">
        <v>1</v>
      </c>
      <c r="E31">
        <v>2102025</v>
      </c>
      <c r="F31" s="5">
        <v>0.5708333333333333</v>
      </c>
      <c r="G31" s="5">
        <v>0.57986111111111116</v>
      </c>
      <c r="H31">
        <v>0</v>
      </c>
      <c r="I31">
        <v>2.46</v>
      </c>
      <c r="J31">
        <v>0.05</v>
      </c>
      <c r="K31">
        <v>22.4</v>
      </c>
      <c r="R31">
        <v>0.44600000000000001</v>
      </c>
      <c r="S31">
        <v>874385</v>
      </c>
      <c r="U31" s="4">
        <f t="shared" si="8"/>
        <v>3.917487684722222</v>
      </c>
      <c r="V31" s="4">
        <f t="shared" si="9"/>
        <v>0.782204127742264</v>
      </c>
      <c r="W31" s="4">
        <f t="shared" si="10"/>
        <v>0.83091043646033758</v>
      </c>
      <c r="X31" s="4">
        <f t="shared" si="7"/>
        <v>0.44600000000000001</v>
      </c>
      <c r="Z31" t="s">
        <v>115</v>
      </c>
    </row>
    <row r="32" spans="1:26" x14ac:dyDescent="0.3">
      <c r="A32" t="s">
        <v>110</v>
      </c>
      <c r="B32">
        <v>3</v>
      </c>
      <c r="C32">
        <v>4</v>
      </c>
      <c r="D32">
        <v>2</v>
      </c>
      <c r="E32">
        <v>2102025</v>
      </c>
      <c r="F32" s="5">
        <v>0.57986111111111116</v>
      </c>
      <c r="G32" s="5">
        <v>0.60277777777777775</v>
      </c>
      <c r="H32">
        <v>0</v>
      </c>
      <c r="I32">
        <v>13.33</v>
      </c>
      <c r="J32">
        <v>0.02</v>
      </c>
      <c r="K32">
        <v>21.8</v>
      </c>
      <c r="R32">
        <v>0.79900000000000004</v>
      </c>
      <c r="S32">
        <v>917594</v>
      </c>
      <c r="U32" s="4">
        <f t="shared" si="8"/>
        <v>4.1110760072222226</v>
      </c>
      <c r="V32" s="4">
        <f t="shared" si="9"/>
        <v>2.2545265742583203</v>
      </c>
      <c r="W32" s="4">
        <f t="shared" si="10"/>
        <v>2.4292487631197801</v>
      </c>
      <c r="X32" s="4">
        <f t="shared" si="7"/>
        <v>0.79900000000000004</v>
      </c>
      <c r="Z32" t="s">
        <v>115</v>
      </c>
    </row>
    <row r="33" spans="1:26" x14ac:dyDescent="0.3">
      <c r="A33" t="s">
        <v>110</v>
      </c>
      <c r="B33">
        <v>4</v>
      </c>
      <c r="C33">
        <v>4</v>
      </c>
      <c r="D33">
        <v>2</v>
      </c>
      <c r="E33">
        <v>2102025</v>
      </c>
      <c r="F33" s="5">
        <v>0.62152777777777779</v>
      </c>
      <c r="G33" s="5">
        <v>0.6479166666666667</v>
      </c>
      <c r="H33">
        <v>0</v>
      </c>
      <c r="I33">
        <v>11.43</v>
      </c>
      <c r="J33">
        <v>0.03</v>
      </c>
      <c r="K33">
        <v>22</v>
      </c>
      <c r="R33">
        <v>0.46200000000000002</v>
      </c>
      <c r="S33">
        <v>949383</v>
      </c>
      <c r="U33" s="4">
        <f t="shared" si="8"/>
        <v>4.2534995574999996</v>
      </c>
      <c r="V33" s="4">
        <f t="shared" si="9"/>
        <v>3.231360097441069</v>
      </c>
      <c r="W33" s="4">
        <f t="shared" si="10"/>
        <v>3.4652559781068306</v>
      </c>
      <c r="X33" s="4">
        <f t="shared" si="7"/>
        <v>0.46200000000000002</v>
      </c>
      <c r="Z33" t="s">
        <v>115</v>
      </c>
    </row>
    <row r="34" spans="1:26" x14ac:dyDescent="0.3">
      <c r="A34" t="s">
        <v>110</v>
      </c>
      <c r="B34">
        <v>2</v>
      </c>
      <c r="C34">
        <v>3</v>
      </c>
      <c r="D34">
        <v>1</v>
      </c>
      <c r="E34">
        <v>2102025</v>
      </c>
      <c r="F34" s="5">
        <v>0.65138888888888891</v>
      </c>
      <c r="G34" s="5">
        <v>0.66874999999999996</v>
      </c>
      <c r="H34">
        <v>0</v>
      </c>
      <c r="I34">
        <v>14.5</v>
      </c>
      <c r="J34">
        <v>0.01</v>
      </c>
      <c r="K34">
        <f>AVERAGE(K26:K33,K35:K36)</f>
        <v>22.190000000000005</v>
      </c>
      <c r="R34">
        <v>0.85</v>
      </c>
      <c r="S34">
        <v>654662</v>
      </c>
      <c r="U34" s="4">
        <f t="shared" si="8"/>
        <v>2.9330676105555558</v>
      </c>
      <c r="V34" s="4">
        <f t="shared" si="9"/>
        <v>3.2311304890825423</v>
      </c>
      <c r="W34" s="4">
        <f t="shared" si="10"/>
        <v>3.4494236220802028</v>
      </c>
      <c r="X34" s="4">
        <f t="shared" si="7"/>
        <v>0.85</v>
      </c>
    </row>
    <row r="35" spans="1:26" x14ac:dyDescent="0.3">
      <c r="A35" t="s">
        <v>110</v>
      </c>
      <c r="B35">
        <v>2</v>
      </c>
      <c r="C35">
        <v>4</v>
      </c>
      <c r="D35">
        <v>1</v>
      </c>
      <c r="E35">
        <v>2102025</v>
      </c>
      <c r="F35" s="5">
        <v>0.67361111111111116</v>
      </c>
      <c r="G35" s="5">
        <v>0.68541666666666667</v>
      </c>
      <c r="H35">
        <v>0</v>
      </c>
      <c r="I35">
        <v>4.46</v>
      </c>
      <c r="J35">
        <v>4.5999999999999999E-2</v>
      </c>
      <c r="K35">
        <v>22</v>
      </c>
      <c r="R35">
        <v>0.59</v>
      </c>
      <c r="S35">
        <v>711138</v>
      </c>
      <c r="U35" s="4">
        <f t="shared" si="8"/>
        <v>3.1860957783333332</v>
      </c>
      <c r="V35" s="4">
        <f t="shared" si="9"/>
        <v>1.3181095749615459</v>
      </c>
      <c r="W35" s="4">
        <f t="shared" si="10"/>
        <v>1.4135184401306577</v>
      </c>
      <c r="X35" s="4">
        <f t="shared" si="7"/>
        <v>0.59</v>
      </c>
      <c r="Z35" t="s">
        <v>115</v>
      </c>
    </row>
    <row r="36" spans="1:26" x14ac:dyDescent="0.3">
      <c r="A36" t="s">
        <v>110</v>
      </c>
      <c r="B36">
        <v>1</v>
      </c>
      <c r="C36">
        <v>4</v>
      </c>
      <c r="D36">
        <v>2</v>
      </c>
      <c r="E36">
        <v>2102025</v>
      </c>
      <c r="F36" s="5">
        <v>0.66805555555555551</v>
      </c>
      <c r="G36" s="5">
        <v>0.68055555555555558</v>
      </c>
      <c r="H36">
        <v>0</v>
      </c>
      <c r="I36">
        <v>5.36</v>
      </c>
      <c r="J36">
        <v>0.05</v>
      </c>
      <c r="K36">
        <v>21.9</v>
      </c>
      <c r="R36">
        <v>0.23699999999999999</v>
      </c>
      <c r="S36">
        <v>718951</v>
      </c>
      <c r="U36" s="4">
        <f t="shared" si="8"/>
        <v>3.221100188611111</v>
      </c>
      <c r="V36" s="4">
        <f t="shared" si="9"/>
        <v>3.9006744471342238</v>
      </c>
      <c r="W36" s="4">
        <f t="shared" si="10"/>
        <v>4.1929749865827581</v>
      </c>
      <c r="X36" s="4">
        <f t="shared" si="7"/>
        <v>0.23699999999999999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FF7F-5593-4259-A4BA-F4FE44134BEE}">
  <dimension ref="A1:AG1048576"/>
  <sheetViews>
    <sheetView zoomScale="70" zoomScaleNormal="70" workbookViewId="0">
      <pane ySplit="1" topLeftCell="A2" activePane="bottomLeft" state="frozen"/>
      <selection pane="bottomLeft" activeCell="T18" sqref="T18"/>
    </sheetView>
  </sheetViews>
  <sheetFormatPr baseColWidth="10" defaultRowHeight="14.4" x14ac:dyDescent="0.3"/>
  <cols>
    <col min="6" max="9" width="0" hidden="1" customWidth="1"/>
    <col min="10" max="10" width="6" bestFit="1" customWidth="1"/>
    <col min="11" max="11" width="7" bestFit="1" customWidth="1"/>
    <col min="12" max="12" width="5" bestFit="1" customWidth="1"/>
    <col min="13" max="13" width="8.6640625" bestFit="1" customWidth="1"/>
    <col min="14" max="14" width="7.6640625" bestFit="1" customWidth="1"/>
    <col min="15" max="15" width="19.21875" bestFit="1" customWidth="1"/>
    <col min="16" max="16" width="6.5546875" bestFit="1" customWidth="1"/>
    <col min="17" max="18" width="17.21875" bestFit="1" customWidth="1"/>
    <col min="19" max="19" width="17.44140625" bestFit="1" customWidth="1"/>
    <col min="20" max="20" width="15.33203125" bestFit="1" customWidth="1"/>
  </cols>
  <sheetData>
    <row r="1" spans="1:33" x14ac:dyDescent="0.3">
      <c r="A1" s="6" t="s">
        <v>0</v>
      </c>
      <c r="B1" s="7" t="s">
        <v>21</v>
      </c>
      <c r="C1" s="7" t="s">
        <v>56</v>
      </c>
      <c r="D1" s="6" t="s">
        <v>22</v>
      </c>
      <c r="E1" s="6" t="s">
        <v>57</v>
      </c>
      <c r="F1" s="6" t="s">
        <v>29</v>
      </c>
      <c r="G1" s="6" t="s">
        <v>30</v>
      </c>
      <c r="H1" s="6" t="s">
        <v>23</v>
      </c>
      <c r="I1" s="6" t="s">
        <v>24</v>
      </c>
      <c r="J1" s="6" t="s">
        <v>25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6" t="s">
        <v>6</v>
      </c>
      <c r="Q1" s="6" t="s">
        <v>11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B1" s="6" t="s">
        <v>31</v>
      </c>
      <c r="AD1" s="1" t="s">
        <v>7</v>
      </c>
      <c r="AE1" s="1" t="s">
        <v>8</v>
      </c>
      <c r="AF1" s="1" t="s">
        <v>9</v>
      </c>
      <c r="AG1" s="1" t="s">
        <v>10</v>
      </c>
    </row>
    <row r="2" spans="1:33" s="8" customFormat="1" x14ac:dyDescent="0.3">
      <c r="A2" s="8" t="s">
        <v>26</v>
      </c>
      <c r="B2" s="8">
        <v>1</v>
      </c>
      <c r="D2" s="8">
        <v>1</v>
      </c>
      <c r="F2" s="8">
        <v>2</v>
      </c>
      <c r="G2" s="8">
        <v>10222024</v>
      </c>
      <c r="H2" s="11">
        <v>0.50208333333333333</v>
      </c>
      <c r="I2" s="11">
        <v>0.52152777777777781</v>
      </c>
      <c r="J2" s="8" t="s">
        <v>28</v>
      </c>
      <c r="K2" s="8">
        <v>25.26</v>
      </c>
      <c r="L2" s="8">
        <v>0.01</v>
      </c>
      <c r="M2" s="12" t="e">
        <f>AVERAGE(#REF!,#REF!)</f>
        <v>#REF!</v>
      </c>
      <c r="O2" s="12"/>
      <c r="S2" s="13"/>
      <c r="T2" s="8">
        <v>0.155</v>
      </c>
      <c r="U2" s="8">
        <f>917270+813318+608426+406146</f>
        <v>2745160</v>
      </c>
      <c r="W2" s="13">
        <f>U2/(1200^2)*2.54^2</f>
        <v>12.299079344444445</v>
      </c>
      <c r="X2" s="13">
        <f>K2*0.000001/18*1000/T2/(W2/10000)</f>
        <v>7.3613342814556653</v>
      </c>
      <c r="Y2" s="13" t="e">
        <f>X2/(0.88862*(1/POWER(10,(1.3272*(20-M2)-0.001053*(M2-20)^2)/(M2+105))))</f>
        <v>#REF!</v>
      </c>
      <c r="Z2" s="13">
        <f>MAX(S2:T2)</f>
        <v>0.155</v>
      </c>
      <c r="AB2" s="8" t="s">
        <v>35</v>
      </c>
      <c r="AD2" s="14"/>
      <c r="AE2" s="14"/>
      <c r="AF2" s="13"/>
      <c r="AG2" s="13"/>
    </row>
    <row r="3" spans="1:33" x14ac:dyDescent="0.3">
      <c r="A3" t="s">
        <v>47</v>
      </c>
      <c r="B3">
        <v>1</v>
      </c>
      <c r="D3">
        <v>1</v>
      </c>
      <c r="F3">
        <v>1</v>
      </c>
      <c r="G3">
        <v>11262024</v>
      </c>
      <c r="H3" s="5">
        <v>0.49305555555555558</v>
      </c>
      <c r="I3" s="5">
        <v>0.50416666666666665</v>
      </c>
      <c r="J3" t="s">
        <v>28</v>
      </c>
      <c r="K3">
        <v>51.9</v>
      </c>
      <c r="L3">
        <v>0.05</v>
      </c>
      <c r="M3">
        <v>25</v>
      </c>
      <c r="T3">
        <v>0.19500000000000001</v>
      </c>
      <c r="U3">
        <f>3969912+402144</f>
        <v>4372056</v>
      </c>
      <c r="W3" s="4">
        <f t="shared" ref="W3:W10" si="0">U3/(1200^2)*2.54^2</f>
        <v>19.588025340000002</v>
      </c>
      <c r="X3" s="4">
        <f t="shared" ref="X3:X10" si="1">K3*0.000001/18*1000/T3/(W3/10000)</f>
        <v>7.5486551245827531</v>
      </c>
      <c r="Y3" s="4">
        <f t="shared" ref="Y3" si="2">X3/(0.88862*(1/POWER(10,(1.3272*(20-M3)-0.001053*(M3-20)^2)/(M3+105))))</f>
        <v>7.5492680627950941</v>
      </c>
      <c r="Z3" s="4">
        <f t="shared" ref="Z3" si="3">MAX(S3:T3)</f>
        <v>0.19500000000000001</v>
      </c>
      <c r="AB3" t="s">
        <v>52</v>
      </c>
    </row>
    <row r="4" spans="1:33" x14ac:dyDescent="0.3">
      <c r="A4" t="s">
        <v>47</v>
      </c>
      <c r="B4">
        <v>2</v>
      </c>
      <c r="D4">
        <v>1</v>
      </c>
      <c r="F4">
        <v>2</v>
      </c>
      <c r="G4">
        <v>11262024</v>
      </c>
      <c r="H4" s="5">
        <v>0.4777777777777778</v>
      </c>
      <c r="I4" s="5">
        <v>0.4909722222222222</v>
      </c>
      <c r="J4" t="s">
        <v>28</v>
      </c>
      <c r="K4">
        <v>31.66</v>
      </c>
      <c r="L4">
        <v>0.05</v>
      </c>
      <c r="M4">
        <v>25</v>
      </c>
      <c r="T4">
        <v>0.11</v>
      </c>
      <c r="U4">
        <f>5219964+601121</f>
        <v>5821085</v>
      </c>
      <c r="W4" s="4">
        <f t="shared" si="0"/>
        <v>26.080077768055556</v>
      </c>
      <c r="X4" s="4">
        <f t="shared" si="1"/>
        <v>6.1310779561724988</v>
      </c>
      <c r="Y4" s="4">
        <f t="shared" ref="Y4:Y18" si="4">X4/(0.88862*(1/POWER(10,(1.3272*(20-M4)-0.001053*(M4-20)^2)/(M4+105))))</f>
        <v>6.1315757894818974</v>
      </c>
      <c r="Z4" s="4">
        <f t="shared" ref="Z4:Z18" si="5">MAX(S4:T4)</f>
        <v>0.11</v>
      </c>
      <c r="AB4" t="s">
        <v>52</v>
      </c>
    </row>
    <row r="5" spans="1:33" x14ac:dyDescent="0.3">
      <c r="A5" t="s">
        <v>47</v>
      </c>
      <c r="B5">
        <v>2</v>
      </c>
      <c r="D5">
        <v>2</v>
      </c>
      <c r="F5">
        <v>2</v>
      </c>
      <c r="G5">
        <v>11262024</v>
      </c>
      <c r="H5" s="5">
        <v>0.52500000000000002</v>
      </c>
      <c r="I5" s="5">
        <v>0.53680555555555554</v>
      </c>
      <c r="J5" t="s">
        <v>28</v>
      </c>
      <c r="K5">
        <v>44.33</v>
      </c>
      <c r="L5">
        <v>0.02</v>
      </c>
      <c r="M5">
        <v>25</v>
      </c>
      <c r="T5">
        <v>0.11899999999999999</v>
      </c>
      <c r="U5">
        <f>4887162+312130</f>
        <v>5199292</v>
      </c>
      <c r="W5" s="4">
        <f t="shared" si="0"/>
        <v>23.294272407777779</v>
      </c>
      <c r="X5" s="4">
        <f t="shared" si="1"/>
        <v>8.8844206917810471</v>
      </c>
      <c r="Y5" s="4">
        <f t="shared" si="4"/>
        <v>8.8851420919306943</v>
      </c>
      <c r="Z5" s="4">
        <f t="shared" si="5"/>
        <v>0.11899999999999999</v>
      </c>
      <c r="AB5" t="s">
        <v>52</v>
      </c>
    </row>
    <row r="6" spans="1:33" x14ac:dyDescent="0.3">
      <c r="A6" t="s">
        <v>47</v>
      </c>
      <c r="B6">
        <v>2</v>
      </c>
      <c r="D6">
        <v>3</v>
      </c>
      <c r="F6">
        <v>1</v>
      </c>
      <c r="G6">
        <v>11262024</v>
      </c>
      <c r="H6" s="5">
        <v>0.56041666666666667</v>
      </c>
      <c r="I6" s="5">
        <v>0.58611111111111114</v>
      </c>
      <c r="J6" t="s">
        <v>28</v>
      </c>
      <c r="K6">
        <v>24.56</v>
      </c>
      <c r="L6">
        <v>7.0000000000000007E-2</v>
      </c>
      <c r="M6">
        <v>25</v>
      </c>
      <c r="T6">
        <v>0.11600000000000001</v>
      </c>
      <c r="U6">
        <f>5984290+180956</f>
        <v>6165246</v>
      </c>
      <c r="W6" s="4">
        <f t="shared" si="0"/>
        <v>27.622014648333337</v>
      </c>
      <c r="X6" s="4">
        <f t="shared" si="1"/>
        <v>4.2583614037687205</v>
      </c>
      <c r="Y6" s="4">
        <f t="shared" si="4"/>
        <v>4.2587071756159238</v>
      </c>
      <c r="Z6" s="4">
        <f t="shared" si="5"/>
        <v>0.11600000000000001</v>
      </c>
      <c r="AB6" t="s">
        <v>53</v>
      </c>
    </row>
    <row r="7" spans="1:33" x14ac:dyDescent="0.3">
      <c r="A7" t="s">
        <v>47</v>
      </c>
      <c r="B7">
        <v>2</v>
      </c>
      <c r="D7">
        <v>4</v>
      </c>
      <c r="F7">
        <v>2</v>
      </c>
      <c r="G7">
        <v>11262024</v>
      </c>
      <c r="H7" s="5">
        <v>0.55972222222222223</v>
      </c>
      <c r="I7" s="5">
        <v>0.5708333333333333</v>
      </c>
      <c r="J7" t="s">
        <v>28</v>
      </c>
      <c r="K7">
        <v>28.9</v>
      </c>
      <c r="L7">
        <v>0.03</v>
      </c>
      <c r="M7">
        <v>25</v>
      </c>
      <c r="T7">
        <v>6.8000000000000005E-2</v>
      </c>
      <c r="U7">
        <f>5515089+77479+43840</f>
        <v>5636408</v>
      </c>
      <c r="W7" s="4">
        <f t="shared" si="0"/>
        <v>25.25267350888889</v>
      </c>
      <c r="X7" s="4">
        <f t="shared" si="1"/>
        <v>9.3499451069210746</v>
      </c>
      <c r="Y7" s="4">
        <f t="shared" si="4"/>
        <v>9.3507043068771907</v>
      </c>
      <c r="Z7" s="4">
        <f t="shared" si="5"/>
        <v>6.8000000000000005E-2</v>
      </c>
      <c r="AB7" t="s">
        <v>52</v>
      </c>
    </row>
    <row r="8" spans="1:33" x14ac:dyDescent="0.3">
      <c r="A8" t="s">
        <v>47</v>
      </c>
      <c r="B8">
        <v>2</v>
      </c>
      <c r="D8">
        <v>5</v>
      </c>
      <c r="F8">
        <v>2</v>
      </c>
      <c r="G8">
        <v>11272024</v>
      </c>
      <c r="H8" s="5">
        <v>0.40138888888888891</v>
      </c>
      <c r="I8" s="5">
        <v>0.41458333333333336</v>
      </c>
      <c r="J8" t="s">
        <v>28</v>
      </c>
      <c r="K8">
        <v>83.26</v>
      </c>
      <c r="L8">
        <v>0.04</v>
      </c>
      <c r="M8">
        <v>26</v>
      </c>
      <c r="T8">
        <v>0.11</v>
      </c>
      <c r="U8">
        <f>6993090+85575</f>
        <v>7078665</v>
      </c>
      <c r="W8" s="4">
        <f t="shared" si="0"/>
        <v>31.71438549583333</v>
      </c>
      <c r="X8" s="4">
        <f t="shared" si="1"/>
        <v>13.25912654244229</v>
      </c>
      <c r="Y8" s="4">
        <f t="shared" si="4"/>
        <v>12.96348207618761</v>
      </c>
      <c r="Z8" s="4">
        <f t="shared" si="5"/>
        <v>0.11</v>
      </c>
    </row>
    <row r="9" spans="1:33" x14ac:dyDescent="0.3">
      <c r="A9" t="s">
        <v>47</v>
      </c>
      <c r="B9">
        <v>2</v>
      </c>
      <c r="D9">
        <v>6</v>
      </c>
      <c r="F9">
        <v>1</v>
      </c>
      <c r="G9">
        <v>11272024</v>
      </c>
      <c r="H9" s="5">
        <v>0.40763888888888888</v>
      </c>
      <c r="I9" s="5">
        <v>0.42152777777777778</v>
      </c>
      <c r="J9" t="s">
        <v>28</v>
      </c>
      <c r="K9">
        <v>110.26</v>
      </c>
      <c r="L9">
        <v>0.03</v>
      </c>
      <c r="M9">
        <v>26</v>
      </c>
      <c r="T9">
        <v>0.153</v>
      </c>
      <c r="U9">
        <f>51760+6285352</f>
        <v>6337112</v>
      </c>
      <c r="W9" s="4">
        <f t="shared" si="0"/>
        <v>28.392022068888888</v>
      </c>
      <c r="X9" s="4">
        <f t="shared" si="1"/>
        <v>14.101253768922332</v>
      </c>
      <c r="Y9" s="4">
        <f t="shared" si="4"/>
        <v>13.786832028493953</v>
      </c>
      <c r="Z9" s="4">
        <f t="shared" si="5"/>
        <v>0.153</v>
      </c>
    </row>
    <row r="10" spans="1:33" x14ac:dyDescent="0.3">
      <c r="A10" t="s">
        <v>47</v>
      </c>
      <c r="B10">
        <v>1</v>
      </c>
      <c r="D10">
        <v>2</v>
      </c>
      <c r="F10">
        <v>2</v>
      </c>
      <c r="G10">
        <v>11272024</v>
      </c>
      <c r="H10" s="5">
        <v>0.41666666666666669</v>
      </c>
      <c r="I10" s="5">
        <v>0.43194444444444446</v>
      </c>
      <c r="J10" t="s">
        <v>28</v>
      </c>
      <c r="K10">
        <v>107.16</v>
      </c>
      <c r="L10">
        <v>0.04</v>
      </c>
      <c r="M10">
        <v>26</v>
      </c>
      <c r="T10">
        <v>9.5000000000000001E-2</v>
      </c>
      <c r="U10">
        <f>6500321+35067+855875</f>
        <v>7391263</v>
      </c>
      <c r="W10" s="4">
        <f t="shared" si="0"/>
        <v>33.114911368611111</v>
      </c>
      <c r="X10" s="4">
        <f t="shared" si="1"/>
        <v>18.924002534419284</v>
      </c>
      <c r="Y10" s="4">
        <f t="shared" si="4"/>
        <v>18.502045883596036</v>
      </c>
      <c r="Z10" s="4">
        <f t="shared" si="5"/>
        <v>9.5000000000000001E-2</v>
      </c>
    </row>
    <row r="11" spans="1:33" x14ac:dyDescent="0.3">
      <c r="A11" t="s">
        <v>47</v>
      </c>
      <c r="B11">
        <v>1</v>
      </c>
      <c r="D11">
        <v>3</v>
      </c>
      <c r="F11">
        <v>1</v>
      </c>
      <c r="G11">
        <v>11272024</v>
      </c>
      <c r="H11" s="5">
        <v>0.42569444444444443</v>
      </c>
      <c r="I11" s="5">
        <v>0.43819444444444444</v>
      </c>
      <c r="J11" t="s">
        <v>28</v>
      </c>
      <c r="K11">
        <v>92.53</v>
      </c>
      <c r="L11">
        <v>0.05</v>
      </c>
      <c r="M11">
        <v>26</v>
      </c>
      <c r="T11">
        <v>5.2999999999999999E-2</v>
      </c>
      <c r="U11">
        <f>6692052+24861+104593+816584</f>
        <v>7638090</v>
      </c>
      <c r="W11" s="4">
        <f t="shared" ref="W11:W17" si="6">U11/(1200^2)*2.54^2</f>
        <v>34.220764891666668</v>
      </c>
      <c r="X11" s="4">
        <f t="shared" ref="X11:X17" si="7">K11*0.000001/18*1000/T11/(W11/10000)</f>
        <v>28.342912428408138</v>
      </c>
      <c r="Y11" s="4">
        <f t="shared" si="4"/>
        <v>27.710938279117276</v>
      </c>
      <c r="Z11" s="4">
        <f t="shared" si="5"/>
        <v>5.2999999999999999E-2</v>
      </c>
    </row>
    <row r="12" spans="1:33" x14ac:dyDescent="0.3">
      <c r="A12" t="s">
        <v>47</v>
      </c>
      <c r="B12">
        <v>3</v>
      </c>
      <c r="D12">
        <v>1</v>
      </c>
      <c r="F12">
        <v>2</v>
      </c>
      <c r="G12">
        <v>11272024</v>
      </c>
      <c r="H12" s="5">
        <v>0.43958333333333333</v>
      </c>
      <c r="I12" s="5">
        <v>0.46527777777777779</v>
      </c>
      <c r="J12" t="s">
        <v>28</v>
      </c>
      <c r="K12">
        <v>87.2</v>
      </c>
      <c r="L12">
        <v>0.01</v>
      </c>
      <c r="M12">
        <v>24</v>
      </c>
      <c r="T12">
        <v>8.2000000000000003E-2</v>
      </c>
      <c r="U12">
        <f>65227+5673214</f>
        <v>5738441</v>
      </c>
      <c r="W12" s="4">
        <f t="shared" si="6"/>
        <v>25.709809691388887</v>
      </c>
      <c r="X12" s="4">
        <f t="shared" si="7"/>
        <v>22.979007427540527</v>
      </c>
      <c r="Y12" s="4">
        <f t="shared" si="4"/>
        <v>23.51424770729157</v>
      </c>
      <c r="Z12" s="4">
        <f t="shared" si="5"/>
        <v>8.2000000000000003E-2</v>
      </c>
    </row>
    <row r="13" spans="1:33" x14ac:dyDescent="0.3">
      <c r="A13" t="s">
        <v>47</v>
      </c>
      <c r="B13">
        <v>3</v>
      </c>
      <c r="D13">
        <v>2</v>
      </c>
      <c r="F13">
        <v>1</v>
      </c>
      <c r="G13">
        <v>11272024</v>
      </c>
      <c r="H13" s="5">
        <v>0.44583333333333336</v>
      </c>
      <c r="I13" s="5">
        <v>0.4597222222222222</v>
      </c>
      <c r="J13" t="s">
        <v>28</v>
      </c>
      <c r="K13">
        <v>84.37</v>
      </c>
      <c r="L13">
        <v>0.03</v>
      </c>
      <c r="M13">
        <v>25</v>
      </c>
      <c r="T13">
        <v>0.11700000000000001</v>
      </c>
      <c r="U13">
        <f>220856+5170322</f>
        <v>5391178</v>
      </c>
      <c r="W13" s="4">
        <f t="shared" si="6"/>
        <v>24.153974989444446</v>
      </c>
      <c r="X13" s="4">
        <f t="shared" si="7"/>
        <v>16.585977427139486</v>
      </c>
      <c r="Y13" s="4">
        <f t="shared" si="4"/>
        <v>16.587324180857379</v>
      </c>
      <c r="Z13" s="4">
        <f t="shared" si="5"/>
        <v>0.11700000000000001</v>
      </c>
    </row>
    <row r="14" spans="1:33" x14ac:dyDescent="0.3">
      <c r="A14" t="s">
        <v>47</v>
      </c>
      <c r="B14">
        <v>2</v>
      </c>
      <c r="D14">
        <v>7</v>
      </c>
      <c r="F14">
        <v>1</v>
      </c>
      <c r="G14">
        <v>11272024</v>
      </c>
      <c r="H14" s="5">
        <v>0.46458333333333335</v>
      </c>
      <c r="I14" s="5">
        <v>0.48749999999999999</v>
      </c>
      <c r="J14" t="s">
        <v>28</v>
      </c>
      <c r="K14">
        <v>155.83000000000001</v>
      </c>
      <c r="L14">
        <v>0.03</v>
      </c>
      <c r="M14">
        <v>24</v>
      </c>
      <c r="T14">
        <v>8.5999999999999993E-2</v>
      </c>
      <c r="U14">
        <f>147368+6894362</f>
        <v>7041730</v>
      </c>
      <c r="W14" s="4">
        <f t="shared" si="6"/>
        <v>31.54890643611111</v>
      </c>
      <c r="X14" s="4">
        <f t="shared" si="7"/>
        <v>31.907722342407489</v>
      </c>
      <c r="Y14" s="4">
        <f t="shared" si="4"/>
        <v>32.650935393999106</v>
      </c>
      <c r="Z14" s="4">
        <f t="shared" si="5"/>
        <v>8.5999999999999993E-2</v>
      </c>
      <c r="AB14" t="s">
        <v>48</v>
      </c>
    </row>
    <row r="15" spans="1:33" x14ac:dyDescent="0.3">
      <c r="A15" t="s">
        <v>47</v>
      </c>
      <c r="B15">
        <v>1</v>
      </c>
      <c r="D15">
        <v>4</v>
      </c>
      <c r="F15">
        <v>2</v>
      </c>
      <c r="G15">
        <v>11272024</v>
      </c>
      <c r="H15" s="5">
        <v>0.47013888888888888</v>
      </c>
      <c r="I15" s="5">
        <v>0.49166666666666664</v>
      </c>
      <c r="J15" t="s">
        <v>28</v>
      </c>
      <c r="K15">
        <v>62.47</v>
      </c>
      <c r="L15">
        <v>0.05</v>
      </c>
      <c r="M15">
        <v>24</v>
      </c>
      <c r="T15">
        <v>0.03</v>
      </c>
      <c r="U15">
        <f>4311455+43130</f>
        <v>4354585</v>
      </c>
      <c r="W15" s="4">
        <f t="shared" si="6"/>
        <v>19.509750406944445</v>
      </c>
      <c r="X15" s="4">
        <f t="shared" si="7"/>
        <v>59.296086711600026</v>
      </c>
      <c r="Y15" s="4">
        <f t="shared" si="4"/>
        <v>60.677245325162296</v>
      </c>
      <c r="Z15" s="4">
        <f t="shared" si="5"/>
        <v>0.03</v>
      </c>
      <c r="AB15" t="s">
        <v>49</v>
      </c>
    </row>
    <row r="16" spans="1:33" x14ac:dyDescent="0.3">
      <c r="A16" t="s">
        <v>47</v>
      </c>
      <c r="B16">
        <v>1</v>
      </c>
      <c r="D16">
        <v>5</v>
      </c>
      <c r="F16">
        <v>1</v>
      </c>
      <c r="G16">
        <v>11272024</v>
      </c>
      <c r="H16" s="5">
        <v>0.49444444444444446</v>
      </c>
      <c r="I16" s="5">
        <v>0.50763888888888886</v>
      </c>
      <c r="J16" t="s">
        <v>28</v>
      </c>
      <c r="K16">
        <v>40.17</v>
      </c>
      <c r="L16">
        <v>0.05</v>
      </c>
      <c r="M16">
        <v>26</v>
      </c>
      <c r="T16">
        <v>8.7999999999999995E-2</v>
      </c>
      <c r="U16">
        <f>75078+4553275</f>
        <v>4628353</v>
      </c>
      <c r="W16" s="4">
        <f t="shared" si="6"/>
        <v>20.736307093611114</v>
      </c>
      <c r="X16" s="4">
        <f t="shared" si="7"/>
        <v>12.229684085196583</v>
      </c>
      <c r="Y16" s="4">
        <f t="shared" si="4"/>
        <v>11.956993541648508</v>
      </c>
      <c r="Z16" s="4">
        <f t="shared" si="5"/>
        <v>8.7999999999999995E-2</v>
      </c>
    </row>
    <row r="17" spans="1:28" x14ac:dyDescent="0.3">
      <c r="A17" t="s">
        <v>47</v>
      </c>
      <c r="B17">
        <v>3</v>
      </c>
      <c r="D17">
        <v>3</v>
      </c>
      <c r="F17">
        <v>2</v>
      </c>
      <c r="G17">
        <v>11272024</v>
      </c>
      <c r="H17" s="5">
        <v>0.49583333333333335</v>
      </c>
      <c r="I17" s="5">
        <v>0.51388888888888884</v>
      </c>
      <c r="J17" t="s">
        <v>28</v>
      </c>
      <c r="K17">
        <v>116.63</v>
      </c>
      <c r="L17">
        <v>0.02</v>
      </c>
      <c r="M17">
        <v>25</v>
      </c>
      <c r="T17">
        <v>0.113</v>
      </c>
      <c r="U17">
        <f>71993+6083976</f>
        <v>6155969</v>
      </c>
      <c r="W17" s="4">
        <f t="shared" si="6"/>
        <v>27.580451111388889</v>
      </c>
      <c r="X17" s="4">
        <f t="shared" si="7"/>
        <v>20.790166227135966</v>
      </c>
      <c r="Y17" s="4">
        <f t="shared" si="4"/>
        <v>20.791854353975943</v>
      </c>
      <c r="Z17" s="4">
        <f t="shared" si="5"/>
        <v>0.113</v>
      </c>
      <c r="AB17" t="s">
        <v>51</v>
      </c>
    </row>
    <row r="18" spans="1:28" x14ac:dyDescent="0.3">
      <c r="A18" t="s">
        <v>47</v>
      </c>
      <c r="B18">
        <v>4</v>
      </c>
      <c r="D18">
        <v>1</v>
      </c>
      <c r="F18">
        <v>2</v>
      </c>
      <c r="G18">
        <v>12022024</v>
      </c>
      <c r="H18" s="5">
        <v>0.59513888888888888</v>
      </c>
      <c r="I18" s="5">
        <v>0.60833333333333328</v>
      </c>
      <c r="J18" t="s">
        <v>28</v>
      </c>
      <c r="K18">
        <v>72.930000000000007</v>
      </c>
      <c r="L18">
        <v>0.03</v>
      </c>
      <c r="M18">
        <v>27</v>
      </c>
      <c r="Q18">
        <v>0.11700000000000001</v>
      </c>
      <c r="R18">
        <v>5.8000000000000003E-2</v>
      </c>
      <c r="S18">
        <f>AVERAGE(Q18,R18)</f>
        <v>8.7500000000000008E-2</v>
      </c>
      <c r="T18">
        <v>5.5E-2</v>
      </c>
      <c r="U18">
        <f>22679+7830667</f>
        <v>7853346</v>
      </c>
      <c r="W18" s="4">
        <f t="shared" ref="W18" si="8">U18/(1200^2)*2.54^2</f>
        <v>35.185171564999997</v>
      </c>
      <c r="X18" s="4">
        <f>K18*0.000001/18*1000/S18/(W18/10000)</f>
        <v>13.160305846234094</v>
      </c>
      <c r="Y18" s="4">
        <f t="shared" si="4"/>
        <v>12.582797120315549</v>
      </c>
      <c r="Z18" s="4">
        <f t="shared" si="5"/>
        <v>8.7500000000000008E-2</v>
      </c>
    </row>
    <row r="19" spans="1:28" x14ac:dyDescent="0.3">
      <c r="A19" t="s">
        <v>47</v>
      </c>
      <c r="B19">
        <v>4</v>
      </c>
      <c r="D19">
        <v>2</v>
      </c>
      <c r="F19">
        <v>1</v>
      </c>
      <c r="G19">
        <v>12022024</v>
      </c>
      <c r="H19" s="5">
        <v>0.58472222222222225</v>
      </c>
      <c r="I19" s="5">
        <v>0.60347222222222219</v>
      </c>
      <c r="J19" t="s">
        <v>28</v>
      </c>
      <c r="K19">
        <v>95.53</v>
      </c>
      <c r="L19">
        <v>0.04</v>
      </c>
      <c r="M19">
        <v>25</v>
      </c>
      <c r="Q19">
        <v>0.33400000000000002</v>
      </c>
      <c r="R19">
        <v>0.25600000000000001</v>
      </c>
      <c r="S19">
        <f>AVERAGE(Q19,R19)</f>
        <v>0.29500000000000004</v>
      </c>
      <c r="T19">
        <v>0.03</v>
      </c>
      <c r="U19">
        <f>48978+7883913+367683</f>
        <v>8300574</v>
      </c>
      <c r="W19" s="4">
        <f>U19/(1200^2)*2.54^2</f>
        <v>37.188877235</v>
      </c>
      <c r="X19" s="4">
        <f>K19*0.000001/18*1000/S19/(W19/10000)</f>
        <v>4.8376248872637211</v>
      </c>
      <c r="Y19" s="13">
        <f>X19/(0.88862*(1/POWER(10,(1.3272*(20-M19)-0.001053*(M19-20)^2)/(M19+105))))</f>
        <v>4.838017694340139</v>
      </c>
      <c r="Z19" s="13">
        <f t="shared" ref="Z19:Z37" si="9">MAX(S19:T19)</f>
        <v>0.29500000000000004</v>
      </c>
    </row>
    <row r="20" spans="1:28" x14ac:dyDescent="0.3">
      <c r="A20" t="s">
        <v>47</v>
      </c>
      <c r="B20">
        <v>5</v>
      </c>
      <c r="D20">
        <v>1</v>
      </c>
      <c r="F20">
        <v>1</v>
      </c>
      <c r="G20">
        <v>12022024</v>
      </c>
      <c r="H20" s="5">
        <v>0.6118055555555556</v>
      </c>
      <c r="I20" s="5">
        <v>0.62916666666666665</v>
      </c>
      <c r="J20" t="s">
        <v>28</v>
      </c>
      <c r="K20">
        <v>48.7</v>
      </c>
      <c r="L20">
        <v>0.05</v>
      </c>
      <c r="M20">
        <v>25</v>
      </c>
      <c r="Q20">
        <v>0.13900000000000001</v>
      </c>
      <c r="R20">
        <v>0.05</v>
      </c>
      <c r="S20">
        <f>AVERAGE(Q20,R20)</f>
        <v>9.4500000000000001E-2</v>
      </c>
      <c r="T20">
        <v>8.6999999999999994E-2</v>
      </c>
      <c r="U20">
        <f>6368947+32368</f>
        <v>6401315</v>
      </c>
      <c r="W20" s="4">
        <f t="shared" ref="W20:W21" si="10">U20/(1200^2)*2.54^2</f>
        <v>28.679669343055554</v>
      </c>
      <c r="X20" s="4">
        <f>K20*0.000001/18*1000/S20/(W20/10000)</f>
        <v>9.9827571847647132</v>
      </c>
      <c r="Y20" s="4">
        <f t="shared" ref="Y20:Y21" si="11">X20/(0.88862*(1/POWER(10,(1.3272*(20-M20)-0.001053*(M20-20)^2)/(M20+105))))</f>
        <v>9.9835677680066386</v>
      </c>
      <c r="Z20" s="4">
        <f t="shared" si="9"/>
        <v>9.4500000000000001E-2</v>
      </c>
    </row>
    <row r="21" spans="1:28" x14ac:dyDescent="0.3">
      <c r="A21" t="s">
        <v>47</v>
      </c>
      <c r="B21">
        <v>5</v>
      </c>
      <c r="D21">
        <v>2</v>
      </c>
      <c r="F21">
        <v>2</v>
      </c>
      <c r="G21">
        <v>12022024</v>
      </c>
      <c r="H21" s="5">
        <v>0.62013888888888891</v>
      </c>
      <c r="I21" s="5">
        <v>0.63680555555555551</v>
      </c>
      <c r="J21" t="s">
        <v>28</v>
      </c>
      <c r="K21">
        <v>68.8</v>
      </c>
      <c r="L21">
        <v>0.03</v>
      </c>
      <c r="M21">
        <v>24</v>
      </c>
      <c r="Q21">
        <v>0.89600000000000002</v>
      </c>
      <c r="R21">
        <v>0.46500000000000002</v>
      </c>
      <c r="S21">
        <f t="shared" ref="S21:S28" si="12">AVERAGE(Q21,R21)</f>
        <v>0.68049999999999999</v>
      </c>
      <c r="T21">
        <v>0.14399999999999999</v>
      </c>
      <c r="U21">
        <f>5704013+49971</f>
        <v>5753984</v>
      </c>
      <c r="W21" s="4">
        <f t="shared" si="10"/>
        <v>25.779446648888889</v>
      </c>
      <c r="X21" s="4">
        <f>K21*0.000001/18*1000/S21/(W21/10000)</f>
        <v>2.1787841764707236</v>
      </c>
      <c r="Y21" s="4">
        <f t="shared" si="11"/>
        <v>2.2295336727580901</v>
      </c>
      <c r="Z21" s="4">
        <f t="shared" si="9"/>
        <v>0.68049999999999999</v>
      </c>
    </row>
    <row r="22" spans="1:28" x14ac:dyDescent="0.3">
      <c r="A22" t="s">
        <v>47</v>
      </c>
      <c r="B22">
        <v>4</v>
      </c>
      <c r="D22">
        <v>3</v>
      </c>
      <c r="F22">
        <v>2</v>
      </c>
      <c r="G22">
        <v>12032024</v>
      </c>
      <c r="H22" s="5">
        <v>0.44861111111111113</v>
      </c>
      <c r="I22" s="5">
        <v>0.46736111111111112</v>
      </c>
      <c r="J22" t="s">
        <v>28</v>
      </c>
      <c r="K22">
        <v>172.7</v>
      </c>
      <c r="L22">
        <v>0.04</v>
      </c>
      <c r="M22">
        <v>25</v>
      </c>
      <c r="Q22">
        <v>0.48499999999999999</v>
      </c>
      <c r="R22">
        <v>0.56499999999999995</v>
      </c>
      <c r="S22">
        <f t="shared" si="12"/>
        <v>0.52499999999999991</v>
      </c>
      <c r="T22">
        <v>4.7E-2</v>
      </c>
      <c r="U22">
        <v>6318620</v>
      </c>
      <c r="W22" s="4">
        <f t="shared" ref="W22:W37" si="13">U22/(1200^2)*2.54^2</f>
        <v>28.309172772222219</v>
      </c>
      <c r="X22" s="4">
        <f>K22*0.000001/18*1000/R22/(W22/10000)</f>
        <v>5.9985213052389827</v>
      </c>
      <c r="Y22" s="13">
        <f t="shared" ref="Y22:Y37" si="14">X22/(0.88862*(1/POWER(10,(1.3272*(20-M22)-0.001053*(M22-20)^2)/(M22+105))))</f>
        <v>5.9990083751693009</v>
      </c>
      <c r="Z22" s="13">
        <f t="shared" si="9"/>
        <v>0.52499999999999991</v>
      </c>
    </row>
    <row r="23" spans="1:28" x14ac:dyDescent="0.3">
      <c r="A23" t="s">
        <v>47</v>
      </c>
      <c r="B23">
        <v>1</v>
      </c>
      <c r="C23">
        <v>7</v>
      </c>
      <c r="D23">
        <v>6</v>
      </c>
      <c r="E23">
        <v>1</v>
      </c>
      <c r="F23">
        <v>2</v>
      </c>
      <c r="G23">
        <v>12032024</v>
      </c>
      <c r="H23" s="5">
        <v>0.48125000000000001</v>
      </c>
      <c r="I23" s="5">
        <v>0.49444444444444446</v>
      </c>
      <c r="J23" t="s">
        <v>28</v>
      </c>
      <c r="K23">
        <v>68.33</v>
      </c>
      <c r="L23">
        <v>0.02</v>
      </c>
      <c r="M23">
        <v>26</v>
      </c>
      <c r="Q23">
        <v>1.0469999999999999</v>
      </c>
      <c r="R23">
        <v>1.0549999999999999</v>
      </c>
      <c r="S23">
        <f t="shared" si="12"/>
        <v>1.0509999999999999</v>
      </c>
      <c r="T23">
        <v>0.24</v>
      </c>
      <c r="U23">
        <v>5809213</v>
      </c>
      <c r="W23" s="4">
        <f t="shared" si="13"/>
        <v>26.026887910277779</v>
      </c>
      <c r="X23" s="4">
        <f>K23*0.000001/18*1000/S23/(W23/10000)</f>
        <v>1.3877586975505185</v>
      </c>
      <c r="Y23" s="4">
        <f t="shared" si="14"/>
        <v>1.3568152430089013</v>
      </c>
      <c r="Z23" s="4">
        <f t="shared" si="9"/>
        <v>1.0509999999999999</v>
      </c>
      <c r="AB23" t="s">
        <v>54</v>
      </c>
    </row>
    <row r="24" spans="1:28" x14ac:dyDescent="0.3">
      <c r="A24" t="s">
        <v>47</v>
      </c>
      <c r="B24">
        <v>4</v>
      </c>
      <c r="D24">
        <v>4</v>
      </c>
      <c r="F24">
        <v>2</v>
      </c>
      <c r="G24">
        <v>12032024</v>
      </c>
      <c r="H24" s="5">
        <v>0.50624999999999998</v>
      </c>
      <c r="I24" s="5">
        <v>0.52361111111111114</v>
      </c>
      <c r="J24" t="s">
        <v>28</v>
      </c>
      <c r="K24">
        <v>59.93</v>
      </c>
      <c r="L24">
        <v>0.02</v>
      </c>
      <c r="M24">
        <v>25</v>
      </c>
      <c r="Q24">
        <v>0.44900000000000001</v>
      </c>
      <c r="R24">
        <v>0.46</v>
      </c>
      <c r="S24">
        <f t="shared" si="12"/>
        <v>0.45450000000000002</v>
      </c>
      <c r="T24">
        <v>0.11</v>
      </c>
      <c r="U24">
        <v>5728018</v>
      </c>
      <c r="W24" s="4">
        <f t="shared" si="13"/>
        <v>25.66311175611111</v>
      </c>
      <c r="X24" s="4">
        <f>K24*0.000001/18*1000/S24/(W24/10000)</f>
        <v>2.8544902887960375</v>
      </c>
      <c r="Y24" s="4">
        <f t="shared" si="14"/>
        <v>2.8547220686489894</v>
      </c>
      <c r="Z24" s="4">
        <f t="shared" si="9"/>
        <v>0.45450000000000002</v>
      </c>
      <c r="AB24" t="s">
        <v>54</v>
      </c>
    </row>
    <row r="25" spans="1:28" x14ac:dyDescent="0.3">
      <c r="A25" t="s">
        <v>47</v>
      </c>
      <c r="B25">
        <v>1</v>
      </c>
      <c r="C25">
        <v>7</v>
      </c>
      <c r="D25">
        <v>7</v>
      </c>
      <c r="E25">
        <v>2</v>
      </c>
      <c r="F25">
        <v>1</v>
      </c>
      <c r="G25">
        <v>12032024</v>
      </c>
      <c r="H25" s="5">
        <v>0.49791666666666667</v>
      </c>
      <c r="I25" s="5">
        <v>0.51388888888888884</v>
      </c>
      <c r="J25" t="s">
        <v>28</v>
      </c>
      <c r="K25" s="2">
        <v>70.02</v>
      </c>
      <c r="L25">
        <v>0.05</v>
      </c>
      <c r="M25">
        <v>26</v>
      </c>
      <c r="Q25">
        <v>0.08</v>
      </c>
      <c r="R25">
        <v>0.159</v>
      </c>
      <c r="S25">
        <f t="shared" si="12"/>
        <v>0.1195</v>
      </c>
      <c r="T25">
        <v>0.36399999999999999</v>
      </c>
      <c r="U25">
        <v>7240569</v>
      </c>
      <c r="W25" s="4">
        <f t="shared" si="13"/>
        <v>32.439760389166665</v>
      </c>
      <c r="X25" s="4">
        <f t="shared" ref="X25:X37" si="15">K25*0.000001/18*1000/T25/(W25/10000)</f>
        <v>3.2943563881507814</v>
      </c>
      <c r="Y25" s="4">
        <f t="shared" si="14"/>
        <v>3.2209007021438709</v>
      </c>
      <c r="Z25" s="4">
        <f t="shared" si="9"/>
        <v>0.36399999999999999</v>
      </c>
      <c r="AB25" t="s">
        <v>54</v>
      </c>
    </row>
    <row r="26" spans="1:28" x14ac:dyDescent="0.3">
      <c r="A26" t="s">
        <v>47</v>
      </c>
      <c r="B26">
        <v>5</v>
      </c>
      <c r="D26">
        <v>3</v>
      </c>
      <c r="F26">
        <v>2</v>
      </c>
      <c r="G26">
        <v>12032024</v>
      </c>
      <c r="H26" s="5">
        <v>0.52361111111111114</v>
      </c>
      <c r="I26" s="5">
        <v>0.53749999999999998</v>
      </c>
      <c r="J26" t="s">
        <v>28</v>
      </c>
      <c r="K26">
        <v>62.17</v>
      </c>
      <c r="L26">
        <v>0.05</v>
      </c>
      <c r="M26">
        <v>25</v>
      </c>
      <c r="Q26">
        <v>0.25700000000000001</v>
      </c>
      <c r="R26">
        <v>0.28599999999999998</v>
      </c>
      <c r="S26">
        <f t="shared" si="12"/>
        <v>0.27149999999999996</v>
      </c>
      <c r="T26">
        <v>0.217</v>
      </c>
      <c r="U26">
        <v>5110662</v>
      </c>
      <c r="W26" s="4">
        <f t="shared" si="13"/>
        <v>22.897185388333334</v>
      </c>
      <c r="X26" s="4">
        <f>K26*0.000001/18*1000/S26/(W26/10000)</f>
        <v>5.5559256828592902</v>
      </c>
      <c r="Y26" s="4">
        <f t="shared" si="14"/>
        <v>5.5563768147628876</v>
      </c>
      <c r="Z26" s="4">
        <f t="shared" si="9"/>
        <v>0.27149999999999996</v>
      </c>
      <c r="AB26" t="s">
        <v>54</v>
      </c>
    </row>
    <row r="27" spans="1:28" x14ac:dyDescent="0.3">
      <c r="A27" t="s">
        <v>47</v>
      </c>
      <c r="B27">
        <v>1</v>
      </c>
      <c r="C27">
        <v>7</v>
      </c>
      <c r="D27">
        <v>8</v>
      </c>
      <c r="E27">
        <v>3</v>
      </c>
      <c r="F27">
        <v>2</v>
      </c>
      <c r="G27">
        <v>12032024</v>
      </c>
      <c r="H27" s="5">
        <v>0.56874999999999998</v>
      </c>
      <c r="I27" s="5">
        <v>0.59375</v>
      </c>
      <c r="J27" t="s">
        <v>28</v>
      </c>
      <c r="K27">
        <v>82</v>
      </c>
      <c r="L27">
        <v>0.04</v>
      </c>
      <c r="M27">
        <v>24</v>
      </c>
      <c r="Q27">
        <v>0.76300000000000001</v>
      </c>
      <c r="R27">
        <v>0.78400000000000003</v>
      </c>
      <c r="S27">
        <f t="shared" si="12"/>
        <v>0.77350000000000008</v>
      </c>
      <c r="T27">
        <v>9.1999999999999998E-2</v>
      </c>
      <c r="U27">
        <v>6960039</v>
      </c>
      <c r="W27" s="4">
        <f t="shared" si="13"/>
        <v>31.182908064166664</v>
      </c>
      <c r="X27" s="4">
        <f>K27*0.000001/18*1000/S27/(W27/10000)</f>
        <v>1.8887062390655827</v>
      </c>
      <c r="Y27" s="13">
        <f t="shared" si="14"/>
        <v>1.9326990729141595</v>
      </c>
      <c r="Z27" s="13">
        <f t="shared" si="9"/>
        <v>0.77350000000000008</v>
      </c>
      <c r="AB27" t="s">
        <v>54</v>
      </c>
    </row>
    <row r="28" spans="1:28" x14ac:dyDescent="0.3">
      <c r="A28" t="s">
        <v>47</v>
      </c>
      <c r="B28">
        <v>4</v>
      </c>
      <c r="D28">
        <v>5</v>
      </c>
      <c r="F28">
        <v>2</v>
      </c>
      <c r="G28">
        <v>12032024</v>
      </c>
      <c r="H28" s="5">
        <v>0.60138888888888886</v>
      </c>
      <c r="I28" s="5">
        <v>0.62361111111111112</v>
      </c>
      <c r="J28" t="s">
        <v>28</v>
      </c>
      <c r="K28">
        <v>100.47</v>
      </c>
      <c r="L28">
        <v>0.02</v>
      </c>
      <c r="M28">
        <v>25</v>
      </c>
      <c r="Q28">
        <v>0.26900000000000002</v>
      </c>
      <c r="R28">
        <v>0.54500000000000004</v>
      </c>
      <c r="S28">
        <f t="shared" si="12"/>
        <v>0.40700000000000003</v>
      </c>
      <c r="T28">
        <v>4.3999999999999997E-2</v>
      </c>
      <c r="U28">
        <v>6799317</v>
      </c>
      <c r="W28" s="4">
        <f t="shared" si="13"/>
        <v>30.462828859166667</v>
      </c>
      <c r="X28" s="4">
        <f>K28*0.000001/18*1000/S28/(W28/10000)</f>
        <v>4.5019353841269858</v>
      </c>
      <c r="Y28" s="13">
        <f t="shared" si="14"/>
        <v>4.5023009337753512</v>
      </c>
      <c r="Z28" s="13">
        <f t="shared" si="9"/>
        <v>0.40700000000000003</v>
      </c>
      <c r="AB28" t="s">
        <v>54</v>
      </c>
    </row>
    <row r="29" spans="1:28" x14ac:dyDescent="0.3">
      <c r="A29" t="s">
        <v>47</v>
      </c>
      <c r="B29">
        <v>4</v>
      </c>
      <c r="D29">
        <v>6</v>
      </c>
      <c r="F29">
        <v>2</v>
      </c>
      <c r="G29">
        <v>12032024</v>
      </c>
      <c r="H29" s="5">
        <v>0.63680555555555551</v>
      </c>
      <c r="I29" s="5">
        <v>0.65486111111111112</v>
      </c>
      <c r="J29">
        <v>0</v>
      </c>
      <c r="K29">
        <v>43.8</v>
      </c>
      <c r="L29">
        <v>0.05</v>
      </c>
      <c r="M29">
        <v>23</v>
      </c>
      <c r="T29">
        <v>7.8E-2</v>
      </c>
      <c r="U29">
        <v>7262301</v>
      </c>
      <c r="W29" s="4">
        <f t="shared" si="13"/>
        <v>32.537125785833332</v>
      </c>
      <c r="X29" s="4">
        <f>K29*0.000001/18*1000/T29/(W29/10000)</f>
        <v>9.5879953877684496</v>
      </c>
      <c r="Y29" s="4">
        <f t="shared" si="14"/>
        <v>10.042259594534222</v>
      </c>
      <c r="Z29" s="4">
        <f t="shared" si="9"/>
        <v>7.8E-2</v>
      </c>
    </row>
    <row r="30" spans="1:28" x14ac:dyDescent="0.3">
      <c r="A30" t="s">
        <v>47</v>
      </c>
      <c r="B30">
        <v>5</v>
      </c>
      <c r="D30">
        <v>4</v>
      </c>
      <c r="F30">
        <v>1</v>
      </c>
      <c r="G30">
        <v>12032024</v>
      </c>
      <c r="H30" s="5">
        <v>0.65208333333333335</v>
      </c>
      <c r="I30" s="5">
        <v>0.67847222222222225</v>
      </c>
      <c r="J30">
        <v>0</v>
      </c>
      <c r="K30">
        <v>37.15</v>
      </c>
      <c r="L30">
        <v>0.05</v>
      </c>
      <c r="M30">
        <v>23</v>
      </c>
      <c r="T30">
        <v>5.0999999999999997E-2</v>
      </c>
      <c r="U30">
        <v>8231234</v>
      </c>
      <c r="W30" s="4">
        <f t="shared" si="13"/>
        <v>36.878214773888885</v>
      </c>
      <c r="X30" s="4">
        <f t="shared" si="15"/>
        <v>10.973527280043323</v>
      </c>
      <c r="Y30" s="4">
        <f t="shared" si="14"/>
        <v>11.49343581813573</v>
      </c>
      <c r="Z30" s="4">
        <f t="shared" si="9"/>
        <v>5.0999999999999997E-2</v>
      </c>
      <c r="AB30" t="s">
        <v>55</v>
      </c>
    </row>
    <row r="31" spans="1:28" x14ac:dyDescent="0.3">
      <c r="A31" t="s">
        <v>47</v>
      </c>
      <c r="B31">
        <v>1</v>
      </c>
      <c r="C31">
        <v>7</v>
      </c>
      <c r="D31">
        <v>9</v>
      </c>
      <c r="E31">
        <v>4</v>
      </c>
      <c r="F31">
        <v>2</v>
      </c>
      <c r="G31">
        <v>12032024</v>
      </c>
      <c r="H31" s="5">
        <v>0.66249999999999998</v>
      </c>
      <c r="I31" s="5">
        <v>0.6875</v>
      </c>
      <c r="J31">
        <v>0</v>
      </c>
      <c r="K31">
        <v>13.5</v>
      </c>
      <c r="L31">
        <v>0.09</v>
      </c>
      <c r="M31">
        <v>23</v>
      </c>
      <c r="T31">
        <v>2.4E-2</v>
      </c>
      <c r="U31">
        <v>7932213</v>
      </c>
      <c r="W31" s="4">
        <f t="shared" si="13"/>
        <v>35.538517632500003</v>
      </c>
      <c r="X31" s="4">
        <f t="shared" si="15"/>
        <v>8.7932761639505888</v>
      </c>
      <c r="Y31" s="4">
        <f t="shared" si="14"/>
        <v>9.2098878184143782</v>
      </c>
      <c r="Z31" s="4">
        <f t="shared" si="9"/>
        <v>2.4E-2</v>
      </c>
    </row>
    <row r="32" spans="1:28" x14ac:dyDescent="0.3">
      <c r="A32" t="s">
        <v>47</v>
      </c>
      <c r="B32">
        <v>6</v>
      </c>
      <c r="D32">
        <v>1</v>
      </c>
      <c r="F32">
        <v>2</v>
      </c>
      <c r="G32">
        <v>12042024</v>
      </c>
      <c r="H32" s="5">
        <v>0.41458333333333336</v>
      </c>
      <c r="I32" s="5">
        <v>0.43541666666666667</v>
      </c>
      <c r="J32">
        <v>0</v>
      </c>
      <c r="K32">
        <v>133.63</v>
      </c>
      <c r="L32">
        <v>0.02</v>
      </c>
      <c r="M32">
        <v>23</v>
      </c>
      <c r="T32">
        <v>9.4E-2</v>
      </c>
      <c r="U32">
        <f>5614144</f>
        <v>5614144</v>
      </c>
      <c r="W32" s="4">
        <f t="shared" si="13"/>
        <v>25.152924604444443</v>
      </c>
      <c r="X32" s="4">
        <f t="shared" si="15"/>
        <v>31.398949670132311</v>
      </c>
      <c r="Y32" s="4">
        <f t="shared" si="14"/>
        <v>32.886582735056095</v>
      </c>
      <c r="Z32" s="4">
        <f t="shared" si="9"/>
        <v>9.4E-2</v>
      </c>
    </row>
    <row r="33" spans="1:28" x14ac:dyDescent="0.3">
      <c r="A33" t="s">
        <v>47</v>
      </c>
      <c r="B33">
        <v>6</v>
      </c>
      <c r="D33">
        <v>2</v>
      </c>
      <c r="F33">
        <v>1</v>
      </c>
      <c r="G33">
        <v>12042024</v>
      </c>
      <c r="H33" s="5">
        <v>0.4236111111111111</v>
      </c>
      <c r="I33" s="5">
        <v>0.44027777777777777</v>
      </c>
      <c r="J33">
        <v>0</v>
      </c>
      <c r="K33">
        <v>117.4</v>
      </c>
      <c r="L33">
        <v>0.02</v>
      </c>
      <c r="M33">
        <v>24</v>
      </c>
      <c r="T33">
        <v>2.3E-2</v>
      </c>
      <c r="U33">
        <v>5852419</v>
      </c>
      <c r="W33" s="4">
        <f t="shared" si="13"/>
        <v>26.220462791944446</v>
      </c>
      <c r="X33" s="4">
        <f t="shared" si="15"/>
        <v>108.15021896340215</v>
      </c>
      <c r="Y33" s="4">
        <f t="shared" si="14"/>
        <v>110.66931617139255</v>
      </c>
      <c r="Z33" s="4">
        <f t="shared" si="9"/>
        <v>2.3E-2</v>
      </c>
    </row>
    <row r="34" spans="1:28" x14ac:dyDescent="0.3">
      <c r="A34" t="s">
        <v>47</v>
      </c>
      <c r="B34">
        <v>1</v>
      </c>
      <c r="D34">
        <v>10</v>
      </c>
      <c r="F34">
        <v>2</v>
      </c>
      <c r="G34">
        <v>12042024</v>
      </c>
      <c r="H34" s="5">
        <v>0.44305555555555554</v>
      </c>
      <c r="I34" s="5">
        <v>0.45694444444444443</v>
      </c>
      <c r="J34">
        <v>0</v>
      </c>
      <c r="K34">
        <v>87.2</v>
      </c>
      <c r="L34">
        <v>0.03</v>
      </c>
      <c r="M34">
        <v>23</v>
      </c>
      <c r="T34">
        <v>4.4999999999999998E-2</v>
      </c>
      <c r="U34">
        <v>4718232</v>
      </c>
      <c r="W34" s="4">
        <f t="shared" si="13"/>
        <v>21.138989979999998</v>
      </c>
      <c r="X34" s="4">
        <f t="shared" si="15"/>
        <v>50.926899104218386</v>
      </c>
      <c r="Y34" s="4">
        <f t="shared" si="14"/>
        <v>53.33973583275197</v>
      </c>
      <c r="Z34" s="4">
        <f t="shared" si="9"/>
        <v>4.4999999999999998E-2</v>
      </c>
    </row>
    <row r="35" spans="1:28" x14ac:dyDescent="0.3">
      <c r="A35" t="s">
        <v>47</v>
      </c>
      <c r="B35">
        <v>3</v>
      </c>
      <c r="D35">
        <v>4</v>
      </c>
      <c r="F35">
        <v>1</v>
      </c>
      <c r="G35">
        <v>12042024</v>
      </c>
      <c r="H35" s="5">
        <v>0.45208333333333334</v>
      </c>
      <c r="I35" s="5">
        <v>0.47013888888888888</v>
      </c>
      <c r="J35">
        <v>0</v>
      </c>
      <c r="K35">
        <v>13.93</v>
      </c>
      <c r="L35">
        <v>0.2</v>
      </c>
      <c r="M35">
        <v>24</v>
      </c>
      <c r="T35">
        <v>9.2999999999999999E-2</v>
      </c>
      <c r="U35">
        <v>6122877</v>
      </c>
      <c r="W35" s="4">
        <f t="shared" si="13"/>
        <v>27.432189759166665</v>
      </c>
      <c r="X35" s="4">
        <f t="shared" si="15"/>
        <v>3.0334384440638438</v>
      </c>
      <c r="Y35" s="4">
        <f t="shared" si="14"/>
        <v>3.1040950399384934</v>
      </c>
      <c r="Z35" s="4">
        <f t="shared" si="9"/>
        <v>9.2999999999999999E-2</v>
      </c>
      <c r="AB35" t="s">
        <v>58</v>
      </c>
    </row>
    <row r="36" spans="1:28" x14ac:dyDescent="0.3">
      <c r="A36" t="s">
        <v>47</v>
      </c>
      <c r="B36">
        <v>6</v>
      </c>
      <c r="D36">
        <v>4</v>
      </c>
      <c r="F36">
        <v>1</v>
      </c>
      <c r="G36">
        <v>12042024</v>
      </c>
      <c r="H36" s="5">
        <v>0.47430555555555554</v>
      </c>
      <c r="I36" s="5">
        <v>0.48958333333333331</v>
      </c>
      <c r="J36">
        <v>0</v>
      </c>
      <c r="K36">
        <v>6.57</v>
      </c>
      <c r="L36">
        <v>0.2</v>
      </c>
      <c r="M36">
        <v>24</v>
      </c>
      <c r="T36">
        <v>7.3999999999999996E-2</v>
      </c>
      <c r="U36">
        <f>7446786</f>
        <v>7446786</v>
      </c>
      <c r="W36" s="4">
        <f t="shared" si="13"/>
        <v>33.36366983166667</v>
      </c>
      <c r="X36" s="4">
        <f t="shared" si="15"/>
        <v>1.4783842596808345</v>
      </c>
      <c r="Y36" s="4">
        <f t="shared" si="14"/>
        <v>1.512819637589401</v>
      </c>
      <c r="Z36" s="4">
        <f t="shared" si="9"/>
        <v>7.3999999999999996E-2</v>
      </c>
      <c r="AB36" t="s">
        <v>58</v>
      </c>
    </row>
    <row r="37" spans="1:28" x14ac:dyDescent="0.3">
      <c r="A37" t="s">
        <v>47</v>
      </c>
      <c r="B37">
        <v>6</v>
      </c>
      <c r="D37">
        <v>3</v>
      </c>
      <c r="F37">
        <v>2</v>
      </c>
      <c r="G37">
        <v>12042024</v>
      </c>
      <c r="H37" s="5">
        <v>0.46388888888888891</v>
      </c>
      <c r="I37" s="5">
        <v>0.48472222222222222</v>
      </c>
      <c r="J37">
        <v>0</v>
      </c>
      <c r="K37">
        <v>8.6300000000000008</v>
      </c>
      <c r="L37">
        <v>0.1</v>
      </c>
      <c r="M37">
        <v>23</v>
      </c>
      <c r="T37">
        <v>7.5999999999999998E-2</v>
      </c>
      <c r="U37">
        <f>6545171</f>
        <v>6545171</v>
      </c>
      <c r="W37" s="4">
        <f t="shared" si="13"/>
        <v>29.324184183055554</v>
      </c>
      <c r="X37" s="4">
        <f t="shared" si="15"/>
        <v>2.151289015504473</v>
      </c>
      <c r="Y37" s="4">
        <f t="shared" si="14"/>
        <v>2.2532137201615861</v>
      </c>
      <c r="Z37" s="4">
        <f t="shared" si="9"/>
        <v>7.5999999999999998E-2</v>
      </c>
      <c r="AB37" t="s">
        <v>58</v>
      </c>
    </row>
    <row r="1048576" spans="9:9" x14ac:dyDescent="0.3">
      <c r="I1048576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1BA0-843B-41FF-A312-D39246D429D2}">
  <dimension ref="A1:AE32"/>
  <sheetViews>
    <sheetView topLeftCell="A3" workbookViewId="0">
      <selection activeCell="W38" sqref="W38:Y55"/>
    </sheetView>
  </sheetViews>
  <sheetFormatPr baseColWidth="10" defaultRowHeight="14.4" x14ac:dyDescent="0.3"/>
  <cols>
    <col min="3" max="3" width="4.5546875" bestFit="1" customWidth="1"/>
    <col min="4" max="4" width="16.6640625" bestFit="1" customWidth="1"/>
    <col min="5" max="5" width="9" bestFit="1" customWidth="1"/>
    <col min="6" max="6" width="9.21875" bestFit="1" customWidth="1"/>
    <col min="7" max="7" width="8.44140625" bestFit="1" customWidth="1"/>
    <col min="8" max="8" width="6" bestFit="1" customWidth="1"/>
    <col min="9" max="9" width="7" bestFit="1" customWidth="1"/>
    <col min="10" max="10" width="5" bestFit="1" customWidth="1"/>
    <col min="11" max="11" width="8.6640625" bestFit="1" customWidth="1"/>
    <col min="12" max="12" width="7.6640625" hidden="1" customWidth="1"/>
    <col min="13" max="13" width="19.21875" hidden="1" customWidth="1"/>
    <col min="14" max="14" width="6.5546875" hidden="1" customWidth="1"/>
    <col min="15" max="16" width="17.21875" hidden="1" customWidth="1"/>
    <col min="17" max="17" width="17.44140625" hidden="1" customWidth="1"/>
    <col min="18" max="18" width="15.33203125" bestFit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59</v>
      </c>
      <c r="B3">
        <v>1</v>
      </c>
      <c r="C3">
        <v>1</v>
      </c>
      <c r="D3">
        <v>1</v>
      </c>
      <c r="E3">
        <v>12052024</v>
      </c>
      <c r="F3" s="5">
        <v>0.60416666666666663</v>
      </c>
      <c r="G3" s="5">
        <v>0.62013888888888891</v>
      </c>
      <c r="H3" t="s">
        <v>28</v>
      </c>
      <c r="I3">
        <v>43.73</v>
      </c>
      <c r="J3">
        <v>0.04</v>
      </c>
      <c r="K3">
        <v>26</v>
      </c>
      <c r="U3" s="4">
        <f t="shared" ref="U3:U18" si="0">S3/(1200^2)*2.54^2</f>
        <v>0</v>
      </c>
      <c r="V3" s="4" t="e">
        <f t="shared" ref="V3:V18" si="1">I3*0.000001/18*1000/R3/(U3/10000)</f>
        <v>#DIV/0!</v>
      </c>
      <c r="W3" s="4" t="e">
        <f t="shared" ref="W3:W18" si="2">V3/(0.88862*(1/POWER(10,(1.3272*(20-K3)-0.001053*(K3-20)^2)/(K3+105))))</f>
        <v>#DIV/0!</v>
      </c>
      <c r="X3" s="4">
        <f t="shared" ref="X3:X32" si="3">MAX(Q3:R3)</f>
        <v>0</v>
      </c>
      <c r="Z3" t="s">
        <v>60</v>
      </c>
    </row>
    <row r="4" spans="1:31" x14ac:dyDescent="0.3">
      <c r="A4" t="s">
        <v>59</v>
      </c>
      <c r="B4">
        <v>2</v>
      </c>
      <c r="C4">
        <v>1</v>
      </c>
      <c r="D4">
        <v>1</v>
      </c>
      <c r="E4">
        <v>12052024</v>
      </c>
      <c r="F4" s="5">
        <v>0.62847222222222221</v>
      </c>
      <c r="H4" t="s">
        <v>28</v>
      </c>
      <c r="U4" s="4">
        <f t="shared" si="0"/>
        <v>0</v>
      </c>
      <c r="V4" s="4" t="e">
        <f t="shared" si="1"/>
        <v>#DIV/0!</v>
      </c>
      <c r="W4" s="4" t="e">
        <f t="shared" si="2"/>
        <v>#DIV/0!</v>
      </c>
      <c r="X4" s="4">
        <f t="shared" si="3"/>
        <v>0</v>
      </c>
      <c r="Z4" t="s">
        <v>61</v>
      </c>
    </row>
    <row r="5" spans="1:31" x14ac:dyDescent="0.3">
      <c r="A5" t="s">
        <v>59</v>
      </c>
      <c r="B5">
        <v>1</v>
      </c>
      <c r="C5">
        <v>2</v>
      </c>
      <c r="D5">
        <v>2</v>
      </c>
      <c r="E5">
        <v>12062024</v>
      </c>
      <c r="F5" s="5">
        <v>0.54374999999999996</v>
      </c>
      <c r="G5" s="5">
        <v>0.55833333333333335</v>
      </c>
      <c r="H5" t="s">
        <v>28</v>
      </c>
      <c r="I5">
        <v>62</v>
      </c>
      <c r="J5">
        <v>0.05</v>
      </c>
      <c r="K5">
        <v>26</v>
      </c>
      <c r="R5">
        <v>8.5999999999999993E-2</v>
      </c>
      <c r="S5">
        <v>13378965</v>
      </c>
      <c r="U5" s="4">
        <f t="shared" si="0"/>
        <v>59.941479579166668</v>
      </c>
      <c r="V5" s="4">
        <f t="shared" si="1"/>
        <v>6.6817969572582454</v>
      </c>
      <c r="W5" s="4">
        <f t="shared" si="2"/>
        <v>6.5328100470928279</v>
      </c>
      <c r="X5" s="4">
        <f t="shared" si="3"/>
        <v>8.5999999999999993E-2</v>
      </c>
    </row>
    <row r="6" spans="1:31" x14ac:dyDescent="0.3">
      <c r="A6" t="s">
        <v>59</v>
      </c>
      <c r="B6">
        <v>3</v>
      </c>
      <c r="C6">
        <v>1</v>
      </c>
      <c r="D6">
        <v>1</v>
      </c>
      <c r="E6">
        <v>12062024</v>
      </c>
      <c r="F6" s="5">
        <v>0.55486111111111114</v>
      </c>
      <c r="G6" s="5">
        <v>0.57847222222222228</v>
      </c>
      <c r="H6" t="s">
        <v>28</v>
      </c>
      <c r="I6">
        <v>121.93</v>
      </c>
      <c r="J6">
        <v>0.03</v>
      </c>
      <c r="K6">
        <v>26</v>
      </c>
      <c r="R6">
        <v>0.27800000000000002</v>
      </c>
      <c r="S6">
        <v>15255156</v>
      </c>
      <c r="U6" s="4">
        <f t="shared" si="0"/>
        <v>68.347336423333331</v>
      </c>
      <c r="V6" s="4">
        <f t="shared" si="1"/>
        <v>3.5650996907387573</v>
      </c>
      <c r="W6" s="4">
        <f t="shared" si="2"/>
        <v>3.4856071244796349</v>
      </c>
      <c r="X6" s="4">
        <f t="shared" si="3"/>
        <v>0.27800000000000002</v>
      </c>
    </row>
    <row r="7" spans="1:31" x14ac:dyDescent="0.3">
      <c r="A7" t="s">
        <v>59</v>
      </c>
      <c r="B7">
        <v>2</v>
      </c>
      <c r="C7">
        <v>2</v>
      </c>
      <c r="D7">
        <v>2</v>
      </c>
      <c r="E7">
        <v>12062024</v>
      </c>
      <c r="F7" s="5">
        <v>0.57361111111111107</v>
      </c>
      <c r="G7" s="5">
        <v>0.58958333333333335</v>
      </c>
      <c r="H7" t="s">
        <v>28</v>
      </c>
      <c r="I7">
        <v>123.17</v>
      </c>
      <c r="J7">
        <v>0.05</v>
      </c>
      <c r="K7">
        <v>25</v>
      </c>
      <c r="R7">
        <v>6.9000000000000006E-2</v>
      </c>
      <c r="S7">
        <v>13119866</v>
      </c>
      <c r="U7" s="4">
        <f t="shared" si="0"/>
        <v>58.780644087222228</v>
      </c>
      <c r="V7" s="4">
        <f>I7*0.000001/18*1000/K7/(U7/10000)</f>
        <v>4.65648370073935E-2</v>
      </c>
      <c r="W7" s="4">
        <f>V7/(0.88862*(1/POWER(10,(1.3272*(20-R7)-0.001053*(R7-20)^2)/(R7+105))))</f>
        <v>9.2709282164009865E-2</v>
      </c>
      <c r="X7" s="4">
        <f>MAX(R7:R7)</f>
        <v>6.9000000000000006E-2</v>
      </c>
      <c r="Z7" t="s">
        <v>62</v>
      </c>
    </row>
    <row r="8" spans="1:31" x14ac:dyDescent="0.3">
      <c r="A8" t="s">
        <v>59</v>
      </c>
      <c r="B8">
        <v>4</v>
      </c>
      <c r="C8">
        <v>1</v>
      </c>
      <c r="D8">
        <v>1</v>
      </c>
      <c r="E8">
        <v>12062024</v>
      </c>
      <c r="F8" s="5">
        <v>0.58888888888888891</v>
      </c>
      <c r="G8" s="5">
        <v>0.60347222222222219</v>
      </c>
      <c r="H8" t="s">
        <v>28</v>
      </c>
      <c r="I8">
        <v>76.73</v>
      </c>
      <c r="J8">
        <v>0.03</v>
      </c>
      <c r="K8">
        <v>25</v>
      </c>
      <c r="R8">
        <v>0.59499999999999997</v>
      </c>
      <c r="S8">
        <v>14134963</v>
      </c>
      <c r="U8" s="4">
        <f t="shared" si="0"/>
        <v>63.328560618611107</v>
      </c>
      <c r="V8" s="4">
        <f>I8*0.000001/18*1000/K8/(U8/10000)</f>
        <v>2.6924836036933558E-2</v>
      </c>
      <c r="W8" s="4">
        <f>V8/(0.88862*(1/POWER(10,(1.3272*(20-R8)-0.001053*(R8-20)^2)/(R8+105))))</f>
        <v>5.267191150476299E-2</v>
      </c>
      <c r="X8" s="4">
        <f>MAX(R8:R8)</f>
        <v>0.59499999999999997</v>
      </c>
    </row>
    <row r="9" spans="1:31" x14ac:dyDescent="0.3">
      <c r="A9" t="s">
        <v>59</v>
      </c>
      <c r="B9">
        <v>4</v>
      </c>
      <c r="C9">
        <v>2</v>
      </c>
      <c r="D9">
        <v>2</v>
      </c>
      <c r="E9">
        <v>12062024</v>
      </c>
      <c r="F9" s="5">
        <v>0.59861111111111109</v>
      </c>
      <c r="G9" s="5">
        <v>0.62708333333333333</v>
      </c>
      <c r="H9" t="s">
        <v>28</v>
      </c>
      <c r="I9">
        <v>188.77</v>
      </c>
      <c r="J9">
        <v>0.01</v>
      </c>
      <c r="K9">
        <v>24</v>
      </c>
      <c r="R9">
        <v>0.08</v>
      </c>
      <c r="S9">
        <v>13385285</v>
      </c>
      <c r="U9" s="4">
        <f t="shared" si="0"/>
        <v>59.969794934722223</v>
      </c>
      <c r="V9" s="4">
        <f t="shared" si="1"/>
        <v>21.859384031656429</v>
      </c>
      <c r="W9" s="4">
        <f t="shared" si="2"/>
        <v>22.368545398229067</v>
      </c>
      <c r="X9" s="4">
        <f t="shared" si="3"/>
        <v>0.08</v>
      </c>
      <c r="Z9" t="s">
        <v>63</v>
      </c>
    </row>
    <row r="10" spans="1:31" x14ac:dyDescent="0.3">
      <c r="A10" t="s">
        <v>59</v>
      </c>
      <c r="B10">
        <v>5</v>
      </c>
      <c r="C10">
        <v>1</v>
      </c>
      <c r="D10">
        <v>2</v>
      </c>
      <c r="E10">
        <v>12102024</v>
      </c>
      <c r="F10" s="5">
        <v>0.37291666666666667</v>
      </c>
      <c r="G10" s="5">
        <v>0.40555555555555556</v>
      </c>
      <c r="H10" t="s">
        <v>28</v>
      </c>
      <c r="I10">
        <v>40.799999999999997</v>
      </c>
      <c r="J10">
        <v>0.06</v>
      </c>
      <c r="K10">
        <v>26</v>
      </c>
      <c r="R10">
        <v>0.87</v>
      </c>
      <c r="S10">
        <v>13030974</v>
      </c>
      <c r="U10" s="4">
        <f t="shared" si="0"/>
        <v>58.382383234999999</v>
      </c>
      <c r="V10" s="4">
        <f t="shared" si="1"/>
        <v>0.44625858697601511</v>
      </c>
      <c r="W10" s="4">
        <f t="shared" si="2"/>
        <v>0.43630816668733524</v>
      </c>
      <c r="X10" s="4">
        <f t="shared" si="3"/>
        <v>0.87</v>
      </c>
    </row>
    <row r="11" spans="1:31" x14ac:dyDescent="0.3">
      <c r="A11" t="s">
        <v>59</v>
      </c>
      <c r="B11">
        <v>6</v>
      </c>
      <c r="C11">
        <v>2</v>
      </c>
      <c r="D11">
        <v>2</v>
      </c>
      <c r="E11">
        <v>12102024</v>
      </c>
      <c r="F11" s="5">
        <v>0.41180555555555554</v>
      </c>
      <c r="G11" s="5">
        <v>0.42777777777777776</v>
      </c>
      <c r="H11" t="s">
        <v>28</v>
      </c>
      <c r="I11">
        <v>79.2</v>
      </c>
      <c r="J11">
        <v>0.02</v>
      </c>
      <c r="K11">
        <v>26</v>
      </c>
      <c r="R11">
        <v>0.16400000000000001</v>
      </c>
      <c r="S11">
        <v>20417957</v>
      </c>
      <c r="U11" s="4">
        <f t="shared" si="0"/>
        <v>91.478119014722225</v>
      </c>
      <c r="V11" s="4">
        <f t="shared" si="1"/>
        <v>2.9328618233137371</v>
      </c>
      <c r="W11" s="4">
        <f t="shared" si="2"/>
        <v>2.8674665376154831</v>
      </c>
      <c r="X11" s="4">
        <f t="shared" si="3"/>
        <v>0.16400000000000001</v>
      </c>
    </row>
    <row r="12" spans="1:31" x14ac:dyDescent="0.3">
      <c r="A12" t="s">
        <v>59</v>
      </c>
      <c r="B12">
        <v>5</v>
      </c>
      <c r="C12">
        <v>2</v>
      </c>
      <c r="D12">
        <v>1</v>
      </c>
      <c r="E12">
        <v>12102024</v>
      </c>
      <c r="F12" s="5">
        <v>0.38333333333333336</v>
      </c>
      <c r="G12" s="5">
        <v>0.40138888888888891</v>
      </c>
      <c r="H12" t="s">
        <v>28</v>
      </c>
      <c r="I12">
        <v>261.93</v>
      </c>
      <c r="J12">
        <v>0.01</v>
      </c>
      <c r="K12">
        <v>25</v>
      </c>
      <c r="R12">
        <v>9.0999999999999998E-2</v>
      </c>
      <c r="S12">
        <v>16946131</v>
      </c>
      <c r="U12" s="4">
        <f t="shared" si="0"/>
        <v>75.923374138611123</v>
      </c>
      <c r="V12" s="4">
        <f t="shared" si="1"/>
        <v>21.061817486731385</v>
      </c>
      <c r="W12" s="4">
        <f t="shared" si="2"/>
        <v>21.063527671200792</v>
      </c>
      <c r="X12" s="4">
        <f t="shared" si="3"/>
        <v>9.0999999999999998E-2</v>
      </c>
    </row>
    <row r="13" spans="1:31" x14ac:dyDescent="0.3">
      <c r="A13" t="s">
        <v>59</v>
      </c>
      <c r="B13">
        <v>7</v>
      </c>
      <c r="C13">
        <v>2</v>
      </c>
      <c r="D13">
        <v>2</v>
      </c>
      <c r="E13">
        <v>12102024</v>
      </c>
      <c r="F13" s="5">
        <v>0.43263888888888891</v>
      </c>
      <c r="G13" s="5">
        <v>0.44583333333333336</v>
      </c>
      <c r="H13" t="s">
        <v>28</v>
      </c>
      <c r="I13">
        <v>112.9</v>
      </c>
      <c r="J13">
        <v>0.05</v>
      </c>
      <c r="K13">
        <v>25</v>
      </c>
      <c r="R13">
        <v>4.7E-2</v>
      </c>
      <c r="S13">
        <v>15465925</v>
      </c>
      <c r="U13" s="4">
        <f t="shared" si="0"/>
        <v>69.291640090277781</v>
      </c>
      <c r="V13" s="4">
        <f t="shared" si="1"/>
        <v>19.25939932568437</v>
      </c>
      <c r="W13" s="4">
        <f t="shared" si="2"/>
        <v>19.260963156803772</v>
      </c>
      <c r="X13" s="4">
        <f t="shared" si="3"/>
        <v>4.7E-2</v>
      </c>
    </row>
    <row r="14" spans="1:31" x14ac:dyDescent="0.3">
      <c r="A14" t="s">
        <v>59</v>
      </c>
      <c r="B14">
        <v>7</v>
      </c>
      <c r="C14">
        <v>1</v>
      </c>
      <c r="D14">
        <v>1</v>
      </c>
      <c r="E14">
        <v>12102024</v>
      </c>
      <c r="F14" s="5">
        <v>0.43541666666666667</v>
      </c>
      <c r="G14" s="5">
        <v>0.44861111111111113</v>
      </c>
      <c r="H14" t="s">
        <v>28</v>
      </c>
      <c r="I14">
        <v>232.6</v>
      </c>
      <c r="J14">
        <v>0.02</v>
      </c>
      <c r="K14">
        <v>26</v>
      </c>
      <c r="R14">
        <v>0.14399999999999999</v>
      </c>
      <c r="S14">
        <v>13527094</v>
      </c>
      <c r="U14" s="4">
        <f t="shared" si="0"/>
        <v>60.605138646111108</v>
      </c>
      <c r="V14" s="4">
        <f t="shared" si="1"/>
        <v>14.806938211129051</v>
      </c>
      <c r="W14" s="4">
        <f t="shared" si="2"/>
        <v>14.476781520167345</v>
      </c>
      <c r="X14" s="4">
        <f t="shared" si="3"/>
        <v>0.14399999999999999</v>
      </c>
    </row>
    <row r="15" spans="1:31" x14ac:dyDescent="0.3">
      <c r="A15" t="s">
        <v>59</v>
      </c>
      <c r="B15">
        <v>6</v>
      </c>
      <c r="C15">
        <v>1</v>
      </c>
      <c r="D15">
        <v>1</v>
      </c>
      <c r="E15">
        <v>12102024</v>
      </c>
      <c r="F15" s="5">
        <v>0.41041666666666665</v>
      </c>
      <c r="G15" s="5">
        <v>0.42638888888888887</v>
      </c>
      <c r="H15" t="s">
        <v>28</v>
      </c>
      <c r="I15">
        <v>79.2</v>
      </c>
      <c r="J15">
        <v>0.05</v>
      </c>
      <c r="K15">
        <v>26</v>
      </c>
      <c r="R15">
        <v>0.155</v>
      </c>
      <c r="S15">
        <v>8803209</v>
      </c>
      <c r="U15" s="4">
        <f t="shared" si="0"/>
        <v>39.440821655833332</v>
      </c>
      <c r="V15" s="4">
        <f t="shared" si="1"/>
        <v>7.1973898064050781</v>
      </c>
      <c r="W15" s="4">
        <f t="shared" si="2"/>
        <v>7.0369064999874027</v>
      </c>
      <c r="X15" s="4">
        <f t="shared" si="3"/>
        <v>0.155</v>
      </c>
      <c r="Z15" t="s">
        <v>64</v>
      </c>
    </row>
    <row r="16" spans="1:31" x14ac:dyDescent="0.3">
      <c r="A16" t="s">
        <v>59</v>
      </c>
      <c r="B16">
        <v>7</v>
      </c>
      <c r="C16">
        <v>3</v>
      </c>
      <c r="D16">
        <v>2</v>
      </c>
      <c r="E16">
        <v>12102024</v>
      </c>
      <c r="F16" s="5">
        <v>0.63055555555555554</v>
      </c>
      <c r="G16" s="5">
        <v>0.67083333333333328</v>
      </c>
      <c r="H16" t="s">
        <v>28</v>
      </c>
      <c r="I16">
        <v>201.47</v>
      </c>
      <c r="J16">
        <v>0.04</v>
      </c>
      <c r="K16">
        <v>24</v>
      </c>
      <c r="R16">
        <v>0.55600000000000005</v>
      </c>
      <c r="S16">
        <v>21421647</v>
      </c>
      <c r="U16" s="4">
        <f t="shared" si="0"/>
        <v>95.974929017500003</v>
      </c>
      <c r="V16" s="4">
        <f t="shared" si="1"/>
        <v>2.0975160377667299</v>
      </c>
      <c r="W16" s="4">
        <f t="shared" si="2"/>
        <v>2.1463725897469095</v>
      </c>
      <c r="X16" s="4">
        <f t="shared" si="3"/>
        <v>0.55600000000000005</v>
      </c>
      <c r="Z16" t="s">
        <v>65</v>
      </c>
    </row>
    <row r="17" spans="1:26" x14ac:dyDescent="0.3">
      <c r="A17" t="s">
        <v>59</v>
      </c>
      <c r="B17">
        <v>5</v>
      </c>
      <c r="C17">
        <v>3</v>
      </c>
      <c r="D17">
        <v>1</v>
      </c>
      <c r="E17">
        <v>12102024</v>
      </c>
      <c r="F17" s="5">
        <v>0.45833333333333331</v>
      </c>
      <c r="G17" s="5">
        <v>0.48125000000000001</v>
      </c>
      <c r="H17" t="s">
        <v>28</v>
      </c>
      <c r="I17">
        <v>160.77000000000001</v>
      </c>
      <c r="J17">
        <v>0.03</v>
      </c>
      <c r="K17">
        <v>26</v>
      </c>
      <c r="R17">
        <v>8.5000000000000006E-2</v>
      </c>
      <c r="S17">
        <v>12640218</v>
      </c>
      <c r="U17" s="4">
        <f t="shared" si="0"/>
        <v>56.631687811666666</v>
      </c>
      <c r="V17" s="4">
        <f t="shared" si="1"/>
        <v>18.554705931067421</v>
      </c>
      <c r="W17" s="4">
        <f t="shared" si="2"/>
        <v>18.140983645972423</v>
      </c>
      <c r="X17" s="4">
        <f t="shared" si="3"/>
        <v>8.5000000000000006E-2</v>
      </c>
    </row>
    <row r="18" spans="1:26" x14ac:dyDescent="0.3">
      <c r="A18" t="s">
        <v>59</v>
      </c>
      <c r="B18">
        <v>5</v>
      </c>
      <c r="C18">
        <v>4</v>
      </c>
      <c r="D18">
        <v>1</v>
      </c>
      <c r="E18">
        <v>12102024</v>
      </c>
      <c r="F18" s="5">
        <v>0.64444444444444449</v>
      </c>
      <c r="G18" s="5">
        <v>0.66597222222222219</v>
      </c>
      <c r="H18" t="s">
        <v>28</v>
      </c>
      <c r="I18">
        <v>109.33</v>
      </c>
      <c r="J18">
        <v>0.05</v>
      </c>
      <c r="K18">
        <v>25</v>
      </c>
      <c r="R18">
        <v>0.42299999999999999</v>
      </c>
      <c r="S18">
        <v>14173680</v>
      </c>
      <c r="U18" s="4">
        <f t="shared" si="0"/>
        <v>63.502023533333329</v>
      </c>
      <c r="V18" s="4">
        <f t="shared" si="1"/>
        <v>2.2611996576623818</v>
      </c>
      <c r="W18" s="4">
        <f t="shared" si="2"/>
        <v>2.2613832633051141</v>
      </c>
      <c r="X18" s="4">
        <f t="shared" si="3"/>
        <v>0.42299999999999999</v>
      </c>
    </row>
    <row r="19" spans="1:26" x14ac:dyDescent="0.3">
      <c r="A19" t="s">
        <v>59</v>
      </c>
      <c r="B19">
        <v>6</v>
      </c>
      <c r="C19">
        <v>3</v>
      </c>
      <c r="D19">
        <v>2</v>
      </c>
      <c r="E19">
        <v>12112024</v>
      </c>
      <c r="F19" s="5">
        <v>0.375</v>
      </c>
      <c r="G19" s="5">
        <v>0.39097222222222222</v>
      </c>
      <c r="H19" t="s">
        <v>28</v>
      </c>
      <c r="I19">
        <v>148.77000000000001</v>
      </c>
      <c r="J19">
        <v>0.04</v>
      </c>
      <c r="K19">
        <v>24</v>
      </c>
      <c r="R19">
        <v>0.57499999999999996</v>
      </c>
      <c r="S19">
        <v>20908017</v>
      </c>
      <c r="U19" s="4">
        <f t="shared" ref="U19:U28" si="4">S19/(1200^2)*2.54^2</f>
        <v>93.67372394249999</v>
      </c>
      <c r="V19" s="4">
        <f t="shared" ref="V19:V28" si="5">I19*0.000001/18*1000/R19/(U19/10000)</f>
        <v>1.5344658500287061</v>
      </c>
      <c r="W19" s="4">
        <f t="shared" ref="W19:W28" si="6">V19/(0.88862*(1/POWER(10,(1.3272*(20-K19)-0.001053*(K19-20)^2)/(K19+105))))</f>
        <v>1.5702075126495834</v>
      </c>
      <c r="X19" s="4">
        <f t="shared" si="3"/>
        <v>0.57499999999999996</v>
      </c>
    </row>
    <row r="20" spans="1:26" x14ac:dyDescent="0.3">
      <c r="A20" t="s">
        <v>59</v>
      </c>
      <c r="B20">
        <v>6</v>
      </c>
      <c r="C20">
        <v>4</v>
      </c>
      <c r="D20">
        <v>1</v>
      </c>
      <c r="E20">
        <v>12112024</v>
      </c>
      <c r="F20" s="5">
        <v>0.38680555555555557</v>
      </c>
      <c r="G20" s="5">
        <v>0.40138888888888891</v>
      </c>
      <c r="H20" t="s">
        <v>28</v>
      </c>
      <c r="I20">
        <v>258.5</v>
      </c>
      <c r="J20">
        <v>0.01</v>
      </c>
      <c r="K20">
        <v>25</v>
      </c>
      <c r="R20">
        <v>0.18099999999999999</v>
      </c>
      <c r="S20">
        <v>26332259</v>
      </c>
      <c r="U20" s="4">
        <f t="shared" si="4"/>
        <v>117.97583483638888</v>
      </c>
      <c r="V20" s="4">
        <f t="shared" si="5"/>
        <v>6.7253734987373246</v>
      </c>
      <c r="W20" s="4">
        <f t="shared" si="6"/>
        <v>6.7259195878540758</v>
      </c>
      <c r="X20" s="4">
        <f t="shared" si="3"/>
        <v>0.18099999999999999</v>
      </c>
    </row>
    <row r="21" spans="1:26" x14ac:dyDescent="0.3">
      <c r="A21" t="s">
        <v>59</v>
      </c>
      <c r="B21">
        <v>6</v>
      </c>
      <c r="C21">
        <v>5</v>
      </c>
      <c r="D21">
        <v>2</v>
      </c>
      <c r="E21">
        <v>12112024</v>
      </c>
      <c r="F21" s="5">
        <v>0.3972222222222222</v>
      </c>
      <c r="G21" s="5">
        <v>0.41111111111111109</v>
      </c>
      <c r="H21" t="s">
        <v>28</v>
      </c>
      <c r="I21">
        <v>120.67</v>
      </c>
      <c r="J21">
        <v>0.03</v>
      </c>
      <c r="K21">
        <v>25</v>
      </c>
      <c r="R21">
        <v>0.433</v>
      </c>
      <c r="S21">
        <v>16172823</v>
      </c>
      <c r="U21" s="4">
        <f t="shared" si="4"/>
        <v>72.458739490833338</v>
      </c>
      <c r="V21" s="4">
        <f t="shared" si="5"/>
        <v>2.136722565832859</v>
      </c>
      <c r="W21" s="4">
        <f t="shared" si="6"/>
        <v>2.1368960641432411</v>
      </c>
      <c r="X21" s="4">
        <f t="shared" si="3"/>
        <v>0.433</v>
      </c>
    </row>
    <row r="22" spans="1:26" x14ac:dyDescent="0.3">
      <c r="A22" t="s">
        <v>59</v>
      </c>
      <c r="B22">
        <v>5</v>
      </c>
      <c r="C22">
        <v>5</v>
      </c>
      <c r="D22">
        <v>1</v>
      </c>
      <c r="E22">
        <v>12112024</v>
      </c>
      <c r="F22" s="5">
        <v>0.40763888888888888</v>
      </c>
      <c r="G22" s="5">
        <v>0.42708333333333331</v>
      </c>
      <c r="H22" t="s">
        <v>28</v>
      </c>
      <c r="I22">
        <v>203.57</v>
      </c>
      <c r="J22">
        <v>0.03</v>
      </c>
      <c r="K22">
        <v>25</v>
      </c>
      <c r="R22">
        <v>0.66400000000000003</v>
      </c>
      <c r="S22">
        <v>17956261</v>
      </c>
      <c r="U22" s="4">
        <f t="shared" si="4"/>
        <v>80.449037130277773</v>
      </c>
      <c r="V22" s="4">
        <f t="shared" si="5"/>
        <v>2.1171534747501242</v>
      </c>
      <c r="W22" s="4">
        <f t="shared" si="6"/>
        <v>2.1173253840829322</v>
      </c>
      <c r="X22" s="4">
        <f t="shared" si="3"/>
        <v>0.66400000000000003</v>
      </c>
    </row>
    <row r="23" spans="1:26" x14ac:dyDescent="0.3">
      <c r="A23" t="s">
        <v>59</v>
      </c>
      <c r="B23">
        <v>5</v>
      </c>
      <c r="C23">
        <v>6</v>
      </c>
      <c r="D23">
        <v>2</v>
      </c>
      <c r="E23">
        <v>12112024</v>
      </c>
      <c r="F23" s="5">
        <v>0.43402777777777779</v>
      </c>
      <c r="G23" s="5">
        <v>0.44722222222222224</v>
      </c>
      <c r="H23">
        <v>0</v>
      </c>
      <c r="I23">
        <v>20.7</v>
      </c>
      <c r="J23">
        <v>0.05</v>
      </c>
      <c r="K23">
        <v>23</v>
      </c>
      <c r="R23">
        <v>0.13100000000000001</v>
      </c>
      <c r="S23">
        <v>8346696</v>
      </c>
      <c r="U23" s="4">
        <f t="shared" si="4"/>
        <v>37.395516606666668</v>
      </c>
      <c r="V23" s="4">
        <f t="shared" si="5"/>
        <v>2.3475076027251531</v>
      </c>
      <c r="W23" s="4">
        <f t="shared" si="6"/>
        <v>2.4587288367683997</v>
      </c>
      <c r="X23" s="4">
        <f t="shared" si="3"/>
        <v>0.13100000000000001</v>
      </c>
    </row>
    <row r="24" spans="1:26" x14ac:dyDescent="0.3">
      <c r="A24" t="s">
        <v>59</v>
      </c>
      <c r="B24">
        <v>7</v>
      </c>
      <c r="C24">
        <v>4</v>
      </c>
      <c r="D24">
        <v>1</v>
      </c>
      <c r="E24">
        <v>12112024</v>
      </c>
      <c r="F24" s="5">
        <v>0.44305555555555554</v>
      </c>
      <c r="G24" s="5">
        <v>0.46180555555555558</v>
      </c>
      <c r="H24">
        <v>0</v>
      </c>
      <c r="I24">
        <v>23.4</v>
      </c>
      <c r="J24">
        <v>0.05</v>
      </c>
      <c r="K24">
        <v>24</v>
      </c>
      <c r="R24">
        <v>5.2999999999999999E-2</v>
      </c>
      <c r="S24">
        <v>16308608</v>
      </c>
      <c r="U24" s="4">
        <f t="shared" si="4"/>
        <v>73.067094008888887</v>
      </c>
      <c r="V24" s="4">
        <f t="shared" si="5"/>
        <v>3.3569559894921359</v>
      </c>
      <c r="W24" s="4">
        <f t="shared" si="6"/>
        <v>3.4351481424209984</v>
      </c>
      <c r="X24" s="4">
        <f t="shared" si="3"/>
        <v>5.2999999999999999E-2</v>
      </c>
    </row>
    <row r="25" spans="1:26" x14ac:dyDescent="0.3">
      <c r="A25" t="s">
        <v>59</v>
      </c>
      <c r="B25">
        <v>7</v>
      </c>
      <c r="C25">
        <v>5</v>
      </c>
      <c r="D25">
        <v>2</v>
      </c>
      <c r="E25">
        <v>12112024</v>
      </c>
      <c r="F25" s="5">
        <v>0.45416666666666666</v>
      </c>
      <c r="G25" s="5">
        <v>0.46736111111111112</v>
      </c>
      <c r="H25">
        <v>0</v>
      </c>
      <c r="I25">
        <v>35.53</v>
      </c>
      <c r="J25">
        <v>0.03</v>
      </c>
      <c r="K25">
        <v>24</v>
      </c>
      <c r="R25">
        <v>5.5E-2</v>
      </c>
      <c r="S25">
        <v>22384129</v>
      </c>
      <c r="U25" s="4">
        <f t="shared" si="4"/>
        <v>100.2871157336111</v>
      </c>
      <c r="V25" s="4">
        <f t="shared" si="5"/>
        <v>3.5786141246916698</v>
      </c>
      <c r="W25" s="4">
        <f t="shared" si="6"/>
        <v>3.6619692666080854</v>
      </c>
      <c r="X25" s="4">
        <f t="shared" si="3"/>
        <v>5.5E-2</v>
      </c>
    </row>
    <row r="26" spans="1:26" x14ac:dyDescent="0.3">
      <c r="A26" t="s">
        <v>59</v>
      </c>
      <c r="B26">
        <v>4</v>
      </c>
      <c r="C26">
        <v>3</v>
      </c>
      <c r="D26">
        <v>2</v>
      </c>
      <c r="E26">
        <v>12122024</v>
      </c>
      <c r="F26" s="5">
        <v>0.3611111111111111</v>
      </c>
      <c r="G26" s="5">
        <v>0.37708333333333333</v>
      </c>
      <c r="H26">
        <v>0</v>
      </c>
      <c r="I26">
        <v>37.03</v>
      </c>
      <c r="J26">
        <v>0.05</v>
      </c>
      <c r="K26">
        <v>23</v>
      </c>
      <c r="R26">
        <v>6.0999999999999999E-2</v>
      </c>
      <c r="S26">
        <v>18933357</v>
      </c>
      <c r="U26" s="4">
        <f t="shared" si="4"/>
        <v>84.82669862583333</v>
      </c>
      <c r="V26" s="4">
        <f t="shared" si="5"/>
        <v>3.9757476135454244</v>
      </c>
      <c r="W26" s="4">
        <f t="shared" si="6"/>
        <v>4.1641123094934551</v>
      </c>
      <c r="X26" s="4">
        <f t="shared" si="3"/>
        <v>6.0999999999999999E-2</v>
      </c>
    </row>
    <row r="27" spans="1:26" x14ac:dyDescent="0.3">
      <c r="A27" t="s">
        <v>59</v>
      </c>
      <c r="B27">
        <v>4</v>
      </c>
      <c r="C27">
        <v>4</v>
      </c>
      <c r="D27">
        <v>1</v>
      </c>
      <c r="E27">
        <v>12122024</v>
      </c>
      <c r="F27" s="5">
        <v>0.36944444444444446</v>
      </c>
      <c r="G27" s="5">
        <v>0.38958333333333334</v>
      </c>
      <c r="H27">
        <v>0</v>
      </c>
      <c r="I27">
        <v>32.93</v>
      </c>
      <c r="J27">
        <v>0.05</v>
      </c>
      <c r="K27">
        <v>24</v>
      </c>
      <c r="R27">
        <v>5.1999999999999998E-2</v>
      </c>
      <c r="S27">
        <v>16757909</v>
      </c>
      <c r="U27" s="4">
        <f t="shared" si="4"/>
        <v>75.080087294722219</v>
      </c>
      <c r="V27" s="4">
        <f t="shared" si="5"/>
        <v>4.6858794654194593</v>
      </c>
      <c r="W27" s="4">
        <f t="shared" si="6"/>
        <v>4.7950256695738149</v>
      </c>
      <c r="X27" s="4">
        <f t="shared" si="3"/>
        <v>5.1999999999999998E-2</v>
      </c>
      <c r="Z27" t="s">
        <v>66</v>
      </c>
    </row>
    <row r="28" spans="1:26" x14ac:dyDescent="0.3">
      <c r="A28" t="s">
        <v>59</v>
      </c>
      <c r="B28">
        <v>4</v>
      </c>
      <c r="C28">
        <v>5</v>
      </c>
      <c r="D28">
        <v>2</v>
      </c>
      <c r="E28">
        <v>12122024</v>
      </c>
      <c r="F28" s="5">
        <v>0.38194444444444442</v>
      </c>
      <c r="G28" s="5">
        <v>0.39513888888888887</v>
      </c>
      <c r="H28">
        <v>0</v>
      </c>
      <c r="I28">
        <v>33.700000000000003</v>
      </c>
      <c r="J28">
        <v>0.05</v>
      </c>
      <c r="K28">
        <v>23</v>
      </c>
      <c r="R28">
        <v>4.3999999999999997E-2</v>
      </c>
      <c r="S28">
        <v>19532583</v>
      </c>
      <c r="U28" s="4">
        <f t="shared" si="4"/>
        <v>87.51139755749999</v>
      </c>
      <c r="V28" s="4">
        <f t="shared" si="5"/>
        <v>4.8622815128220234</v>
      </c>
      <c r="W28" s="4">
        <f t="shared" si="6"/>
        <v>5.0926487966143918</v>
      </c>
      <c r="X28" s="4">
        <f t="shared" si="3"/>
        <v>4.3999999999999997E-2</v>
      </c>
    </row>
    <row r="29" spans="1:26" x14ac:dyDescent="0.3">
      <c r="A29" t="s">
        <v>59</v>
      </c>
      <c r="B29">
        <v>1</v>
      </c>
      <c r="C29">
        <v>3</v>
      </c>
      <c r="D29">
        <v>1</v>
      </c>
      <c r="E29">
        <v>12122024</v>
      </c>
      <c r="F29" s="5">
        <v>0.39444444444444443</v>
      </c>
      <c r="G29" s="5">
        <v>0.40763888888888888</v>
      </c>
      <c r="H29">
        <v>0</v>
      </c>
      <c r="I29">
        <v>41.4</v>
      </c>
      <c r="J29">
        <v>0.05</v>
      </c>
      <c r="K29">
        <v>24</v>
      </c>
      <c r="R29">
        <v>5.6000000000000001E-2</v>
      </c>
      <c r="S29">
        <v>20999312</v>
      </c>
      <c r="U29" s="4">
        <f t="shared" ref="U29:U32" si="7">S29/(1200^2)*2.54^2</f>
        <v>94.08275090222223</v>
      </c>
      <c r="V29" s="4">
        <f t="shared" ref="V29:V32" si="8">I29*0.000001/18*1000/R29/(U29/10000)</f>
        <v>4.3654578737937886</v>
      </c>
      <c r="W29" s="4">
        <f t="shared" ref="W29:W32" si="9">V29/(0.88862*(1/POWER(10,(1.3272*(20-K29)-0.001053*(K29-20)^2)/(K29+105))))</f>
        <v>4.4671406336335542</v>
      </c>
      <c r="X29" s="4">
        <f t="shared" si="3"/>
        <v>5.6000000000000001E-2</v>
      </c>
    </row>
    <row r="30" spans="1:26" x14ac:dyDescent="0.3">
      <c r="A30" t="s">
        <v>59</v>
      </c>
      <c r="B30">
        <v>1</v>
      </c>
      <c r="C30">
        <v>4</v>
      </c>
      <c r="D30">
        <v>1</v>
      </c>
      <c r="E30">
        <v>12122024</v>
      </c>
      <c r="F30" s="5">
        <v>0.48819444444444443</v>
      </c>
      <c r="G30" s="5">
        <v>0.50277777777777777</v>
      </c>
      <c r="H30">
        <v>0</v>
      </c>
      <c r="I30">
        <v>68.400000000000006</v>
      </c>
      <c r="J30">
        <v>0.04</v>
      </c>
      <c r="K30">
        <v>24</v>
      </c>
      <c r="R30">
        <v>5.6000000000000001E-2</v>
      </c>
      <c r="S30">
        <v>28234922</v>
      </c>
      <c r="U30" s="4">
        <f t="shared" si="7"/>
        <v>126.50029359388888</v>
      </c>
      <c r="V30" s="4">
        <f t="shared" si="8"/>
        <v>5.3641885666280364</v>
      </c>
      <c r="W30" s="4">
        <f t="shared" si="9"/>
        <v>5.4891343371576315</v>
      </c>
      <c r="X30" s="4">
        <f t="shared" si="3"/>
        <v>5.6000000000000001E-2</v>
      </c>
    </row>
    <row r="31" spans="1:26" x14ac:dyDescent="0.3">
      <c r="A31" t="s">
        <v>59</v>
      </c>
      <c r="B31">
        <v>1</v>
      </c>
      <c r="C31">
        <v>5</v>
      </c>
      <c r="D31">
        <v>2</v>
      </c>
      <c r="E31">
        <v>12122024</v>
      </c>
      <c r="F31" s="5">
        <v>0.4826388888888889</v>
      </c>
      <c r="G31" s="5">
        <v>0.5</v>
      </c>
      <c r="H31">
        <v>0</v>
      </c>
      <c r="I31">
        <v>31.9</v>
      </c>
      <c r="J31">
        <v>0.03</v>
      </c>
      <c r="K31">
        <v>23</v>
      </c>
      <c r="R31">
        <v>0.08</v>
      </c>
      <c r="S31">
        <v>15440013</v>
      </c>
      <c r="U31" s="4">
        <f t="shared" si="7"/>
        <v>69.1755471325</v>
      </c>
      <c r="V31" s="4">
        <f t="shared" si="8"/>
        <v>3.2024000815412377</v>
      </c>
      <c r="W31" s="4">
        <f t="shared" si="9"/>
        <v>3.3541247824775566</v>
      </c>
      <c r="X31" s="4">
        <f t="shared" si="3"/>
        <v>0.08</v>
      </c>
    </row>
    <row r="32" spans="1:26" x14ac:dyDescent="0.3">
      <c r="A32" t="s">
        <v>59</v>
      </c>
      <c r="B32">
        <v>1</v>
      </c>
      <c r="C32">
        <v>6</v>
      </c>
      <c r="D32">
        <v>2</v>
      </c>
      <c r="E32">
        <v>12122024</v>
      </c>
      <c r="F32" s="5">
        <v>0.50486111111111109</v>
      </c>
      <c r="G32" s="5">
        <v>0.53055555555555556</v>
      </c>
      <c r="H32">
        <v>0</v>
      </c>
      <c r="I32">
        <v>27.76</v>
      </c>
      <c r="J32">
        <v>0.06</v>
      </c>
      <c r="K32">
        <v>22</v>
      </c>
      <c r="R32">
        <v>3.1E-2</v>
      </c>
      <c r="S32">
        <v>23530515</v>
      </c>
      <c r="U32" s="4">
        <f t="shared" si="7"/>
        <v>105.42324345416668</v>
      </c>
      <c r="V32" s="4">
        <f t="shared" si="8"/>
        <v>4.7189881768607336</v>
      </c>
      <c r="W32" s="4">
        <f t="shared" si="9"/>
        <v>5.060563198583699</v>
      </c>
      <c r="X32" s="4">
        <f t="shared" si="3"/>
        <v>3.1E-2</v>
      </c>
    </row>
  </sheetData>
  <sortState xmlns:xlrd2="http://schemas.microsoft.com/office/spreadsheetml/2017/richdata2" ref="W38:X55">
    <sortCondition ref="X38:X5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1826-8D16-4BA7-9683-E7E875A388D4}">
  <dimension ref="A1:AE34"/>
  <sheetViews>
    <sheetView topLeftCell="A11" zoomScale="110" zoomScaleNormal="110" workbookViewId="0">
      <selection activeCell="H24" sqref="H24"/>
    </sheetView>
  </sheetViews>
  <sheetFormatPr baseColWidth="10" defaultRowHeight="14.4" x14ac:dyDescent="0.3"/>
  <cols>
    <col min="1" max="1" width="7.88671875" bestFit="1" customWidth="1"/>
    <col min="2" max="2" width="9.33203125" bestFit="1" customWidth="1"/>
    <col min="3" max="3" width="4.5546875" bestFit="1" customWidth="1"/>
    <col min="4" max="4" width="16.6640625" bestFit="1" customWidth="1"/>
    <col min="5" max="5" width="9" hidden="1" customWidth="1"/>
    <col min="6" max="6" width="9.21875" bestFit="1" customWidth="1"/>
    <col min="7" max="7" width="8.44140625" bestFit="1" customWidth="1"/>
    <col min="8" max="9" width="6" bestFit="1" customWidth="1"/>
    <col min="10" max="10" width="5.5546875" bestFit="1" customWidth="1"/>
    <col min="12" max="16" width="0" hidden="1" customWidth="1"/>
    <col min="17" max="17" width="17.44140625" hidden="1" customWidth="1"/>
    <col min="20" max="20" width="0" hidden="1" customWidth="1"/>
    <col min="26" max="26" width="5.88671875" bestFit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70</v>
      </c>
      <c r="B3">
        <v>2</v>
      </c>
      <c r="C3">
        <v>1</v>
      </c>
      <c r="D3">
        <v>2</v>
      </c>
      <c r="E3">
        <v>12172024</v>
      </c>
      <c r="F3" s="5">
        <v>0.39930555555555558</v>
      </c>
      <c r="G3" s="5">
        <v>0.41249999999999998</v>
      </c>
      <c r="H3" t="s">
        <v>28</v>
      </c>
      <c r="I3">
        <v>143.13</v>
      </c>
      <c r="J3">
        <v>0.01</v>
      </c>
      <c r="K3">
        <v>24</v>
      </c>
      <c r="R3">
        <v>0.156</v>
      </c>
      <c r="S3">
        <v>2207061</v>
      </c>
      <c r="U3" s="4">
        <f t="shared" ref="U3:U31" si="0">S3/(1200^2)*2.54^2</f>
        <v>9.8882463524999995</v>
      </c>
      <c r="V3" s="4">
        <f t="shared" ref="V3:V31" si="1">I3*0.000001/18*1000/R3/(U3/10000)</f>
        <v>51.548293200983167</v>
      </c>
      <c r="W3" s="4">
        <f t="shared" ref="W3:W31" si="2">V3/(0.88862*(1/POWER(10,(1.3272*(20-K3)-0.001053*(K3-20)^2)/(K3+105))))</f>
        <v>52.748985744409367</v>
      </c>
      <c r="X3" s="4">
        <f t="shared" ref="X3:X34" si="3">MAX(Q3:R3)</f>
        <v>0.156</v>
      </c>
    </row>
    <row r="4" spans="1:31" x14ac:dyDescent="0.3">
      <c r="A4" t="s">
        <v>70</v>
      </c>
      <c r="B4">
        <v>2</v>
      </c>
      <c r="C4">
        <v>2</v>
      </c>
      <c r="D4">
        <v>1</v>
      </c>
      <c r="E4">
        <v>12172024</v>
      </c>
      <c r="F4" s="5">
        <v>0.41041666666666665</v>
      </c>
      <c r="G4" s="5">
        <v>0.42430555555555555</v>
      </c>
      <c r="H4" t="s">
        <v>28</v>
      </c>
      <c r="I4">
        <v>69.37</v>
      </c>
      <c r="J4">
        <v>0.02</v>
      </c>
      <c r="K4">
        <v>25</v>
      </c>
      <c r="R4">
        <v>2.2149999999999999</v>
      </c>
      <c r="S4">
        <v>2386921</v>
      </c>
      <c r="U4" s="4">
        <f t="shared" si="0"/>
        <v>10.694069113611111</v>
      </c>
      <c r="V4" s="4">
        <f t="shared" si="1"/>
        <v>1.626980966514223</v>
      </c>
      <c r="W4" s="4">
        <f t="shared" si="2"/>
        <v>1.6271130746564908</v>
      </c>
      <c r="X4" s="4">
        <f t="shared" si="3"/>
        <v>2.2149999999999999</v>
      </c>
    </row>
    <row r="5" spans="1:31" x14ac:dyDescent="0.3">
      <c r="A5" t="s">
        <v>70</v>
      </c>
      <c r="B5">
        <v>3</v>
      </c>
      <c r="C5">
        <v>2</v>
      </c>
      <c r="D5">
        <v>1</v>
      </c>
      <c r="E5">
        <v>12172024</v>
      </c>
      <c r="F5" s="5">
        <v>0.43125000000000002</v>
      </c>
      <c r="G5" s="5">
        <v>0.46388888888888891</v>
      </c>
      <c r="H5" t="s">
        <v>28</v>
      </c>
      <c r="I5">
        <v>40.97</v>
      </c>
      <c r="J5">
        <v>0.05</v>
      </c>
      <c r="K5">
        <v>25</v>
      </c>
      <c r="R5">
        <v>1.9770000000000001</v>
      </c>
      <c r="S5">
        <v>2439568</v>
      </c>
      <c r="U5" s="4">
        <f t="shared" si="0"/>
        <v>10.929942297777778</v>
      </c>
      <c r="V5" s="4">
        <f t="shared" si="1"/>
        <v>1.0533408337409196</v>
      </c>
      <c r="W5" s="4">
        <f t="shared" si="2"/>
        <v>1.0534263632606768</v>
      </c>
      <c r="X5" s="4">
        <f t="shared" si="3"/>
        <v>1.9770000000000001</v>
      </c>
      <c r="Z5" t="s">
        <v>71</v>
      </c>
    </row>
    <row r="6" spans="1:31" x14ac:dyDescent="0.3">
      <c r="A6" t="s">
        <v>70</v>
      </c>
      <c r="B6">
        <v>3</v>
      </c>
      <c r="C6">
        <v>3</v>
      </c>
      <c r="D6">
        <v>2</v>
      </c>
      <c r="E6">
        <v>12172024</v>
      </c>
      <c r="F6" s="5">
        <v>0.45208333333333334</v>
      </c>
      <c r="G6" s="5">
        <v>0.47152777777777777</v>
      </c>
      <c r="H6" t="s">
        <v>28</v>
      </c>
      <c r="I6">
        <v>187.4</v>
      </c>
      <c r="J6">
        <v>0.02</v>
      </c>
      <c r="K6">
        <v>24</v>
      </c>
      <c r="R6">
        <v>8.3000000000000004E-2</v>
      </c>
      <c r="S6">
        <v>3283581</v>
      </c>
      <c r="U6" s="4">
        <f t="shared" si="0"/>
        <v>14.711354985833335</v>
      </c>
      <c r="V6" s="4">
        <f t="shared" si="1"/>
        <v>85.264119959470463</v>
      </c>
      <c r="W6" s="4">
        <f t="shared" si="2"/>
        <v>87.25014096423925</v>
      </c>
      <c r="X6" s="4">
        <f t="shared" si="3"/>
        <v>8.3000000000000004E-2</v>
      </c>
    </row>
    <row r="7" spans="1:31" x14ac:dyDescent="0.3">
      <c r="A7" t="s">
        <v>70</v>
      </c>
      <c r="B7">
        <v>1</v>
      </c>
      <c r="C7">
        <v>2</v>
      </c>
      <c r="D7">
        <v>2</v>
      </c>
      <c r="E7">
        <v>12172024</v>
      </c>
      <c r="F7" s="5">
        <v>0.47708333333333336</v>
      </c>
      <c r="G7" s="5">
        <v>0.51249999999999996</v>
      </c>
      <c r="H7" t="s">
        <v>28</v>
      </c>
      <c r="I7">
        <v>16.7</v>
      </c>
      <c r="J7">
        <v>0.09</v>
      </c>
      <c r="K7">
        <v>25</v>
      </c>
      <c r="R7">
        <v>1.5549999999999999</v>
      </c>
      <c r="S7">
        <v>1968755</v>
      </c>
      <c r="U7" s="4">
        <f t="shared" si="0"/>
        <v>8.8205692763888894</v>
      </c>
      <c r="V7" s="4">
        <f t="shared" si="1"/>
        <v>0.67642080577725283</v>
      </c>
      <c r="W7" s="4">
        <f t="shared" si="2"/>
        <v>0.67647573001907346</v>
      </c>
      <c r="X7" s="4">
        <f t="shared" si="3"/>
        <v>1.5549999999999999</v>
      </c>
      <c r="Z7" t="s">
        <v>72</v>
      </c>
    </row>
    <row r="8" spans="1:31" x14ac:dyDescent="0.3">
      <c r="A8" t="s">
        <v>70</v>
      </c>
      <c r="B8">
        <v>2</v>
      </c>
      <c r="C8">
        <v>3</v>
      </c>
      <c r="D8">
        <v>1</v>
      </c>
      <c r="E8">
        <v>12172024</v>
      </c>
      <c r="F8" s="5">
        <v>0.50208333333333333</v>
      </c>
      <c r="G8" s="5">
        <v>0.5180555555555556</v>
      </c>
      <c r="H8" t="s">
        <v>28</v>
      </c>
      <c r="I8">
        <v>74.83</v>
      </c>
      <c r="J8">
        <v>0.03</v>
      </c>
      <c r="K8">
        <v>24</v>
      </c>
      <c r="R8">
        <v>0.44600000000000001</v>
      </c>
      <c r="S8">
        <v>1823104</v>
      </c>
      <c r="U8" s="4">
        <f t="shared" si="0"/>
        <v>8.1680123377777782</v>
      </c>
      <c r="V8" s="4">
        <f t="shared" si="1"/>
        <v>11.411743363416814</v>
      </c>
      <c r="W8" s="4">
        <f t="shared" si="2"/>
        <v>11.677552264412331</v>
      </c>
      <c r="X8" s="4">
        <f t="shared" si="3"/>
        <v>0.44600000000000001</v>
      </c>
    </row>
    <row r="9" spans="1:31" x14ac:dyDescent="0.3">
      <c r="A9" t="s">
        <v>70</v>
      </c>
      <c r="B9">
        <v>3</v>
      </c>
      <c r="C9">
        <v>4</v>
      </c>
      <c r="D9">
        <v>1</v>
      </c>
      <c r="E9">
        <v>12172024</v>
      </c>
      <c r="F9" s="5">
        <v>0.53055555555555556</v>
      </c>
      <c r="G9" s="5">
        <v>0.54374999999999996</v>
      </c>
      <c r="H9" t="s">
        <v>28</v>
      </c>
      <c r="I9">
        <v>89.73</v>
      </c>
      <c r="J9">
        <v>0.02</v>
      </c>
      <c r="K9">
        <v>25</v>
      </c>
      <c r="R9">
        <v>2.11</v>
      </c>
      <c r="S9">
        <v>4184197</v>
      </c>
      <c r="U9" s="4">
        <f t="shared" si="0"/>
        <v>18.746364836944444</v>
      </c>
      <c r="V9" s="4">
        <f t="shared" si="1"/>
        <v>1.2602759320303754</v>
      </c>
      <c r="W9" s="4">
        <f t="shared" si="2"/>
        <v>1.2603782643351484</v>
      </c>
      <c r="X9" s="4">
        <f t="shared" si="3"/>
        <v>2.11</v>
      </c>
    </row>
    <row r="10" spans="1:31" x14ac:dyDescent="0.3">
      <c r="A10" t="s">
        <v>70</v>
      </c>
      <c r="B10">
        <v>2</v>
      </c>
      <c r="C10">
        <v>4</v>
      </c>
      <c r="D10">
        <v>2</v>
      </c>
      <c r="E10">
        <v>12172024</v>
      </c>
      <c r="F10" s="5">
        <v>0.54861111111111116</v>
      </c>
      <c r="G10" s="5">
        <v>0.57013888888888886</v>
      </c>
      <c r="H10" t="s">
        <v>28</v>
      </c>
      <c r="I10">
        <v>99.78</v>
      </c>
      <c r="J10">
        <v>0.05</v>
      </c>
      <c r="K10">
        <v>24</v>
      </c>
      <c r="R10">
        <v>1.85</v>
      </c>
      <c r="S10">
        <v>2933375</v>
      </c>
      <c r="U10" s="4">
        <f t="shared" si="0"/>
        <v>13.14233482638889</v>
      </c>
      <c r="V10" s="4">
        <f t="shared" si="1"/>
        <v>2.2799574322059133</v>
      </c>
      <c r="W10" s="4">
        <f t="shared" si="2"/>
        <v>2.3330635142541656</v>
      </c>
      <c r="X10" s="4">
        <f t="shared" si="3"/>
        <v>1.85</v>
      </c>
    </row>
    <row r="11" spans="1:31" x14ac:dyDescent="0.3">
      <c r="A11" t="s">
        <v>70</v>
      </c>
      <c r="B11">
        <v>1</v>
      </c>
      <c r="C11">
        <v>4</v>
      </c>
      <c r="D11">
        <v>1</v>
      </c>
      <c r="E11">
        <v>12172024</v>
      </c>
      <c r="F11" s="5">
        <v>0.55555555555555558</v>
      </c>
      <c r="G11" s="5">
        <v>0.57013888888888886</v>
      </c>
      <c r="H11" t="s">
        <v>28</v>
      </c>
      <c r="I11">
        <v>43.93</v>
      </c>
      <c r="J11">
        <v>0.04</v>
      </c>
      <c r="K11">
        <f>AVERAGE(K3:K10,K12:K15)</f>
        <v>24.5</v>
      </c>
      <c r="R11">
        <v>0.11</v>
      </c>
      <c r="S11">
        <v>1471589</v>
      </c>
      <c r="U11" s="4">
        <f t="shared" si="0"/>
        <v>6.5931274947222223</v>
      </c>
      <c r="V11" s="4">
        <f t="shared" si="1"/>
        <v>33.651508642338861</v>
      </c>
      <c r="W11" s="4">
        <f t="shared" si="2"/>
        <v>34.04120133348399</v>
      </c>
      <c r="X11" s="4">
        <f t="shared" si="3"/>
        <v>0.11</v>
      </c>
    </row>
    <row r="12" spans="1:31" x14ac:dyDescent="0.3">
      <c r="A12" t="s">
        <v>70</v>
      </c>
      <c r="B12">
        <v>2</v>
      </c>
      <c r="C12">
        <v>5</v>
      </c>
      <c r="D12">
        <v>1</v>
      </c>
      <c r="E12">
        <v>12172024</v>
      </c>
      <c r="F12" s="5">
        <v>0.57777777777777772</v>
      </c>
      <c r="G12" s="5">
        <v>0.6020833333333333</v>
      </c>
      <c r="H12" t="s">
        <v>28</v>
      </c>
      <c r="I12" s="5">
        <v>0.49513888888888891</v>
      </c>
      <c r="J12">
        <v>0.1</v>
      </c>
      <c r="K12">
        <v>25</v>
      </c>
      <c r="R12">
        <v>2.8</v>
      </c>
      <c r="S12">
        <v>2824028</v>
      </c>
      <c r="U12" s="4">
        <f t="shared" si="0"/>
        <v>12.652429892222223</v>
      </c>
      <c r="V12" s="4">
        <f t="shared" si="1"/>
        <v>7.7646621139471021E-3</v>
      </c>
      <c r="W12" s="4">
        <f t="shared" si="2"/>
        <v>7.765292591566891E-3</v>
      </c>
      <c r="X12" s="4">
        <f t="shared" si="3"/>
        <v>2.8</v>
      </c>
      <c r="Z12" t="s">
        <v>73</v>
      </c>
    </row>
    <row r="13" spans="1:31" x14ac:dyDescent="0.3">
      <c r="A13" t="s">
        <v>70</v>
      </c>
      <c r="B13">
        <v>2</v>
      </c>
      <c r="C13">
        <v>6</v>
      </c>
      <c r="D13">
        <v>2</v>
      </c>
      <c r="E13">
        <v>12172024</v>
      </c>
      <c r="F13" s="5">
        <v>0.57986111111111116</v>
      </c>
      <c r="G13" s="5">
        <v>0.59444444444444444</v>
      </c>
      <c r="H13" t="s">
        <v>28</v>
      </c>
      <c r="I13">
        <v>77.63</v>
      </c>
      <c r="J13">
        <v>0.04</v>
      </c>
      <c r="K13">
        <v>24</v>
      </c>
      <c r="R13">
        <v>1.33</v>
      </c>
      <c r="S13">
        <v>2058880</v>
      </c>
      <c r="U13" s="4">
        <f t="shared" si="0"/>
        <v>9.2243543111111119</v>
      </c>
      <c r="V13" s="4">
        <f t="shared" si="1"/>
        <v>3.5153572262218704</v>
      </c>
      <c r="W13" s="4">
        <f t="shared" si="2"/>
        <v>3.5972389520153345</v>
      </c>
      <c r="X13" s="4">
        <f t="shared" si="3"/>
        <v>1.33</v>
      </c>
    </row>
    <row r="14" spans="1:31" x14ac:dyDescent="0.3">
      <c r="A14" t="s">
        <v>70</v>
      </c>
      <c r="B14">
        <v>1</v>
      </c>
      <c r="C14">
        <v>5</v>
      </c>
      <c r="D14">
        <v>1</v>
      </c>
      <c r="E14">
        <v>12172024</v>
      </c>
      <c r="F14" s="5">
        <v>0.61458333333333337</v>
      </c>
      <c r="G14" s="5">
        <v>0.63194444444444442</v>
      </c>
      <c r="H14" t="s">
        <v>28</v>
      </c>
      <c r="I14">
        <v>19.07</v>
      </c>
      <c r="J14">
        <v>0.05</v>
      </c>
      <c r="K14">
        <v>25</v>
      </c>
      <c r="R14">
        <v>2.3199999999999998</v>
      </c>
      <c r="S14">
        <v>1954502</v>
      </c>
      <c r="U14" s="4">
        <f t="shared" si="0"/>
        <v>8.756711877222223</v>
      </c>
      <c r="V14" s="4">
        <f t="shared" si="1"/>
        <v>0.52149379187689426</v>
      </c>
      <c r="W14" s="4">
        <f t="shared" si="2"/>
        <v>0.52153613630345297</v>
      </c>
      <c r="X14" s="4">
        <f t="shared" si="3"/>
        <v>2.3199999999999998</v>
      </c>
    </row>
    <row r="15" spans="1:31" x14ac:dyDescent="0.3">
      <c r="A15" t="s">
        <v>70</v>
      </c>
      <c r="B15">
        <v>3</v>
      </c>
      <c r="C15">
        <v>5</v>
      </c>
      <c r="D15">
        <v>2</v>
      </c>
      <c r="E15">
        <v>12172024</v>
      </c>
      <c r="F15" s="5">
        <v>0.60416666666666663</v>
      </c>
      <c r="G15" s="5">
        <v>0.62847222222222221</v>
      </c>
      <c r="H15" t="s">
        <v>28</v>
      </c>
      <c r="I15">
        <v>86.37</v>
      </c>
      <c r="J15">
        <v>0.02</v>
      </c>
      <c r="K15">
        <v>24</v>
      </c>
      <c r="R15">
        <v>9.7000000000000003E-2</v>
      </c>
      <c r="S15">
        <v>2228321</v>
      </c>
      <c r="U15" s="4">
        <f t="shared" si="0"/>
        <v>9.9834970580555549</v>
      </c>
      <c r="V15" s="4">
        <f t="shared" si="1"/>
        <v>49.549124584531697</v>
      </c>
      <c r="W15" s="4">
        <f t="shared" si="2"/>
        <v>50.70325134077526</v>
      </c>
      <c r="X15" s="4">
        <f t="shared" si="3"/>
        <v>9.7000000000000003E-2</v>
      </c>
    </row>
    <row r="16" spans="1:31" x14ac:dyDescent="0.3">
      <c r="A16" t="s">
        <v>70</v>
      </c>
      <c r="B16">
        <v>2</v>
      </c>
      <c r="C16">
        <v>7</v>
      </c>
      <c r="D16">
        <v>2</v>
      </c>
      <c r="E16">
        <v>12182024</v>
      </c>
      <c r="F16" s="5">
        <v>0.37361111111111112</v>
      </c>
      <c r="G16" s="5">
        <v>0.39027777777777778</v>
      </c>
      <c r="H16" t="s">
        <v>28</v>
      </c>
      <c r="I16">
        <v>105.78</v>
      </c>
      <c r="J16">
        <v>0.02</v>
      </c>
      <c r="K16">
        <v>24</v>
      </c>
      <c r="R16">
        <v>1.94</v>
      </c>
      <c r="S16">
        <v>3496221</v>
      </c>
      <c r="U16" s="4">
        <f t="shared" si="0"/>
        <v>15.664041252499999</v>
      </c>
      <c r="V16" s="4">
        <f t="shared" si="1"/>
        <v>1.933862132487465</v>
      </c>
      <c r="W16" s="4">
        <f t="shared" si="2"/>
        <v>1.9789067634210009</v>
      </c>
      <c r="X16" s="4">
        <f t="shared" si="3"/>
        <v>1.94</v>
      </c>
    </row>
    <row r="17" spans="1:26" x14ac:dyDescent="0.3">
      <c r="A17" t="s">
        <v>70</v>
      </c>
      <c r="B17">
        <v>1</v>
      </c>
      <c r="C17">
        <v>6</v>
      </c>
      <c r="D17">
        <v>1</v>
      </c>
      <c r="E17">
        <v>12182024</v>
      </c>
      <c r="F17" s="5">
        <v>0.38263888888888886</v>
      </c>
      <c r="G17" s="5">
        <v>0.39861111111111114</v>
      </c>
      <c r="H17" t="s">
        <v>28</v>
      </c>
      <c r="I17">
        <v>26.8</v>
      </c>
      <c r="J17">
        <v>0.03</v>
      </c>
      <c r="K17">
        <v>25</v>
      </c>
      <c r="R17">
        <v>2</v>
      </c>
      <c r="S17">
        <v>2294812</v>
      </c>
      <c r="U17" s="4">
        <f t="shared" si="0"/>
        <v>10.281395207777779</v>
      </c>
      <c r="V17" s="4">
        <f t="shared" si="1"/>
        <v>0.72406947636958763</v>
      </c>
      <c r="W17" s="4">
        <f t="shared" si="2"/>
        <v>0.72412826960402898</v>
      </c>
      <c r="X17" s="4">
        <f t="shared" si="3"/>
        <v>2</v>
      </c>
    </row>
    <row r="18" spans="1:26" x14ac:dyDescent="0.3">
      <c r="A18" t="s">
        <v>70</v>
      </c>
      <c r="B18">
        <v>3</v>
      </c>
      <c r="C18">
        <v>7</v>
      </c>
      <c r="D18">
        <v>2</v>
      </c>
      <c r="E18">
        <v>12182024</v>
      </c>
      <c r="F18" s="5">
        <v>0.43055555555555558</v>
      </c>
      <c r="G18" s="5">
        <v>0.45</v>
      </c>
      <c r="H18" t="s">
        <v>28</v>
      </c>
      <c r="I18">
        <v>124.17</v>
      </c>
      <c r="J18">
        <v>0.05</v>
      </c>
      <c r="K18">
        <v>24</v>
      </c>
      <c r="R18">
        <v>1.98</v>
      </c>
      <c r="S18">
        <v>4142713</v>
      </c>
      <c r="U18" s="4">
        <f t="shared" si="0"/>
        <v>18.560504993611112</v>
      </c>
      <c r="V18" s="4">
        <f t="shared" si="1"/>
        <v>1.8771077269750995</v>
      </c>
      <c r="W18" s="4">
        <f t="shared" si="2"/>
        <v>1.9208304015978883</v>
      </c>
      <c r="X18" s="4">
        <f t="shared" si="3"/>
        <v>1.98</v>
      </c>
    </row>
    <row r="19" spans="1:26" x14ac:dyDescent="0.3">
      <c r="A19" t="s">
        <v>70</v>
      </c>
      <c r="B19">
        <v>1</v>
      </c>
      <c r="C19">
        <v>7</v>
      </c>
      <c r="D19">
        <v>1</v>
      </c>
      <c r="E19">
        <v>12182024</v>
      </c>
      <c r="F19" s="5">
        <v>0.43819444444444444</v>
      </c>
      <c r="G19" s="5">
        <v>0.46180555555555558</v>
      </c>
      <c r="H19" t="s">
        <v>28</v>
      </c>
      <c r="I19">
        <v>30.9</v>
      </c>
      <c r="J19">
        <v>0.05</v>
      </c>
      <c r="K19">
        <v>25</v>
      </c>
      <c r="R19">
        <v>2.11</v>
      </c>
      <c r="S19">
        <v>1448956</v>
      </c>
      <c r="U19" s="4">
        <f t="shared" si="0"/>
        <v>6.4917253677777786</v>
      </c>
      <c r="V19" s="4">
        <f t="shared" si="1"/>
        <v>1.2532663534791386</v>
      </c>
      <c r="W19" s="4">
        <f t="shared" si="2"/>
        <v>1.2533681166178183</v>
      </c>
      <c r="X19" s="4">
        <f t="shared" si="3"/>
        <v>2.11</v>
      </c>
    </row>
    <row r="20" spans="1:26" x14ac:dyDescent="0.3">
      <c r="A20" t="s">
        <v>70</v>
      </c>
      <c r="B20">
        <v>2</v>
      </c>
      <c r="C20">
        <v>8</v>
      </c>
      <c r="D20">
        <v>2</v>
      </c>
      <c r="E20">
        <v>12182024</v>
      </c>
      <c r="F20" s="5">
        <v>0.46527777777777779</v>
      </c>
      <c r="G20" s="5">
        <v>0.48125000000000001</v>
      </c>
      <c r="H20" t="s">
        <v>28</v>
      </c>
      <c r="I20">
        <v>64.900000000000006</v>
      </c>
      <c r="J20">
        <v>0.05</v>
      </c>
      <c r="K20">
        <v>26</v>
      </c>
      <c r="R20">
        <v>2.11</v>
      </c>
      <c r="S20">
        <v>2674281</v>
      </c>
      <c r="U20" s="4">
        <f t="shared" si="0"/>
        <v>11.981521735833333</v>
      </c>
      <c r="V20" s="4">
        <f t="shared" si="1"/>
        <v>1.4261912132984851</v>
      </c>
      <c r="W20" s="4">
        <f t="shared" si="2"/>
        <v>1.3943908123683739</v>
      </c>
      <c r="X20" s="4">
        <f t="shared" si="3"/>
        <v>2.11</v>
      </c>
    </row>
    <row r="21" spans="1:26" x14ac:dyDescent="0.3">
      <c r="A21" t="s">
        <v>70</v>
      </c>
      <c r="B21">
        <v>2</v>
      </c>
      <c r="C21">
        <v>9</v>
      </c>
      <c r="D21">
        <v>1</v>
      </c>
      <c r="E21">
        <v>12182024</v>
      </c>
      <c r="F21" s="5">
        <v>0.46944444444444444</v>
      </c>
      <c r="G21" s="5">
        <v>0.48888888888888887</v>
      </c>
      <c r="H21" t="s">
        <v>28</v>
      </c>
      <c r="I21">
        <v>102.18</v>
      </c>
      <c r="J21">
        <v>0.02</v>
      </c>
      <c r="R21">
        <v>1.06</v>
      </c>
      <c r="S21">
        <f>3440799</f>
        <v>3440799</v>
      </c>
      <c r="U21" s="4">
        <f t="shared" si="0"/>
        <v>15.415735297499999</v>
      </c>
      <c r="V21" s="4">
        <f t="shared" si="1"/>
        <v>3.4739477609077603</v>
      </c>
      <c r="W21" s="4">
        <f t="shared" si="2"/>
        <v>6.932594070059837</v>
      </c>
      <c r="X21" s="4">
        <f t="shared" si="3"/>
        <v>1.06</v>
      </c>
    </row>
    <row r="22" spans="1:26" x14ac:dyDescent="0.3">
      <c r="A22" t="s">
        <v>70</v>
      </c>
      <c r="B22">
        <v>3</v>
      </c>
      <c r="C22">
        <v>8</v>
      </c>
      <c r="D22">
        <v>1</v>
      </c>
      <c r="E22">
        <v>12182024</v>
      </c>
      <c r="F22" s="5">
        <v>0.49305555555555558</v>
      </c>
      <c r="G22" s="5">
        <v>0.51458333333333328</v>
      </c>
      <c r="H22" t="s">
        <v>28</v>
      </c>
      <c r="I22">
        <v>119.5</v>
      </c>
      <c r="J22">
        <v>0.02</v>
      </c>
      <c r="K22">
        <v>25</v>
      </c>
      <c r="R22">
        <v>0.27600000000000002</v>
      </c>
      <c r="S22">
        <v>2544666</v>
      </c>
      <c r="U22" s="4">
        <f t="shared" si="0"/>
        <v>11.400810531666666</v>
      </c>
      <c r="V22" s="4">
        <f t="shared" si="1"/>
        <v>21.09845188882462</v>
      </c>
      <c r="W22" s="4">
        <f t="shared" si="2"/>
        <v>21.100165047946408</v>
      </c>
      <c r="X22" s="4">
        <f t="shared" si="3"/>
        <v>0.27600000000000002</v>
      </c>
    </row>
    <row r="23" spans="1:26" x14ac:dyDescent="0.3">
      <c r="A23" t="s">
        <v>70</v>
      </c>
      <c r="B23">
        <v>3</v>
      </c>
      <c r="C23">
        <v>9</v>
      </c>
      <c r="D23">
        <v>2</v>
      </c>
      <c r="E23">
        <v>12182024</v>
      </c>
      <c r="F23" s="5">
        <v>0.49652777777777779</v>
      </c>
      <c r="G23" s="5">
        <v>0.51180555555555551</v>
      </c>
      <c r="H23" t="s">
        <v>28</v>
      </c>
      <c r="I23">
        <v>74.900000000000006</v>
      </c>
      <c r="J23">
        <v>0.04</v>
      </c>
      <c r="K23">
        <v>24</v>
      </c>
      <c r="R23">
        <v>1.7749999999999999</v>
      </c>
      <c r="S23">
        <v>3639298</v>
      </c>
      <c r="U23" s="4">
        <f t="shared" si="0"/>
        <v>16.305065956111111</v>
      </c>
      <c r="V23" s="4">
        <f t="shared" si="1"/>
        <v>1.4377666157450395</v>
      </c>
      <c r="W23" s="4">
        <f t="shared" si="2"/>
        <v>1.4712559040902695</v>
      </c>
      <c r="X23" s="4">
        <f t="shared" si="3"/>
        <v>1.7749999999999999</v>
      </c>
    </row>
    <row r="24" spans="1:26" x14ac:dyDescent="0.3">
      <c r="A24" t="s">
        <v>70</v>
      </c>
      <c r="B24">
        <v>3</v>
      </c>
      <c r="C24">
        <v>10</v>
      </c>
      <c r="D24">
        <v>2</v>
      </c>
      <c r="E24">
        <v>12182024</v>
      </c>
      <c r="F24" s="5">
        <v>0.55000000000000004</v>
      </c>
      <c r="G24" s="5">
        <v>0.56388888888888888</v>
      </c>
      <c r="H24">
        <v>0</v>
      </c>
      <c r="I24">
        <v>17.93</v>
      </c>
      <c r="J24">
        <v>0.05</v>
      </c>
      <c r="K24">
        <v>23</v>
      </c>
      <c r="R24">
        <v>0.76500000000000001</v>
      </c>
      <c r="S24">
        <v>2354118</v>
      </c>
      <c r="U24" s="4">
        <f t="shared" si="0"/>
        <v>10.547102561666666</v>
      </c>
      <c r="V24" s="4">
        <f t="shared" si="1"/>
        <v>1.2345627815630753</v>
      </c>
      <c r="W24" s="4">
        <f t="shared" si="2"/>
        <v>1.2930544328403317</v>
      </c>
      <c r="X24" s="4">
        <f t="shared" si="3"/>
        <v>0.76500000000000001</v>
      </c>
    </row>
    <row r="25" spans="1:26" x14ac:dyDescent="0.3">
      <c r="A25" t="s">
        <v>70</v>
      </c>
      <c r="B25">
        <v>2</v>
      </c>
      <c r="C25">
        <v>10</v>
      </c>
      <c r="D25">
        <v>1</v>
      </c>
      <c r="E25">
        <v>12182024</v>
      </c>
      <c r="F25" s="5">
        <v>0.55694444444444446</v>
      </c>
      <c r="G25" s="5">
        <v>0.57777777777777772</v>
      </c>
      <c r="H25">
        <v>0</v>
      </c>
      <c r="I25">
        <v>12.23</v>
      </c>
      <c r="J25">
        <v>0.2</v>
      </c>
      <c r="K25">
        <v>24</v>
      </c>
      <c r="R25">
        <v>0.23699999999999999</v>
      </c>
      <c r="S25">
        <v>2170297</v>
      </c>
      <c r="U25" s="4">
        <f t="shared" si="0"/>
        <v>9.7235334202777768</v>
      </c>
      <c r="V25" s="4">
        <f t="shared" si="1"/>
        <v>2.9483666811793827</v>
      </c>
      <c r="W25" s="4">
        <f t="shared" si="2"/>
        <v>3.017041736541076</v>
      </c>
      <c r="X25" s="4">
        <f t="shared" si="3"/>
        <v>0.23699999999999999</v>
      </c>
      <c r="Z25" t="s">
        <v>74</v>
      </c>
    </row>
    <row r="26" spans="1:26" x14ac:dyDescent="0.3">
      <c r="A26" t="s">
        <v>70</v>
      </c>
      <c r="B26">
        <v>2</v>
      </c>
      <c r="C26">
        <v>11</v>
      </c>
      <c r="D26">
        <v>2</v>
      </c>
      <c r="E26">
        <v>12182024</v>
      </c>
      <c r="F26" s="5">
        <v>0.56805555555555554</v>
      </c>
      <c r="G26" s="5">
        <v>0.58263888888888893</v>
      </c>
      <c r="H26">
        <v>0</v>
      </c>
      <c r="I26">
        <v>58.03</v>
      </c>
      <c r="J26">
        <v>0.04</v>
      </c>
      <c r="K26">
        <v>23</v>
      </c>
      <c r="R26">
        <v>7.2999999999999995E-2</v>
      </c>
      <c r="S26">
        <v>2648266</v>
      </c>
      <c r="U26" s="4">
        <f t="shared" si="0"/>
        <v>11.864967309444443</v>
      </c>
      <c r="V26" s="4">
        <f t="shared" si="1"/>
        <v>37.22122475337563</v>
      </c>
      <c r="W26" s="4">
        <f t="shared" si="2"/>
        <v>38.984708094117828</v>
      </c>
      <c r="X26" s="4">
        <f t="shared" si="3"/>
        <v>7.2999999999999995E-2</v>
      </c>
    </row>
    <row r="27" spans="1:26" x14ac:dyDescent="0.3">
      <c r="A27" t="s">
        <v>70</v>
      </c>
      <c r="B27">
        <v>1</v>
      </c>
      <c r="C27">
        <v>9</v>
      </c>
      <c r="D27">
        <v>2</v>
      </c>
      <c r="E27">
        <v>12182024</v>
      </c>
      <c r="F27" s="5">
        <v>0.58680555555555558</v>
      </c>
      <c r="G27" s="5">
        <v>0.60486111111111107</v>
      </c>
      <c r="H27">
        <v>0</v>
      </c>
      <c r="I27">
        <v>8.83</v>
      </c>
      <c r="J27">
        <v>0.05</v>
      </c>
      <c r="K27">
        <v>24</v>
      </c>
      <c r="R27">
        <v>0.56000000000000005</v>
      </c>
      <c r="S27">
        <v>1084842</v>
      </c>
      <c r="U27" s="4">
        <f t="shared" si="0"/>
        <v>4.8603935050000002</v>
      </c>
      <c r="V27" s="4">
        <f t="shared" si="1"/>
        <v>1.8023068761632366</v>
      </c>
      <c r="W27" s="4">
        <f t="shared" si="2"/>
        <v>1.8442872462743791</v>
      </c>
      <c r="X27" s="4">
        <f t="shared" si="3"/>
        <v>0.56000000000000005</v>
      </c>
      <c r="Z27" t="s">
        <v>75</v>
      </c>
    </row>
    <row r="28" spans="1:26" x14ac:dyDescent="0.3">
      <c r="A28" t="s">
        <v>70</v>
      </c>
      <c r="B28">
        <v>3</v>
      </c>
      <c r="C28">
        <v>11</v>
      </c>
      <c r="D28">
        <v>2</v>
      </c>
      <c r="E28">
        <v>12192024</v>
      </c>
      <c r="F28" s="5">
        <v>0.40555555555555556</v>
      </c>
      <c r="G28" s="5">
        <v>0.41805555555555557</v>
      </c>
      <c r="H28">
        <v>0</v>
      </c>
      <c r="I28">
        <v>36.4</v>
      </c>
      <c r="J28">
        <v>0.05</v>
      </c>
      <c r="K28">
        <v>23</v>
      </c>
      <c r="R28">
        <v>0.67300000000000004</v>
      </c>
      <c r="S28">
        <v>1964981</v>
      </c>
      <c r="U28" s="4">
        <f t="shared" si="0"/>
        <v>8.8036607080555562</v>
      </c>
      <c r="V28" s="4">
        <f t="shared" si="1"/>
        <v>3.4131118274703223</v>
      </c>
      <c r="W28" s="4">
        <f t="shared" si="2"/>
        <v>3.5748197209562349</v>
      </c>
      <c r="X28" s="4">
        <f t="shared" si="3"/>
        <v>0.67300000000000004</v>
      </c>
    </row>
    <row r="29" spans="1:26" x14ac:dyDescent="0.3">
      <c r="A29" t="s">
        <v>70</v>
      </c>
      <c r="B29">
        <v>2</v>
      </c>
      <c r="C29">
        <v>12</v>
      </c>
      <c r="D29">
        <v>2</v>
      </c>
      <c r="F29" s="5">
        <v>0.42222222222222222</v>
      </c>
      <c r="G29" s="5">
        <v>0.43611111111111112</v>
      </c>
      <c r="H29">
        <v>0</v>
      </c>
      <c r="I29">
        <v>20.63</v>
      </c>
      <c r="J29">
        <v>0.05</v>
      </c>
      <c r="K29">
        <v>23</v>
      </c>
      <c r="R29">
        <v>0.19400000000000001</v>
      </c>
      <c r="S29">
        <v>2853960</v>
      </c>
      <c r="U29" s="4">
        <f t="shared" si="0"/>
        <v>12.786533566666668</v>
      </c>
      <c r="V29" s="4">
        <f t="shared" si="1"/>
        <v>4.6203212166372989</v>
      </c>
      <c r="W29" s="4">
        <f t="shared" si="2"/>
        <v>4.8392248005038851</v>
      </c>
      <c r="X29" s="4">
        <f t="shared" si="3"/>
        <v>0.19400000000000001</v>
      </c>
    </row>
    <row r="30" spans="1:26" x14ac:dyDescent="0.3">
      <c r="A30" t="s">
        <v>70</v>
      </c>
      <c r="B30">
        <v>1</v>
      </c>
      <c r="C30">
        <v>10</v>
      </c>
      <c r="D30">
        <v>1</v>
      </c>
      <c r="F30" s="5">
        <v>0.43611111111111112</v>
      </c>
      <c r="G30" s="5">
        <v>0.45416666666666666</v>
      </c>
      <c r="H30">
        <v>0</v>
      </c>
      <c r="I30">
        <v>23.16</v>
      </c>
      <c r="J30">
        <v>0.05</v>
      </c>
      <c r="K30">
        <v>23</v>
      </c>
      <c r="R30">
        <v>0.13300000000000001</v>
      </c>
      <c r="S30">
        <v>2559226</v>
      </c>
      <c r="U30" s="4">
        <f t="shared" si="0"/>
        <v>11.466043376111111</v>
      </c>
      <c r="V30" s="4">
        <f t="shared" si="1"/>
        <v>8.4372482698040336</v>
      </c>
      <c r="W30" s="4">
        <f t="shared" si="2"/>
        <v>8.8369918801793474</v>
      </c>
      <c r="X30" s="4">
        <f t="shared" si="3"/>
        <v>0.13300000000000001</v>
      </c>
    </row>
    <row r="31" spans="1:26" x14ac:dyDescent="0.3">
      <c r="A31" t="s">
        <v>70</v>
      </c>
      <c r="B31">
        <v>1</v>
      </c>
      <c r="C31">
        <v>11</v>
      </c>
      <c r="D31">
        <v>2</v>
      </c>
      <c r="F31" s="5">
        <v>0.44166666666666665</v>
      </c>
      <c r="G31" s="5">
        <v>0.47083333333333333</v>
      </c>
      <c r="H31">
        <v>0</v>
      </c>
      <c r="I31">
        <v>7.67</v>
      </c>
      <c r="J31">
        <v>0.17</v>
      </c>
      <c r="K31">
        <v>22</v>
      </c>
      <c r="R31">
        <v>2.17</v>
      </c>
      <c r="S31">
        <v>1549126</v>
      </c>
      <c r="U31" s="4">
        <f t="shared" si="0"/>
        <v>6.9405147927777779</v>
      </c>
      <c r="V31" s="4">
        <f t="shared" si="1"/>
        <v>0.28292507572585829</v>
      </c>
      <c r="W31" s="4">
        <f t="shared" si="2"/>
        <v>0.3034040714904378</v>
      </c>
      <c r="X31" s="4">
        <f t="shared" si="3"/>
        <v>2.17</v>
      </c>
      <c r="Z31" t="s">
        <v>76</v>
      </c>
    </row>
    <row r="32" spans="1:26" x14ac:dyDescent="0.3">
      <c r="A32" t="s">
        <v>70</v>
      </c>
      <c r="B32">
        <v>3</v>
      </c>
      <c r="C32">
        <v>13</v>
      </c>
      <c r="D32">
        <v>1</v>
      </c>
      <c r="F32" s="5">
        <v>0.46180555555555558</v>
      </c>
      <c r="G32" s="5">
        <v>0.47569444444444442</v>
      </c>
      <c r="H32">
        <v>0</v>
      </c>
      <c r="I32">
        <v>26.43</v>
      </c>
      <c r="J32">
        <v>0.04</v>
      </c>
      <c r="K32">
        <v>23</v>
      </c>
      <c r="R32">
        <v>0.156</v>
      </c>
      <c r="S32">
        <v>1676287</v>
      </c>
      <c r="U32" s="4">
        <f t="shared" ref="U32:U34" si="4">S32/(1200^2)*2.54^2</f>
        <v>7.5102313952777768</v>
      </c>
      <c r="V32" s="4">
        <f t="shared" ref="V32:V34" si="5">I32*0.000001/18*1000/R32/(U32/10000)</f>
        <v>12.532760532932997</v>
      </c>
      <c r="W32" s="4">
        <f t="shared" ref="W32:W34" si="6">V32/(0.88862*(1/POWER(10,(1.3272*(20-K32)-0.001053*(K32-20)^2)/(K32+105))))</f>
        <v>13.126543100803344</v>
      </c>
      <c r="X32" s="4">
        <f t="shared" si="3"/>
        <v>0.156</v>
      </c>
    </row>
    <row r="33" spans="1:26" x14ac:dyDescent="0.3">
      <c r="A33" t="s">
        <v>70</v>
      </c>
      <c r="B33">
        <v>2</v>
      </c>
      <c r="C33">
        <v>13</v>
      </c>
      <c r="D33">
        <v>1</v>
      </c>
      <c r="F33" s="5">
        <v>0.47916666666666669</v>
      </c>
      <c r="G33" s="5">
        <v>0.49513888888888891</v>
      </c>
      <c r="H33">
        <v>0</v>
      </c>
      <c r="I33">
        <v>18.3</v>
      </c>
      <c r="J33">
        <v>7.0000000000000007E-2</v>
      </c>
      <c r="K33">
        <v>23</v>
      </c>
      <c r="R33">
        <v>7.8E-2</v>
      </c>
      <c r="S33">
        <v>1908448</v>
      </c>
      <c r="U33" s="4">
        <f t="shared" si="4"/>
        <v>8.5503771644444448</v>
      </c>
      <c r="V33" s="4">
        <f t="shared" si="5"/>
        <v>15.243991912297034</v>
      </c>
      <c r="W33" s="4">
        <f t="shared" si="6"/>
        <v>15.966228377159911</v>
      </c>
      <c r="X33" s="4">
        <f t="shared" si="3"/>
        <v>7.8E-2</v>
      </c>
      <c r="Z33" t="s">
        <v>77</v>
      </c>
    </row>
    <row r="34" spans="1:26" x14ac:dyDescent="0.3">
      <c r="A34" t="s">
        <v>70</v>
      </c>
      <c r="B34">
        <v>2</v>
      </c>
      <c r="C34">
        <v>14</v>
      </c>
      <c r="D34">
        <v>2</v>
      </c>
      <c r="F34" s="5">
        <v>0.4777777777777778</v>
      </c>
      <c r="G34" s="5">
        <v>0.50138888888888888</v>
      </c>
      <c r="H34">
        <v>0</v>
      </c>
      <c r="I34">
        <v>20.73</v>
      </c>
      <c r="J34">
        <v>0.05</v>
      </c>
      <c r="K34">
        <v>22</v>
      </c>
      <c r="R34">
        <v>0.86899999999999999</v>
      </c>
      <c r="S34">
        <v>2717664</v>
      </c>
      <c r="U34" s="4">
        <f t="shared" si="4"/>
        <v>12.175889626666667</v>
      </c>
      <c r="V34" s="4">
        <f t="shared" si="5"/>
        <v>1.0884445720725633</v>
      </c>
      <c r="W34" s="4">
        <f t="shared" si="6"/>
        <v>1.1672295709782519</v>
      </c>
      <c r="X34" s="4">
        <f t="shared" si="3"/>
        <v>0.86899999999999999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2D54-5FE1-456F-A2B8-6457522F8A41}">
  <dimension ref="A1:AE38"/>
  <sheetViews>
    <sheetView zoomScale="110" zoomScaleNormal="110" workbookViewId="0">
      <selection sqref="A1:XFD2"/>
    </sheetView>
  </sheetViews>
  <sheetFormatPr baseColWidth="10" defaultRowHeight="14.4" x14ac:dyDescent="0.3"/>
  <cols>
    <col min="12" max="17" width="0" hidden="1" customWidth="1"/>
    <col min="18" max="18" width="16" bestFit="1" customWidth="1"/>
    <col min="20" max="20" width="0" hidden="1" customWidth="1"/>
  </cols>
  <sheetData>
    <row r="1" spans="1:31" x14ac:dyDescent="0.3">
      <c r="A1" s="6" t="s">
        <v>30</v>
      </c>
      <c r="B1" s="6" t="s">
        <v>0</v>
      </c>
      <c r="C1" s="7" t="s">
        <v>21</v>
      </c>
      <c r="D1" s="6" t="s">
        <v>22</v>
      </c>
      <c r="E1" s="6" t="s">
        <v>29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>
        <v>10222024</v>
      </c>
      <c r="B2" s="8" t="s">
        <v>26</v>
      </c>
      <c r="C2" s="8">
        <v>1</v>
      </c>
      <c r="D2" s="8">
        <v>1</v>
      </c>
      <c r="E2" s="8">
        <v>2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>
        <f>AVERAGE(K6,K7)</f>
        <v>24.5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>
        <f>V2/(0.88862*(1/POWER(10,(1.3272*(20-K2)-0.001053*(K2-20)^2)/(K2+105))))</f>
        <v>7.4465803308096055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>
        <v>22012024</v>
      </c>
      <c r="B3" t="s">
        <v>80</v>
      </c>
      <c r="C3">
        <v>1</v>
      </c>
      <c r="D3">
        <v>1</v>
      </c>
      <c r="E3">
        <v>2</v>
      </c>
      <c r="F3" s="5">
        <v>0.4909722222222222</v>
      </c>
      <c r="G3" s="5">
        <v>0.50486111111111109</v>
      </c>
      <c r="H3" t="s">
        <v>28</v>
      </c>
      <c r="I3">
        <v>54.7</v>
      </c>
      <c r="J3">
        <v>0.05</v>
      </c>
      <c r="K3">
        <v>25</v>
      </c>
      <c r="R3">
        <v>0.70699999999999996</v>
      </c>
      <c r="S3">
        <v>3675971</v>
      </c>
      <c r="U3" s="4">
        <f t="shared" ref="U3:U9" si="0">S3/(1200^2)*2.54^2</f>
        <v>16.469371183055557</v>
      </c>
      <c r="V3" s="4">
        <f t="shared" ref="V3:V9" si="1">I3*0.000001/18*1000/R3/(U3/10000)</f>
        <v>2.6098670822214345</v>
      </c>
      <c r="W3" s="4">
        <f t="shared" ref="W3:W9" si="2">V3/(0.88862*(1/POWER(10,(1.3272*(20-K3)-0.001053*(K3-20)^2)/(K3+105))))</f>
        <v>2.6100789990778046</v>
      </c>
      <c r="X3" s="4">
        <f t="shared" ref="X3:X38" si="3">MAX(Q3:R3)</f>
        <v>0.70699999999999996</v>
      </c>
      <c r="Z3" t="s">
        <v>81</v>
      </c>
    </row>
    <row r="4" spans="1:31" x14ac:dyDescent="0.3">
      <c r="A4">
        <v>22012024</v>
      </c>
      <c r="B4" t="s">
        <v>80</v>
      </c>
      <c r="C4">
        <v>2</v>
      </c>
      <c r="D4">
        <v>1</v>
      </c>
      <c r="E4">
        <v>1</v>
      </c>
      <c r="F4" s="5">
        <v>0.55208333333333337</v>
      </c>
      <c r="G4" s="5">
        <v>0.56319444444444444</v>
      </c>
      <c r="H4" t="s">
        <v>28</v>
      </c>
      <c r="I4">
        <v>27.13</v>
      </c>
      <c r="J4">
        <v>0.06</v>
      </c>
      <c r="K4">
        <v>24</v>
      </c>
      <c r="R4">
        <v>0.65400000000000003</v>
      </c>
      <c r="S4">
        <v>7206357</v>
      </c>
      <c r="U4" s="4">
        <f t="shared" si="0"/>
        <v>32.286481125833333</v>
      </c>
      <c r="V4" s="4">
        <f t="shared" si="1"/>
        <v>0.71380375145694364</v>
      </c>
      <c r="W4" s="4">
        <f t="shared" si="2"/>
        <v>0.73043007967507467</v>
      </c>
      <c r="X4" s="4">
        <f t="shared" si="3"/>
        <v>0.65400000000000003</v>
      </c>
    </row>
    <row r="5" spans="1:31" x14ac:dyDescent="0.3">
      <c r="A5">
        <v>22012024</v>
      </c>
      <c r="B5" t="s">
        <v>80</v>
      </c>
      <c r="C5">
        <v>2</v>
      </c>
      <c r="D5">
        <v>2</v>
      </c>
      <c r="E5">
        <v>2</v>
      </c>
      <c r="F5" s="5">
        <v>0.53749999999999998</v>
      </c>
      <c r="G5" s="5">
        <v>0.55000000000000004</v>
      </c>
      <c r="H5" t="s">
        <v>28</v>
      </c>
      <c r="I5">
        <v>43.7</v>
      </c>
      <c r="J5">
        <v>0.03</v>
      </c>
      <c r="K5">
        <v>25</v>
      </c>
      <c r="R5">
        <v>0.28999999999999998</v>
      </c>
      <c r="S5">
        <v>4874594</v>
      </c>
      <c r="U5" s="4">
        <f t="shared" si="0"/>
        <v>21.839535173888891</v>
      </c>
      <c r="V5" s="4">
        <f t="shared" si="1"/>
        <v>3.8332535207011165</v>
      </c>
      <c r="W5" s="4">
        <f t="shared" si="2"/>
        <v>3.833564774496879</v>
      </c>
      <c r="X5" s="4">
        <f t="shared" si="3"/>
        <v>0.28999999999999998</v>
      </c>
    </row>
    <row r="6" spans="1:31" x14ac:dyDescent="0.3">
      <c r="A6">
        <v>22012024</v>
      </c>
      <c r="B6" t="s">
        <v>80</v>
      </c>
      <c r="C6">
        <v>3</v>
      </c>
      <c r="D6">
        <v>1</v>
      </c>
      <c r="E6">
        <v>2</v>
      </c>
      <c r="F6" s="5">
        <v>0.55902777777777779</v>
      </c>
      <c r="G6" s="5">
        <v>0.5708333333333333</v>
      </c>
      <c r="H6" t="s">
        <v>28</v>
      </c>
      <c r="I6">
        <v>69.900000000000006</v>
      </c>
      <c r="J6">
        <v>0.03</v>
      </c>
      <c r="K6">
        <v>25</v>
      </c>
      <c r="R6">
        <v>1.99</v>
      </c>
      <c r="S6">
        <v>6243628</v>
      </c>
      <c r="U6" s="4">
        <f t="shared" si="0"/>
        <v>27.973187781111108</v>
      </c>
      <c r="V6" s="4">
        <f t="shared" si="1"/>
        <v>0.69760507842883002</v>
      </c>
      <c r="W6" s="4">
        <f t="shared" si="2"/>
        <v>0.69766172279827532</v>
      </c>
      <c r="X6" s="4">
        <f t="shared" si="3"/>
        <v>1.99</v>
      </c>
    </row>
    <row r="7" spans="1:31" x14ac:dyDescent="0.3">
      <c r="A7">
        <v>22012024</v>
      </c>
      <c r="B7" t="s">
        <v>80</v>
      </c>
      <c r="C7">
        <v>3</v>
      </c>
      <c r="D7">
        <v>2</v>
      </c>
      <c r="E7">
        <v>2</v>
      </c>
      <c r="F7" s="5">
        <v>0.57499999999999996</v>
      </c>
      <c r="G7" s="5">
        <v>0.58750000000000002</v>
      </c>
      <c r="H7" t="s">
        <v>28</v>
      </c>
      <c r="I7">
        <v>81.23</v>
      </c>
      <c r="J7">
        <v>0.04</v>
      </c>
      <c r="K7">
        <v>24</v>
      </c>
      <c r="R7">
        <v>1.032</v>
      </c>
      <c r="S7">
        <v>5813838</v>
      </c>
      <c r="U7" s="4">
        <f t="shared" si="0"/>
        <v>26.047609195000003</v>
      </c>
      <c r="V7" s="4">
        <f t="shared" si="1"/>
        <v>1.6787900383320362</v>
      </c>
      <c r="W7" s="4">
        <f t="shared" si="2"/>
        <v>1.7178933830954475</v>
      </c>
      <c r="X7" s="4">
        <f t="shared" si="3"/>
        <v>1.032</v>
      </c>
    </row>
    <row r="8" spans="1:31" x14ac:dyDescent="0.3">
      <c r="A8">
        <v>22012024</v>
      </c>
      <c r="B8" t="s">
        <v>80</v>
      </c>
      <c r="C8">
        <v>2</v>
      </c>
      <c r="D8">
        <v>3</v>
      </c>
      <c r="E8">
        <v>2</v>
      </c>
      <c r="F8" s="5">
        <v>0.59513888888888888</v>
      </c>
      <c r="G8" s="5">
        <v>0.60555555555555551</v>
      </c>
      <c r="H8" t="s">
        <v>28</v>
      </c>
      <c r="I8">
        <v>82.8</v>
      </c>
      <c r="J8">
        <v>0.03</v>
      </c>
      <c r="K8">
        <v>24</v>
      </c>
      <c r="R8">
        <v>0.55300000000000005</v>
      </c>
      <c r="S8">
        <v>5336817</v>
      </c>
      <c r="U8" s="4">
        <f t="shared" si="0"/>
        <v>23.910422609166666</v>
      </c>
      <c r="V8" s="4">
        <f t="shared" si="1"/>
        <v>3.4789280601328758</v>
      </c>
      <c r="W8" s="4">
        <f t="shared" si="2"/>
        <v>3.5599612568020924</v>
      </c>
      <c r="X8" s="4">
        <f t="shared" si="3"/>
        <v>0.55300000000000005</v>
      </c>
    </row>
    <row r="9" spans="1:31" x14ac:dyDescent="0.3">
      <c r="A9">
        <v>22012024</v>
      </c>
      <c r="B9" t="s">
        <v>80</v>
      </c>
      <c r="C9">
        <v>4</v>
      </c>
      <c r="D9">
        <v>1</v>
      </c>
      <c r="E9">
        <v>1</v>
      </c>
      <c r="F9" s="5">
        <v>0.56944444444444442</v>
      </c>
      <c r="G9" s="5">
        <v>0.58402777777777781</v>
      </c>
      <c r="H9" t="s">
        <v>28</v>
      </c>
      <c r="I9">
        <v>33.299999999999997</v>
      </c>
      <c r="J9">
        <v>0.05</v>
      </c>
      <c r="K9">
        <v>24</v>
      </c>
      <c r="R9">
        <v>0.77600000000000002</v>
      </c>
      <c r="S9">
        <v>4592786</v>
      </c>
      <c r="U9" s="4">
        <f t="shared" si="0"/>
        <v>20.57695705388889</v>
      </c>
      <c r="V9" s="4">
        <f t="shared" si="1"/>
        <v>1.158587546406012</v>
      </c>
      <c r="W9" s="4">
        <f t="shared" si="2"/>
        <v>1.1855740350265436</v>
      </c>
      <c r="X9" s="4">
        <f t="shared" si="3"/>
        <v>0.77600000000000002</v>
      </c>
    </row>
    <row r="10" spans="1:31" x14ac:dyDescent="0.3">
      <c r="A10">
        <v>23012025</v>
      </c>
      <c r="B10" t="s">
        <v>80</v>
      </c>
      <c r="C10">
        <v>6</v>
      </c>
      <c r="D10">
        <v>1</v>
      </c>
      <c r="E10">
        <v>2</v>
      </c>
      <c r="F10" s="5">
        <v>0.37569444444444444</v>
      </c>
      <c r="G10" s="5">
        <v>0.38819444444444445</v>
      </c>
      <c r="H10" t="s">
        <v>28</v>
      </c>
      <c r="I10">
        <v>64.099999999999994</v>
      </c>
      <c r="J10">
        <v>0.03</v>
      </c>
      <c r="K10">
        <v>24</v>
      </c>
      <c r="R10">
        <v>0.36099999999999999</v>
      </c>
      <c r="S10">
        <v>3966989</v>
      </c>
      <c r="U10" s="4">
        <f t="shared" ref="U10:U22" si="4">S10/(1200^2)*2.54^2</f>
        <v>17.773212661388889</v>
      </c>
      <c r="V10" s="4">
        <f t="shared" ref="V10:V22" si="5">I10*0.000001/18*1000/R10/(U10/10000)</f>
        <v>5.5502479506247901</v>
      </c>
      <c r="W10" s="4">
        <f t="shared" ref="W10:W22" si="6">V10/(0.88862*(1/POWER(10,(1.3272*(20-K10)-0.001053*(K10-20)^2)/(K10+105))))</f>
        <v>5.6795275235196421</v>
      </c>
      <c r="X10" s="4">
        <f t="shared" si="3"/>
        <v>0.36099999999999999</v>
      </c>
    </row>
    <row r="11" spans="1:31" x14ac:dyDescent="0.3">
      <c r="A11">
        <v>23012025</v>
      </c>
      <c r="B11" t="s">
        <v>80</v>
      </c>
      <c r="C11">
        <v>1</v>
      </c>
      <c r="D11">
        <v>2</v>
      </c>
      <c r="E11">
        <v>1</v>
      </c>
      <c r="F11" s="5">
        <v>0.38541666666666669</v>
      </c>
      <c r="G11" s="5">
        <v>0.40138888888888891</v>
      </c>
      <c r="H11" t="s">
        <v>28</v>
      </c>
      <c r="I11">
        <v>11.83</v>
      </c>
      <c r="J11">
        <v>0.09</v>
      </c>
      <c r="K11">
        <v>25</v>
      </c>
      <c r="R11">
        <v>0.06</v>
      </c>
      <c r="S11">
        <v>2535624</v>
      </c>
      <c r="U11" s="4">
        <f t="shared" si="4"/>
        <v>11.36029986</v>
      </c>
      <c r="V11" s="4">
        <f t="shared" si="5"/>
        <v>9.6420902957606494</v>
      </c>
      <c r="W11" s="4">
        <f t="shared" si="6"/>
        <v>9.642873217419087</v>
      </c>
      <c r="X11" s="4">
        <f t="shared" si="3"/>
        <v>0.06</v>
      </c>
    </row>
    <row r="12" spans="1:31" x14ac:dyDescent="0.3">
      <c r="A12">
        <v>23012025</v>
      </c>
      <c r="B12" t="s">
        <v>80</v>
      </c>
      <c r="C12">
        <v>4</v>
      </c>
      <c r="D12">
        <v>2</v>
      </c>
      <c r="E12">
        <v>2</v>
      </c>
      <c r="F12" s="5">
        <v>0.3923611111111111</v>
      </c>
      <c r="G12" s="5">
        <v>0.40694444444444444</v>
      </c>
      <c r="H12" t="s">
        <v>28</v>
      </c>
      <c r="I12">
        <v>57.66</v>
      </c>
      <c r="J12">
        <v>0.05</v>
      </c>
      <c r="K12">
        <v>25</v>
      </c>
      <c r="R12">
        <v>0.7</v>
      </c>
      <c r="S12">
        <v>4986209</v>
      </c>
      <c r="U12" s="4">
        <f t="shared" si="4"/>
        <v>22.339601378055555</v>
      </c>
      <c r="V12" s="4">
        <f t="shared" si="5"/>
        <v>2.048465591998307</v>
      </c>
      <c r="W12" s="4">
        <f t="shared" si="6"/>
        <v>2.0486319239895399</v>
      </c>
      <c r="X12" s="4">
        <f t="shared" si="3"/>
        <v>0.7</v>
      </c>
    </row>
    <row r="13" spans="1:31" x14ac:dyDescent="0.3">
      <c r="A13">
        <v>23012025</v>
      </c>
      <c r="B13" t="s">
        <v>80</v>
      </c>
      <c r="C13">
        <v>5</v>
      </c>
      <c r="D13">
        <v>1</v>
      </c>
      <c r="E13">
        <v>2</v>
      </c>
      <c r="F13" s="5">
        <v>0.46250000000000002</v>
      </c>
      <c r="G13" s="5">
        <v>0.47638888888888886</v>
      </c>
      <c r="H13" t="s">
        <v>28</v>
      </c>
      <c r="I13">
        <v>29.26</v>
      </c>
      <c r="J13">
        <v>0.04</v>
      </c>
      <c r="K13">
        <v>24</v>
      </c>
      <c r="R13">
        <v>6.5000000000000002E-2</v>
      </c>
      <c r="S13">
        <v>2080966</v>
      </c>
      <c r="U13" s="4">
        <f t="shared" si="4"/>
        <v>9.3233057261111121</v>
      </c>
      <c r="V13" s="4">
        <f t="shared" si="5"/>
        <v>26.823690805834428</v>
      </c>
      <c r="W13" s="4">
        <f t="shared" si="6"/>
        <v>27.448483665845572</v>
      </c>
      <c r="X13" s="4">
        <f t="shared" si="3"/>
        <v>6.5000000000000002E-2</v>
      </c>
    </row>
    <row r="14" spans="1:31" x14ac:dyDescent="0.3">
      <c r="A14">
        <v>23012025</v>
      </c>
      <c r="B14" t="s">
        <v>80</v>
      </c>
      <c r="C14">
        <v>4</v>
      </c>
      <c r="D14">
        <v>3</v>
      </c>
      <c r="E14">
        <v>1</v>
      </c>
      <c r="F14" s="5">
        <v>0.47152777777777777</v>
      </c>
      <c r="G14" s="5">
        <v>0.48194444444444445</v>
      </c>
      <c r="H14" t="s">
        <v>28</v>
      </c>
      <c r="I14">
        <v>30.01</v>
      </c>
      <c r="J14">
        <v>0.05</v>
      </c>
      <c r="K14">
        <v>24</v>
      </c>
      <c r="R14">
        <v>0.69199999999999995</v>
      </c>
      <c r="S14">
        <v>5465902</v>
      </c>
      <c r="U14" s="4">
        <f>S14/(1200^2)*2.54^2</f>
        <v>24.488759266111114</v>
      </c>
      <c r="V14" s="4">
        <f t="shared" si="5"/>
        <v>0.98383125162461071</v>
      </c>
      <c r="W14" s="4">
        <f t="shared" si="6"/>
        <v>1.0067472159458659</v>
      </c>
      <c r="X14" s="4">
        <f t="shared" si="3"/>
        <v>0.69199999999999995</v>
      </c>
    </row>
    <row r="15" spans="1:31" x14ac:dyDescent="0.3">
      <c r="A15">
        <v>23012025</v>
      </c>
      <c r="B15" t="s">
        <v>80</v>
      </c>
      <c r="C15">
        <v>6</v>
      </c>
      <c r="D15">
        <v>2</v>
      </c>
      <c r="E15">
        <v>1</v>
      </c>
      <c r="F15" s="5">
        <v>0.42499999999999999</v>
      </c>
      <c r="G15" s="5">
        <v>0.43611111111111112</v>
      </c>
      <c r="H15" t="s">
        <v>28</v>
      </c>
      <c r="I15">
        <v>14.2</v>
      </c>
      <c r="J15">
        <v>0.04</v>
      </c>
      <c r="K15">
        <v>24</v>
      </c>
      <c r="R15">
        <v>0.126</v>
      </c>
      <c r="S15">
        <v>2998333</v>
      </c>
      <c r="U15" s="4">
        <f>S15/(1200^2)*2.54^2</f>
        <v>13.433364710277779</v>
      </c>
      <c r="V15" s="4">
        <f t="shared" si="5"/>
        <v>4.6608002259473578</v>
      </c>
      <c r="W15" s="4">
        <f t="shared" si="6"/>
        <v>4.7693622700071865</v>
      </c>
      <c r="X15" s="4">
        <f t="shared" si="3"/>
        <v>0.126</v>
      </c>
    </row>
    <row r="16" spans="1:31" x14ac:dyDescent="0.3">
      <c r="A16">
        <v>23012025</v>
      </c>
      <c r="B16" t="s">
        <v>80</v>
      </c>
      <c r="C16">
        <v>3</v>
      </c>
      <c r="D16">
        <v>3</v>
      </c>
      <c r="E16">
        <v>1</v>
      </c>
      <c r="F16" s="5">
        <v>0.48888888888888887</v>
      </c>
      <c r="G16" s="5">
        <v>0.50138888888888888</v>
      </c>
      <c r="H16" t="s">
        <v>28</v>
      </c>
      <c r="I16">
        <v>9.8000000000000007</v>
      </c>
      <c r="J16">
        <v>0.04</v>
      </c>
      <c r="K16">
        <v>23</v>
      </c>
      <c r="R16">
        <v>0.14499999999999999</v>
      </c>
      <c r="S16">
        <v>2856270</v>
      </c>
      <c r="U16" s="4">
        <f t="shared" si="4"/>
        <v>12.796883008333333</v>
      </c>
      <c r="V16" s="4">
        <f t="shared" si="5"/>
        <v>2.9341436266827889</v>
      </c>
      <c r="W16" s="4">
        <f t="shared" si="6"/>
        <v>3.073158756874891</v>
      </c>
      <c r="X16" s="4">
        <f t="shared" si="3"/>
        <v>0.14499999999999999</v>
      </c>
    </row>
    <row r="17" spans="1:26" x14ac:dyDescent="0.3">
      <c r="A17">
        <v>23012025</v>
      </c>
      <c r="B17" t="s">
        <v>80</v>
      </c>
      <c r="C17">
        <v>6</v>
      </c>
      <c r="D17">
        <v>3</v>
      </c>
      <c r="E17">
        <v>2</v>
      </c>
      <c r="F17" s="5">
        <v>0.54791666666666672</v>
      </c>
      <c r="G17" s="5">
        <v>0.55902777777777779</v>
      </c>
      <c r="H17" t="s">
        <v>28</v>
      </c>
      <c r="I17">
        <v>43.7</v>
      </c>
      <c r="J17">
        <v>0.04</v>
      </c>
      <c r="K17">
        <v>23</v>
      </c>
      <c r="R17">
        <v>0.435</v>
      </c>
      <c r="S17">
        <v>3751433</v>
      </c>
      <c r="U17" s="4">
        <f t="shared" si="4"/>
        <v>16.807461904722221</v>
      </c>
      <c r="V17" s="4">
        <f t="shared" si="5"/>
        <v>3.3206074607558476</v>
      </c>
      <c r="W17" s="4">
        <f t="shared" si="6"/>
        <v>3.477932642207759</v>
      </c>
      <c r="X17" s="4">
        <f t="shared" si="3"/>
        <v>0.435</v>
      </c>
    </row>
    <row r="18" spans="1:26" x14ac:dyDescent="0.3">
      <c r="A18">
        <v>23012025</v>
      </c>
      <c r="B18" t="s">
        <v>80</v>
      </c>
      <c r="C18">
        <v>4</v>
      </c>
      <c r="D18">
        <v>4</v>
      </c>
      <c r="E18">
        <v>2</v>
      </c>
      <c r="F18" s="5">
        <v>0.56527777777777777</v>
      </c>
      <c r="G18" s="5">
        <v>0.58194444444444449</v>
      </c>
      <c r="H18" t="s">
        <v>28</v>
      </c>
      <c r="I18">
        <v>56.8</v>
      </c>
      <c r="J18">
        <v>0.04</v>
      </c>
      <c r="K18">
        <v>24</v>
      </c>
      <c r="R18">
        <v>0.63300000000000001</v>
      </c>
      <c r="S18">
        <v>4098486</v>
      </c>
      <c r="U18" s="4">
        <f t="shared" si="4"/>
        <v>18.362355748333332</v>
      </c>
      <c r="V18" s="4">
        <f t="shared" si="5"/>
        <v>2.7148367752590388</v>
      </c>
      <c r="W18" s="4">
        <f t="shared" si="6"/>
        <v>2.7780723175099427</v>
      </c>
      <c r="X18" s="4">
        <f t="shared" si="3"/>
        <v>0.63300000000000001</v>
      </c>
    </row>
    <row r="19" spans="1:26" x14ac:dyDescent="0.3">
      <c r="A19">
        <v>23012025</v>
      </c>
      <c r="B19" t="s">
        <v>80</v>
      </c>
      <c r="C19">
        <v>3</v>
      </c>
      <c r="D19">
        <v>4</v>
      </c>
      <c r="E19">
        <v>1</v>
      </c>
      <c r="F19" s="5">
        <v>0.57499999999999996</v>
      </c>
      <c r="G19" s="5">
        <v>0.59097222222222223</v>
      </c>
      <c r="H19" t="s">
        <v>28</v>
      </c>
      <c r="I19">
        <v>12.9</v>
      </c>
      <c r="J19">
        <v>0.04</v>
      </c>
      <c r="K19">
        <v>23</v>
      </c>
      <c r="R19">
        <v>0.378</v>
      </c>
      <c r="S19">
        <v>3577479</v>
      </c>
      <c r="U19" s="4">
        <f t="shared" si="4"/>
        <v>16.028099664166668</v>
      </c>
      <c r="V19" s="4">
        <f t="shared" si="5"/>
        <v>1.1828873056291935</v>
      </c>
      <c r="W19" s="4">
        <f t="shared" si="6"/>
        <v>1.2389306537799909</v>
      </c>
      <c r="X19" s="4">
        <f t="shared" si="3"/>
        <v>0.378</v>
      </c>
    </row>
    <row r="20" spans="1:26" x14ac:dyDescent="0.3">
      <c r="A20">
        <v>23012025</v>
      </c>
      <c r="B20" t="s">
        <v>80</v>
      </c>
      <c r="C20">
        <v>5</v>
      </c>
      <c r="D20">
        <v>3</v>
      </c>
      <c r="E20">
        <v>2</v>
      </c>
      <c r="F20" s="5">
        <v>0.58750000000000002</v>
      </c>
      <c r="G20" s="5">
        <v>0.59930555555555554</v>
      </c>
      <c r="H20" t="s">
        <v>28</v>
      </c>
      <c r="I20">
        <v>52.9</v>
      </c>
      <c r="J20">
        <v>0.05</v>
      </c>
      <c r="K20">
        <v>24</v>
      </c>
      <c r="R20">
        <v>0.23200000000000001</v>
      </c>
      <c r="S20">
        <v>3326746</v>
      </c>
      <c r="U20" s="4">
        <f t="shared" si="4"/>
        <v>14.904746176111113</v>
      </c>
      <c r="V20" s="4">
        <f t="shared" si="5"/>
        <v>8.499054174687048</v>
      </c>
      <c r="W20" s="4">
        <f t="shared" si="6"/>
        <v>8.6970190410296535</v>
      </c>
      <c r="X20" s="4">
        <f t="shared" si="3"/>
        <v>0.23200000000000001</v>
      </c>
    </row>
    <row r="21" spans="1:26" x14ac:dyDescent="0.3">
      <c r="A21">
        <v>23012025</v>
      </c>
      <c r="B21" t="s">
        <v>80</v>
      </c>
      <c r="C21">
        <v>5</v>
      </c>
      <c r="D21">
        <v>4</v>
      </c>
      <c r="E21">
        <v>2</v>
      </c>
      <c r="F21" s="5">
        <v>0.60555555555555551</v>
      </c>
      <c r="G21" s="5">
        <v>0.61875000000000002</v>
      </c>
      <c r="H21" t="s">
        <v>28</v>
      </c>
      <c r="I21">
        <v>21.63</v>
      </c>
      <c r="J21">
        <v>0.05</v>
      </c>
      <c r="K21">
        <v>24</v>
      </c>
      <c r="R21">
        <v>8.4000000000000005E-2</v>
      </c>
      <c r="S21">
        <v>3444110</v>
      </c>
      <c r="U21" s="4">
        <f t="shared" si="4"/>
        <v>15.430569497222223</v>
      </c>
      <c r="V21" s="4">
        <f t="shared" si="5"/>
        <v>9.2709187163382456</v>
      </c>
      <c r="W21" s="4">
        <f t="shared" si="6"/>
        <v>9.4868622962743778</v>
      </c>
      <c r="X21" s="4">
        <f t="shared" si="3"/>
        <v>8.4000000000000005E-2</v>
      </c>
    </row>
    <row r="22" spans="1:26" x14ac:dyDescent="0.3">
      <c r="A22">
        <v>23012025</v>
      </c>
      <c r="B22" t="s">
        <v>80</v>
      </c>
      <c r="C22">
        <v>2</v>
      </c>
      <c r="D22">
        <v>4</v>
      </c>
      <c r="E22">
        <v>1</v>
      </c>
      <c r="F22" s="5">
        <v>0.61250000000000004</v>
      </c>
      <c r="G22" s="5">
        <v>0.62569444444444444</v>
      </c>
      <c r="H22" t="s">
        <v>28</v>
      </c>
      <c r="I22">
        <v>46.66</v>
      </c>
      <c r="J22">
        <v>0.05</v>
      </c>
      <c r="K22">
        <v>23</v>
      </c>
      <c r="R22">
        <v>0.2</v>
      </c>
      <c r="S22">
        <v>4243758</v>
      </c>
      <c r="U22" s="4">
        <f t="shared" si="4"/>
        <v>19.013214661666666</v>
      </c>
      <c r="V22" s="4">
        <f t="shared" si="5"/>
        <v>6.8168962175778436</v>
      </c>
      <c r="W22" s="4">
        <f t="shared" si="6"/>
        <v>7.1398700851740946</v>
      </c>
      <c r="X22" s="4">
        <f t="shared" si="3"/>
        <v>0.2</v>
      </c>
    </row>
    <row r="23" spans="1:26" x14ac:dyDescent="0.3">
      <c r="A23">
        <v>28012025</v>
      </c>
      <c r="B23" t="s">
        <v>80</v>
      </c>
      <c r="C23">
        <v>7</v>
      </c>
      <c r="D23">
        <v>1</v>
      </c>
      <c r="E23">
        <v>1</v>
      </c>
      <c r="F23" s="5">
        <v>0.4201388888888889</v>
      </c>
      <c r="G23" s="5">
        <v>0.43958333333333333</v>
      </c>
      <c r="H23">
        <v>0</v>
      </c>
      <c r="I23">
        <v>10.33</v>
      </c>
      <c r="J23">
        <v>0.09</v>
      </c>
      <c r="K23">
        <v>22</v>
      </c>
      <c r="R23">
        <v>0.15</v>
      </c>
      <c r="S23">
        <v>3514508</v>
      </c>
      <c r="U23" s="4">
        <f t="shared" ref="U23:U38" si="7">S23/(1200^2)*2.54^2</f>
        <v>15.745972092222221</v>
      </c>
      <c r="V23" s="4">
        <f t="shared" ref="V23:V38" si="8">I23*0.000001/18*1000/R23/(U23/10000)</f>
        <v>2.4297807105956677</v>
      </c>
      <c r="W23" s="4">
        <f t="shared" ref="W23:W38" si="9">V23/(0.88862*(1/POWER(10,(1.3272*(20-K23)-0.001053*(K23-20)^2)/(K23+105))))</f>
        <v>2.605655785484259</v>
      </c>
      <c r="X23" s="4">
        <f t="shared" si="3"/>
        <v>0.15</v>
      </c>
      <c r="Z23" t="s">
        <v>82</v>
      </c>
    </row>
    <row r="24" spans="1:26" x14ac:dyDescent="0.3">
      <c r="A24">
        <v>28012025</v>
      </c>
      <c r="B24" t="s">
        <v>80</v>
      </c>
      <c r="C24">
        <v>7</v>
      </c>
      <c r="D24">
        <v>2</v>
      </c>
      <c r="E24">
        <v>2</v>
      </c>
      <c r="F24" s="5">
        <v>0.41875000000000001</v>
      </c>
      <c r="G24" s="5">
        <v>0.43611111111111112</v>
      </c>
      <c r="H24">
        <v>0</v>
      </c>
      <c r="I24">
        <v>11.66</v>
      </c>
      <c r="J24">
        <v>0.05</v>
      </c>
      <c r="K24">
        <v>22</v>
      </c>
      <c r="R24">
        <v>0.16600000000000001</v>
      </c>
      <c r="S24">
        <v>4049610</v>
      </c>
      <c r="U24" s="4">
        <f t="shared" si="7"/>
        <v>18.143377691666664</v>
      </c>
      <c r="V24" s="4">
        <f t="shared" si="8"/>
        <v>2.1507989504831735</v>
      </c>
      <c r="W24" s="4">
        <f t="shared" si="9"/>
        <v>2.3064804590394732</v>
      </c>
      <c r="X24" s="4">
        <f t="shared" si="3"/>
        <v>0.16600000000000001</v>
      </c>
      <c r="Z24" t="s">
        <v>83</v>
      </c>
    </row>
    <row r="25" spans="1:26" x14ac:dyDescent="0.3">
      <c r="A25">
        <v>28012025</v>
      </c>
      <c r="B25" t="s">
        <v>80</v>
      </c>
      <c r="C25">
        <v>2</v>
      </c>
      <c r="D25">
        <v>5</v>
      </c>
      <c r="E25">
        <v>1</v>
      </c>
      <c r="F25" s="5">
        <v>0.44513888888888886</v>
      </c>
      <c r="G25" s="5">
        <v>0.45902777777777776</v>
      </c>
      <c r="H25">
        <v>0</v>
      </c>
      <c r="I25">
        <v>21</v>
      </c>
      <c r="J25">
        <v>0.05</v>
      </c>
      <c r="K25">
        <v>22</v>
      </c>
      <c r="R25">
        <v>0.193</v>
      </c>
      <c r="S25">
        <v>3028806</v>
      </c>
      <c r="U25" s="4">
        <f t="shared" si="7"/>
        <v>13.569892214999999</v>
      </c>
      <c r="V25" s="4">
        <f t="shared" si="8"/>
        <v>4.4546448216837051</v>
      </c>
      <c r="W25" s="4">
        <f t="shared" si="9"/>
        <v>4.7770858502914386</v>
      </c>
      <c r="X25" s="4">
        <f t="shared" si="3"/>
        <v>0.193</v>
      </c>
    </row>
    <row r="26" spans="1:26" x14ac:dyDescent="0.3">
      <c r="A26">
        <v>28012025</v>
      </c>
      <c r="B26" t="s">
        <v>80</v>
      </c>
      <c r="C26">
        <v>4</v>
      </c>
      <c r="D26">
        <v>5</v>
      </c>
      <c r="E26">
        <v>2</v>
      </c>
      <c r="F26" s="5">
        <v>0.44236111111111109</v>
      </c>
      <c r="G26" s="5">
        <v>0.45624999999999999</v>
      </c>
      <c r="H26">
        <v>0</v>
      </c>
      <c r="I26">
        <v>25</v>
      </c>
      <c r="J26">
        <v>0.05</v>
      </c>
      <c r="K26">
        <v>22</v>
      </c>
      <c r="R26">
        <v>0.26600000000000001</v>
      </c>
      <c r="S26">
        <v>4306779</v>
      </c>
      <c r="U26" s="4">
        <f t="shared" si="7"/>
        <v>19.295566247499998</v>
      </c>
      <c r="V26" s="4">
        <f t="shared" si="8"/>
        <v>2.7060034068762655</v>
      </c>
      <c r="W26" s="4">
        <f t="shared" si="9"/>
        <v>2.9018723384871654</v>
      </c>
      <c r="X26" s="4">
        <f t="shared" si="3"/>
        <v>0.26600000000000001</v>
      </c>
    </row>
    <row r="27" spans="1:26" x14ac:dyDescent="0.3">
      <c r="A27">
        <v>29012025</v>
      </c>
      <c r="B27" t="s">
        <v>80</v>
      </c>
      <c r="C27">
        <v>1</v>
      </c>
      <c r="D27">
        <v>3</v>
      </c>
      <c r="E27">
        <v>2</v>
      </c>
      <c r="F27" s="5">
        <v>0.37569444444444444</v>
      </c>
      <c r="G27" s="5">
        <v>0.38541666666666669</v>
      </c>
      <c r="H27">
        <v>0</v>
      </c>
      <c r="I27">
        <v>16.63</v>
      </c>
      <c r="J27">
        <v>0.05</v>
      </c>
      <c r="K27">
        <v>22</v>
      </c>
      <c r="R27">
        <v>5.5E-2</v>
      </c>
      <c r="S27">
        <v>2445717</v>
      </c>
      <c r="U27" s="4">
        <f t="shared" si="7"/>
        <v>10.957491525833333</v>
      </c>
      <c r="V27" s="4">
        <f t="shared" si="8"/>
        <v>15.330132593191564</v>
      </c>
      <c r="W27" s="4">
        <f t="shared" si="9"/>
        <v>16.439775206667832</v>
      </c>
      <c r="X27" s="4">
        <f t="shared" si="3"/>
        <v>5.5E-2</v>
      </c>
    </row>
    <row r="28" spans="1:26" x14ac:dyDescent="0.3">
      <c r="A28">
        <v>29012025</v>
      </c>
      <c r="B28" t="s">
        <v>80</v>
      </c>
      <c r="C28">
        <v>8</v>
      </c>
      <c r="D28">
        <v>1</v>
      </c>
      <c r="E28">
        <v>1</v>
      </c>
      <c r="F28" s="5">
        <v>0.37986111111111109</v>
      </c>
      <c r="G28" s="5">
        <v>0.39166666666666666</v>
      </c>
      <c r="H28">
        <v>0</v>
      </c>
      <c r="I28">
        <v>10.130000000000001</v>
      </c>
      <c r="J28">
        <v>0.04</v>
      </c>
      <c r="K28">
        <v>21</v>
      </c>
      <c r="R28">
        <v>0.04</v>
      </c>
      <c r="S28">
        <v>4761656</v>
      </c>
      <c r="U28" s="4">
        <f t="shared" si="7"/>
        <v>21.333541562222219</v>
      </c>
      <c r="V28" s="4">
        <f t="shared" si="8"/>
        <v>6.594987711444424</v>
      </c>
      <c r="W28" s="4">
        <f t="shared" si="9"/>
        <v>7.2436292971024772</v>
      </c>
      <c r="X28" s="4">
        <f t="shared" si="3"/>
        <v>0.04</v>
      </c>
      <c r="Z28" t="s">
        <v>84</v>
      </c>
    </row>
    <row r="29" spans="1:26" x14ac:dyDescent="0.3">
      <c r="A29">
        <v>29012025</v>
      </c>
      <c r="B29" t="s">
        <v>80</v>
      </c>
      <c r="C29">
        <v>2</v>
      </c>
      <c r="D29">
        <v>6</v>
      </c>
      <c r="E29">
        <v>2</v>
      </c>
      <c r="F29" s="5">
        <v>0.39027777777777778</v>
      </c>
      <c r="G29" s="5">
        <v>0.40625</v>
      </c>
      <c r="H29">
        <v>0</v>
      </c>
      <c r="I29">
        <v>7.3</v>
      </c>
      <c r="J29">
        <v>0.05</v>
      </c>
      <c r="K29">
        <v>22</v>
      </c>
      <c r="R29">
        <v>0.2</v>
      </c>
      <c r="S29">
        <v>2156470</v>
      </c>
      <c r="U29" s="4">
        <f t="shared" si="7"/>
        <v>9.6615846194444455</v>
      </c>
      <c r="V29" s="4">
        <f t="shared" si="8"/>
        <v>2.098804551891797</v>
      </c>
      <c r="W29" s="4">
        <f t="shared" si="9"/>
        <v>2.2507225443800958</v>
      </c>
      <c r="X29" s="4">
        <f t="shared" si="3"/>
        <v>0.2</v>
      </c>
    </row>
    <row r="30" spans="1:26" x14ac:dyDescent="0.3">
      <c r="A30">
        <v>29012025</v>
      </c>
      <c r="B30" t="s">
        <v>80</v>
      </c>
      <c r="C30">
        <v>7</v>
      </c>
      <c r="D30">
        <v>3</v>
      </c>
      <c r="E30">
        <v>2</v>
      </c>
      <c r="F30" s="5">
        <v>0.4152777777777778</v>
      </c>
      <c r="G30" s="5">
        <v>0.43194444444444446</v>
      </c>
      <c r="H30">
        <v>0</v>
      </c>
      <c r="I30">
        <v>8.17</v>
      </c>
      <c r="J30">
        <v>0.03</v>
      </c>
      <c r="K30">
        <v>23</v>
      </c>
      <c r="R30">
        <v>0.314</v>
      </c>
      <c r="S30">
        <v>5360213</v>
      </c>
      <c r="U30" s="4">
        <f t="shared" si="7"/>
        <v>24.015243188055557</v>
      </c>
      <c r="V30" s="4">
        <f t="shared" si="8"/>
        <v>0.60191187915542743</v>
      </c>
      <c r="W30" s="4">
        <f t="shared" si="9"/>
        <v>0.63042952140171493</v>
      </c>
      <c r="X30" s="4">
        <f t="shared" si="3"/>
        <v>0.314</v>
      </c>
      <c r="Z30" t="s">
        <v>84</v>
      </c>
    </row>
    <row r="31" spans="1:26" x14ac:dyDescent="0.3">
      <c r="A31">
        <v>29012025</v>
      </c>
      <c r="B31" t="s">
        <v>80</v>
      </c>
      <c r="C31">
        <v>7</v>
      </c>
      <c r="D31">
        <v>4</v>
      </c>
      <c r="E31">
        <v>1</v>
      </c>
      <c r="F31" s="5">
        <v>0.4201388888888889</v>
      </c>
      <c r="G31" s="5">
        <v>0.43125000000000002</v>
      </c>
      <c r="H31">
        <v>0</v>
      </c>
      <c r="I31">
        <v>8.0299999999999994</v>
      </c>
      <c r="J31">
        <v>0.03</v>
      </c>
      <c r="K31">
        <v>22</v>
      </c>
      <c r="R31">
        <v>0.122</v>
      </c>
      <c r="S31">
        <v>3626541</v>
      </c>
      <c r="U31" s="4">
        <f t="shared" si="7"/>
        <v>16.247911052500001</v>
      </c>
      <c r="V31" s="4">
        <f t="shared" si="8"/>
        <v>2.2505345086609054</v>
      </c>
      <c r="W31" s="4">
        <f t="shared" si="9"/>
        <v>2.4134351867031887</v>
      </c>
      <c r="X31" s="4">
        <f t="shared" si="3"/>
        <v>0.122</v>
      </c>
      <c r="Z31" t="s">
        <v>84</v>
      </c>
    </row>
    <row r="32" spans="1:26" x14ac:dyDescent="0.3">
      <c r="A32">
        <v>29012025</v>
      </c>
      <c r="B32" t="s">
        <v>80</v>
      </c>
      <c r="C32">
        <v>8</v>
      </c>
      <c r="D32">
        <v>2</v>
      </c>
      <c r="E32">
        <v>1</v>
      </c>
      <c r="F32" s="5">
        <v>0.43541666666666667</v>
      </c>
      <c r="G32" s="5">
        <v>0.44583333333333336</v>
      </c>
      <c r="H32">
        <v>0</v>
      </c>
      <c r="I32">
        <v>7.03</v>
      </c>
      <c r="J32">
        <v>0.04</v>
      </c>
      <c r="K32">
        <v>22</v>
      </c>
      <c r="R32">
        <v>0.20499999999999999</v>
      </c>
      <c r="S32">
        <v>2082240</v>
      </c>
      <c r="U32" s="4">
        <f t="shared" si="7"/>
        <v>9.3290135999999997</v>
      </c>
      <c r="V32" s="4">
        <f t="shared" si="8"/>
        <v>2.04217630413843</v>
      </c>
      <c r="W32" s="4">
        <f t="shared" si="9"/>
        <v>2.1899953681633484</v>
      </c>
      <c r="X32" s="4">
        <f t="shared" si="3"/>
        <v>0.20499999999999999</v>
      </c>
      <c r="Z32" t="s">
        <v>84</v>
      </c>
    </row>
    <row r="33" spans="1:26" x14ac:dyDescent="0.3">
      <c r="A33">
        <v>29012025</v>
      </c>
      <c r="B33" t="s">
        <v>80</v>
      </c>
      <c r="C33">
        <v>4</v>
      </c>
      <c r="D33">
        <v>7</v>
      </c>
      <c r="E33">
        <v>2</v>
      </c>
      <c r="F33" s="5">
        <v>0.4375</v>
      </c>
      <c r="G33" s="5">
        <v>0.45</v>
      </c>
      <c r="H33">
        <v>0</v>
      </c>
      <c r="I33">
        <v>12.33</v>
      </c>
      <c r="J33">
        <v>0.03</v>
      </c>
      <c r="K33">
        <v>23</v>
      </c>
      <c r="R33">
        <v>0.111</v>
      </c>
      <c r="S33">
        <v>1974996</v>
      </c>
      <c r="U33" s="4">
        <f t="shared" si="7"/>
        <v>8.8485306900000005</v>
      </c>
      <c r="V33" s="4">
        <f t="shared" si="8"/>
        <v>6.9742326577963984</v>
      </c>
      <c r="W33" s="4">
        <f t="shared" si="9"/>
        <v>7.3046608795428831</v>
      </c>
      <c r="X33" s="4">
        <f t="shared" si="3"/>
        <v>0.111</v>
      </c>
      <c r="Z33" t="s">
        <v>84</v>
      </c>
    </row>
    <row r="34" spans="1:26" x14ac:dyDescent="0.3">
      <c r="A34">
        <v>29012025</v>
      </c>
      <c r="B34" t="s">
        <v>80</v>
      </c>
      <c r="C34">
        <v>7</v>
      </c>
      <c r="D34">
        <v>5</v>
      </c>
      <c r="E34">
        <v>1</v>
      </c>
      <c r="F34" s="5">
        <v>0.4513888888888889</v>
      </c>
      <c r="G34" s="5">
        <v>0.46319444444444446</v>
      </c>
      <c r="H34">
        <v>0</v>
      </c>
      <c r="I34">
        <v>10.33</v>
      </c>
      <c r="J34">
        <v>0.05</v>
      </c>
      <c r="K34">
        <v>22</v>
      </c>
      <c r="R34">
        <v>0.13500000000000001</v>
      </c>
      <c r="S34">
        <v>4416893</v>
      </c>
      <c r="U34" s="4">
        <f t="shared" si="7"/>
        <v>19.788907554722222</v>
      </c>
      <c r="V34" s="4">
        <f t="shared" si="8"/>
        <v>2.1481877131564748</v>
      </c>
      <c r="W34" s="4">
        <f t="shared" si="9"/>
        <v>2.3036802122443967</v>
      </c>
      <c r="X34" s="4">
        <f t="shared" si="3"/>
        <v>0.13500000000000001</v>
      </c>
      <c r="Z34" t="s">
        <v>85</v>
      </c>
    </row>
    <row r="35" spans="1:26" x14ac:dyDescent="0.3">
      <c r="A35">
        <v>29012025</v>
      </c>
      <c r="B35" t="s">
        <v>80</v>
      </c>
      <c r="C35">
        <v>4</v>
      </c>
      <c r="D35">
        <v>8</v>
      </c>
      <c r="E35">
        <v>2</v>
      </c>
      <c r="F35" s="5">
        <v>0.45347222222222222</v>
      </c>
      <c r="G35" s="5">
        <v>0.46666666666666667</v>
      </c>
      <c r="H35">
        <v>0</v>
      </c>
      <c r="I35">
        <v>14.16</v>
      </c>
      <c r="J35">
        <v>0.05</v>
      </c>
      <c r="K35">
        <v>23</v>
      </c>
      <c r="R35">
        <v>0.14799999999999999</v>
      </c>
      <c r="S35">
        <v>2341961</v>
      </c>
      <c r="U35" s="4">
        <f t="shared" si="7"/>
        <v>10.492635824722223</v>
      </c>
      <c r="V35" s="4">
        <f t="shared" si="8"/>
        <v>5.0657579316644501</v>
      </c>
      <c r="W35" s="4">
        <f t="shared" si="9"/>
        <v>5.3057656095394981</v>
      </c>
      <c r="X35" s="4">
        <f t="shared" si="3"/>
        <v>0.14799999999999999</v>
      </c>
    </row>
    <row r="36" spans="1:26" x14ac:dyDescent="0.3">
      <c r="A36">
        <v>29012025</v>
      </c>
      <c r="B36" t="s">
        <v>80</v>
      </c>
      <c r="C36">
        <v>2</v>
      </c>
      <c r="D36">
        <v>7</v>
      </c>
      <c r="E36">
        <v>1</v>
      </c>
      <c r="F36" s="5">
        <v>0.46736111111111112</v>
      </c>
      <c r="G36" s="5">
        <v>0.48055555555555557</v>
      </c>
      <c r="H36">
        <v>0</v>
      </c>
      <c r="I36">
        <v>15.4</v>
      </c>
      <c r="J36">
        <v>0.03</v>
      </c>
      <c r="K36">
        <v>22</v>
      </c>
      <c r="R36">
        <v>0.09</v>
      </c>
      <c r="S36">
        <v>2414532</v>
      </c>
      <c r="U36" s="4">
        <f t="shared" si="7"/>
        <v>10.817774063333333</v>
      </c>
      <c r="V36" s="4">
        <f t="shared" si="8"/>
        <v>8.7875498081691212</v>
      </c>
      <c r="W36" s="4">
        <f t="shared" si="9"/>
        <v>9.4236199579811526</v>
      </c>
      <c r="X36" s="4">
        <f t="shared" si="3"/>
        <v>0.09</v>
      </c>
      <c r="Z36" t="s">
        <v>84</v>
      </c>
    </row>
    <row r="37" spans="1:26" x14ac:dyDescent="0.3">
      <c r="A37">
        <v>29012025</v>
      </c>
      <c r="B37" t="s">
        <v>80</v>
      </c>
      <c r="C37">
        <v>8</v>
      </c>
      <c r="D37">
        <v>3</v>
      </c>
      <c r="E37">
        <v>2</v>
      </c>
      <c r="F37" s="5">
        <v>0.47013888888888888</v>
      </c>
      <c r="G37" s="5">
        <v>0.47708333333333336</v>
      </c>
      <c r="H37">
        <v>0</v>
      </c>
      <c r="I37">
        <v>30.16</v>
      </c>
      <c r="J37">
        <v>0.04</v>
      </c>
      <c r="K37">
        <v>23</v>
      </c>
      <c r="R37">
        <v>2.5000000000000001E-2</v>
      </c>
      <c r="S37">
        <v>6626300</v>
      </c>
      <c r="U37" s="4">
        <f t="shared" si="7"/>
        <v>29.687664638888887</v>
      </c>
      <c r="V37" s="4">
        <f t="shared" si="8"/>
        <v>22.575781233538837</v>
      </c>
      <c r="W37" s="4">
        <f t="shared" si="9"/>
        <v>23.645386394932018</v>
      </c>
      <c r="X37" s="4">
        <f t="shared" si="3"/>
        <v>2.5000000000000001E-2</v>
      </c>
    </row>
    <row r="38" spans="1:26" x14ac:dyDescent="0.3">
      <c r="A38">
        <v>29012025</v>
      </c>
      <c r="B38" t="s">
        <v>80</v>
      </c>
      <c r="C38">
        <v>2</v>
      </c>
      <c r="D38">
        <v>8</v>
      </c>
      <c r="E38">
        <v>2</v>
      </c>
      <c r="F38" s="5">
        <v>0.48055555555555557</v>
      </c>
      <c r="G38" s="5">
        <v>0.4909722222222222</v>
      </c>
      <c r="H38">
        <v>0</v>
      </c>
      <c r="I38">
        <v>7.2</v>
      </c>
      <c r="J38">
        <v>0.06</v>
      </c>
      <c r="K38">
        <v>23</v>
      </c>
      <c r="L38">
        <v>8.8999999999999996E-2</v>
      </c>
      <c r="R38">
        <v>8.8999999999999996E-2</v>
      </c>
      <c r="S38">
        <v>3352669</v>
      </c>
      <c r="U38" s="4">
        <f t="shared" si="7"/>
        <v>15.020888416944445</v>
      </c>
      <c r="V38" s="4">
        <f t="shared" si="8"/>
        <v>2.9920880161801762</v>
      </c>
      <c r="W38" s="4">
        <f t="shared" si="9"/>
        <v>3.1338484608063188</v>
      </c>
      <c r="X38" s="4">
        <f t="shared" si="3"/>
        <v>8.8999999999999996E-2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CESE</vt:lpstr>
      <vt:lpstr>PADI</vt:lpstr>
      <vt:lpstr>AVSA</vt:lpstr>
      <vt:lpstr>STDE</vt:lpstr>
      <vt:lpstr>DASP</vt:lpstr>
      <vt:lpstr>CHLA</vt:lpstr>
      <vt:lpstr>ZEMA</vt:lpstr>
      <vt:lpstr>NAVI</vt:lpstr>
      <vt:lpstr>PABI</vt:lpstr>
      <vt:lpstr>ECCG</vt:lpstr>
      <vt:lpstr>SEIT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Scoffoni, Christine</dc:creator>
  <cp:lastModifiedBy>Marion BOISSEAUX</cp:lastModifiedBy>
  <dcterms:created xsi:type="dcterms:W3CDTF">2024-10-23T21:38:30Z</dcterms:created>
  <dcterms:modified xsi:type="dcterms:W3CDTF">2025-02-20T22:36:27Z</dcterms:modified>
</cp:coreProperties>
</file>