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n.boisseaux\Dropbox\Mon PC (Jaboty20)\Post_doc_CalState_LA\ScoffoniLab_Kleaf\data\"/>
    </mc:Choice>
  </mc:AlternateContent>
  <xr:revisionPtr revIDLastSave="0" documentId="13_ncr:1_{0859F97D-3F3F-44B1-8B38-B85A1BE3536D}" xr6:coauthVersionLast="47" xr6:coauthVersionMax="47" xr10:uidLastSave="{00000000-0000-0000-0000-000000000000}"/>
  <bookViews>
    <workbookView xWindow="-108" yWindow="-108" windowWidth="23256" windowHeight="12576" activeTab="2" xr2:uid="{63D1BA6E-C94C-4260-825C-85D06C6809A1}"/>
  </bookViews>
  <sheets>
    <sheet name="CESE" sheetId="1" r:id="rId1"/>
    <sheet name="PADI" sheetId="2" r:id="rId2"/>
    <sheet name="AVSA" sheetId="3" r:id="rId3"/>
  </sheets>
  <definedNames>
    <definedName name="_xlnm._FilterDatabase" localSheetId="0" hidden="1">CESE!$A$1:$AE$23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3" l="1"/>
  <c r="S17" i="3"/>
  <c r="S16" i="3"/>
  <c r="U17" i="3"/>
  <c r="V17" i="3"/>
  <c r="W17" i="3"/>
  <c r="X17" i="3"/>
  <c r="U18" i="3"/>
  <c r="V18" i="3"/>
  <c r="W18" i="3"/>
  <c r="X18" i="3"/>
  <c r="X16" i="3"/>
  <c r="X15" i="3"/>
  <c r="X14" i="3"/>
  <c r="X12" i="3"/>
  <c r="X13" i="3"/>
  <c r="U12" i="3"/>
  <c r="V12" i="3"/>
  <c r="W12" i="3"/>
  <c r="U13" i="3"/>
  <c r="V13" i="3"/>
  <c r="W13" i="3"/>
  <c r="U14" i="3"/>
  <c r="V14" i="3"/>
  <c r="W14" i="3"/>
  <c r="U15" i="3"/>
  <c r="V15" i="3"/>
  <c r="W15" i="3"/>
  <c r="U16" i="3"/>
  <c r="V16" i="3"/>
  <c r="W16" i="3"/>
  <c r="S15" i="3"/>
  <c r="S14" i="3"/>
  <c r="S13" i="3"/>
  <c r="S12" i="3"/>
  <c r="U9" i="3"/>
  <c r="V9" i="3"/>
  <c r="W9" i="3"/>
  <c r="X9" i="3"/>
  <c r="U10" i="3"/>
  <c r="V10" i="3"/>
  <c r="W10" i="3"/>
  <c r="X10" i="3"/>
  <c r="U11" i="3"/>
  <c r="V11" i="3"/>
  <c r="W11" i="3"/>
  <c r="X11" i="3"/>
  <c r="S11" i="3"/>
  <c r="S10" i="3"/>
  <c r="S9" i="3"/>
  <c r="U3" i="3"/>
  <c r="V3" i="3"/>
  <c r="W3" i="3"/>
  <c r="X3" i="3"/>
  <c r="U4" i="3"/>
  <c r="V4" i="3"/>
  <c r="W4" i="3"/>
  <c r="X4" i="3"/>
  <c r="U5" i="3"/>
  <c r="V5" i="3"/>
  <c r="W5" i="3"/>
  <c r="X5" i="3"/>
  <c r="U6" i="3"/>
  <c r="V6" i="3"/>
  <c r="W6" i="3"/>
  <c r="X6" i="3"/>
  <c r="U7" i="3"/>
  <c r="V7" i="3"/>
  <c r="W7" i="3"/>
  <c r="X7" i="3"/>
  <c r="U8" i="3"/>
  <c r="V8" i="3"/>
  <c r="W8" i="3"/>
  <c r="X8" i="3"/>
  <c r="S6" i="3"/>
  <c r="S8" i="3"/>
  <c r="S5" i="3"/>
  <c r="S4" i="3"/>
  <c r="S3" i="3"/>
  <c r="S7" i="3"/>
  <c r="X2" i="3"/>
  <c r="S2" i="3"/>
  <c r="U2" i="3"/>
  <c r="V2" i="3"/>
  <c r="K2" i="3"/>
  <c r="W2" i="3"/>
  <c r="U18" i="2"/>
  <c r="V18" i="2"/>
  <c r="W18" i="2"/>
  <c r="X18" i="2"/>
  <c r="U19" i="2"/>
  <c r="V19" i="2"/>
  <c r="W19" i="2"/>
  <c r="X19" i="2"/>
  <c r="U20" i="2"/>
  <c r="V20" i="2"/>
  <c r="W20" i="2"/>
  <c r="X20" i="2"/>
  <c r="U21" i="2"/>
  <c r="V21" i="2"/>
  <c r="W21" i="2"/>
  <c r="X21" i="2"/>
  <c r="U22" i="2"/>
  <c r="V22" i="2"/>
  <c r="W22" i="2"/>
  <c r="X22" i="2"/>
  <c r="U23" i="2"/>
  <c r="V23" i="2"/>
  <c r="W23" i="2"/>
  <c r="X23" i="2"/>
  <c r="U24" i="2"/>
  <c r="V24" i="2"/>
  <c r="W24" i="2"/>
  <c r="X24" i="2"/>
  <c r="U25" i="2"/>
  <c r="V25" i="2"/>
  <c r="W25" i="2"/>
  <c r="X25" i="2"/>
  <c r="U26" i="2"/>
  <c r="V26" i="2"/>
  <c r="W26" i="2"/>
  <c r="X26" i="2"/>
  <c r="S24" i="2"/>
  <c r="S25" i="2"/>
  <c r="S26" i="2"/>
  <c r="S23" i="2"/>
  <c r="S22" i="2"/>
  <c r="S21" i="2"/>
  <c r="S19" i="2"/>
  <c r="S20" i="2"/>
  <c r="U4" i="2"/>
  <c r="V4" i="2"/>
  <c r="W4" i="2"/>
  <c r="X4" i="2"/>
  <c r="U5" i="2"/>
  <c r="V5" i="2"/>
  <c r="W5" i="2"/>
  <c r="X5" i="2"/>
  <c r="U6" i="2"/>
  <c r="V6" i="2"/>
  <c r="W6" i="2"/>
  <c r="X6" i="2"/>
  <c r="U7" i="2"/>
  <c r="V7" i="2"/>
  <c r="W7" i="2"/>
  <c r="X7" i="2"/>
  <c r="U8" i="2"/>
  <c r="V8" i="2"/>
  <c r="W8" i="2"/>
  <c r="X8" i="2"/>
  <c r="U9" i="2"/>
  <c r="V9" i="2"/>
  <c r="W9" i="2"/>
  <c r="X9" i="2"/>
  <c r="U10" i="2"/>
  <c r="V10" i="2"/>
  <c r="W10" i="2"/>
  <c r="X10" i="2"/>
  <c r="U11" i="2"/>
  <c r="V11" i="2"/>
  <c r="W11" i="2"/>
  <c r="X11" i="2"/>
  <c r="U12" i="2"/>
  <c r="V12" i="2"/>
  <c r="W12" i="2"/>
  <c r="X12" i="2"/>
  <c r="U13" i="2"/>
  <c r="V13" i="2"/>
  <c r="W13" i="2"/>
  <c r="X13" i="2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  <c r="S15" i="2"/>
  <c r="S16" i="2"/>
  <c r="S17" i="2"/>
  <c r="S14" i="2"/>
  <c r="S13" i="2"/>
  <c r="S12" i="2"/>
  <c r="S10" i="2"/>
  <c r="S9" i="2"/>
  <c r="S11" i="2"/>
  <c r="S8" i="2"/>
  <c r="S7" i="2"/>
  <c r="S6" i="2"/>
  <c r="S5" i="2"/>
  <c r="S4" i="2"/>
  <c r="S3" i="2"/>
  <c r="X3" i="2"/>
  <c r="U3" i="2"/>
  <c r="V3" i="2"/>
  <c r="W3" i="2"/>
  <c r="X2" i="2"/>
  <c r="S2" i="2"/>
  <c r="U2" i="2"/>
  <c r="V2" i="2"/>
  <c r="K2" i="2"/>
  <c r="W2" i="2"/>
  <c r="V30" i="1"/>
  <c r="W30" i="1"/>
  <c r="U29" i="1"/>
  <c r="V29" i="1"/>
  <c r="W29" i="1"/>
  <c r="U30" i="1"/>
  <c r="X30" i="1"/>
  <c r="X29" i="1"/>
  <c r="S30" i="1"/>
  <c r="S29" i="1"/>
  <c r="U15" i="1"/>
  <c r="V15" i="1"/>
  <c r="W15" i="1"/>
  <c r="X15" i="1"/>
  <c r="S15" i="1"/>
  <c r="S14" i="1"/>
  <c r="U14" i="1"/>
  <c r="V14" i="1"/>
  <c r="W14" i="1"/>
  <c r="S13" i="1"/>
  <c r="U13" i="1"/>
  <c r="V13" i="1"/>
  <c r="W13" i="1"/>
  <c r="X13" i="1"/>
  <c r="U27" i="1"/>
  <c r="V27" i="1"/>
  <c r="W27" i="1"/>
  <c r="X27" i="1"/>
  <c r="U28" i="1"/>
  <c r="V28" i="1"/>
  <c r="W28" i="1"/>
  <c r="X28" i="1"/>
  <c r="X14" i="1"/>
  <c r="S28" i="1"/>
  <c r="S27" i="1"/>
  <c r="U10" i="1"/>
  <c r="V10" i="1"/>
  <c r="W10" i="1"/>
  <c r="U11" i="1"/>
  <c r="V11" i="1"/>
  <c r="W11" i="1"/>
  <c r="U12" i="1"/>
  <c r="V12" i="1"/>
  <c r="W12" i="1"/>
  <c r="U26" i="1"/>
  <c r="V26" i="1"/>
  <c r="W26" i="1"/>
  <c r="U25" i="1"/>
  <c r="V25" i="1"/>
  <c r="W25" i="1"/>
  <c r="X25" i="1"/>
  <c r="X26" i="1"/>
  <c r="X12" i="1"/>
  <c r="X11" i="1"/>
  <c r="X10" i="1"/>
  <c r="S12" i="1"/>
  <c r="S11" i="1"/>
  <c r="S10" i="1"/>
  <c r="S26" i="1"/>
  <c r="S25" i="1"/>
  <c r="U24" i="1"/>
  <c r="V24" i="1"/>
  <c r="W24" i="1"/>
  <c r="S24" i="1"/>
  <c r="S23" i="1"/>
  <c r="U23" i="1"/>
  <c r="V23" i="1"/>
  <c r="U22" i="1"/>
  <c r="V22" i="1"/>
  <c r="W22" i="1"/>
  <c r="S22" i="1"/>
  <c r="X24" i="1"/>
  <c r="X23" i="1"/>
  <c r="X22" i="1"/>
  <c r="U8" i="1"/>
  <c r="V8" i="1"/>
  <c r="W8" i="1"/>
  <c r="X8" i="1"/>
  <c r="U9" i="1"/>
  <c r="V9" i="1"/>
  <c r="W9" i="1"/>
  <c r="X9" i="1"/>
  <c r="S9" i="1"/>
  <c r="S8" i="1"/>
  <c r="S3" i="1"/>
  <c r="U3" i="1"/>
  <c r="V3" i="1"/>
  <c r="X3" i="1"/>
  <c r="X4" i="1"/>
  <c r="X5" i="1"/>
  <c r="X6" i="1"/>
  <c r="X7" i="1"/>
  <c r="X16" i="1"/>
  <c r="X17" i="1"/>
  <c r="X18" i="1"/>
  <c r="X19" i="1"/>
  <c r="X20" i="1"/>
  <c r="X21" i="1"/>
  <c r="K18" i="1"/>
  <c r="K3" i="1"/>
  <c r="S21" i="1"/>
  <c r="U21" i="1"/>
  <c r="V21" i="1"/>
  <c r="W21" i="1"/>
  <c r="S20" i="1"/>
  <c r="U20" i="1"/>
  <c r="V20" i="1"/>
  <c r="W20" i="1"/>
  <c r="S19" i="1"/>
  <c r="U19" i="1"/>
  <c r="V19" i="1"/>
  <c r="W19" i="1"/>
  <c r="S18" i="1"/>
  <c r="U18" i="1"/>
  <c r="V18" i="1"/>
  <c r="S17" i="1"/>
  <c r="U17" i="1"/>
  <c r="V17" i="1"/>
  <c r="W17" i="1"/>
  <c r="S16" i="1"/>
  <c r="U16" i="1"/>
  <c r="V16" i="1"/>
  <c r="W16" i="1"/>
  <c r="S7" i="1"/>
  <c r="U7" i="1"/>
  <c r="V7" i="1"/>
  <c r="W7" i="1"/>
  <c r="S6" i="1"/>
  <c r="U6" i="1"/>
  <c r="V6" i="1"/>
  <c r="W6" i="1"/>
  <c r="S5" i="1"/>
  <c r="U5" i="1"/>
  <c r="V5" i="1"/>
  <c r="W5" i="1"/>
  <c r="S4" i="1"/>
  <c r="U4" i="1"/>
  <c r="V4" i="1"/>
  <c r="W4" i="1"/>
  <c r="AC2" i="1"/>
  <c r="AE2" i="1"/>
  <c r="AB2" i="1"/>
  <c r="AD2" i="1"/>
  <c r="U2" i="1"/>
  <c r="V2" i="1"/>
  <c r="Q2" i="1"/>
  <c r="X2" i="1"/>
  <c r="W18" i="1"/>
  <c r="W2" i="1"/>
  <c r="W3" i="1"/>
</calcChain>
</file>

<file path=xl/sharedStrings.xml><?xml version="1.0" encoding="utf-8"?>
<sst xmlns="http://schemas.openxmlformats.org/spreadsheetml/2006/main" count="234" uniqueCount="40">
  <si>
    <t>Specie</t>
  </si>
  <si>
    <t>E</t>
  </si>
  <si>
    <t>cv</t>
  </si>
  <si>
    <t>Tleaf (C°)</t>
  </si>
  <si>
    <t>Tair (C°)</t>
  </si>
  <si>
    <t>T weather station (C°)</t>
  </si>
  <si>
    <t>RH (%)</t>
  </si>
  <si>
    <t>VP_leaf</t>
  </si>
  <si>
    <t>VP_P</t>
  </si>
  <si>
    <t>VPD_leaf</t>
  </si>
  <si>
    <t>VPDprob</t>
  </si>
  <si>
    <t>Psileaf_ini_1 (Mpa)</t>
  </si>
  <si>
    <t>Psileaf_ini_2 (Mpa)</t>
  </si>
  <si>
    <t>mean_Psi_ini(Mpa)</t>
  </si>
  <si>
    <t>Psileaf_fin (Mpa)</t>
  </si>
  <si>
    <t>Area_p (pixel)</t>
  </si>
  <si>
    <t>Scale</t>
  </si>
  <si>
    <t>Area (cm²)</t>
  </si>
  <si>
    <t>Kleaf (mmol m-2 s-1 MPa-1)</t>
  </si>
  <si>
    <t>Kleaf Tcorr (mmol m-2 s-1 MPa-1)</t>
  </si>
  <si>
    <t>Lowest Psileaf (Mpa)</t>
  </si>
  <si>
    <t>Individual</t>
  </si>
  <si>
    <t>Leaf</t>
  </si>
  <si>
    <t>Start time</t>
  </si>
  <si>
    <t>End time</t>
  </si>
  <si>
    <t>Light</t>
  </si>
  <si>
    <t>example</t>
  </si>
  <si>
    <t>CESE</t>
  </si>
  <si>
    <t>&gt;1000</t>
  </si>
  <si>
    <t>Computer number</t>
  </si>
  <si>
    <t>Date</t>
  </si>
  <si>
    <t>Notes</t>
  </si>
  <si>
    <t>data lost on excel only written in my lab book</t>
  </si>
  <si>
    <t>cv too high</t>
  </si>
  <si>
    <t>psileaf value in the middle but value on the side was 0.190</t>
  </si>
  <si>
    <t>ok</t>
  </si>
  <si>
    <t>middle water potential 1.757 but side water potential 0.613</t>
  </si>
  <si>
    <t>PADI</t>
  </si>
  <si>
    <t>could not do the potential, the leaf broke while doing it</t>
  </si>
  <si>
    <t>AVSA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</si>
</sst>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2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164" fontId="2" fillId="2" borderId="0" xfId="0" applyNumberFormat="1" applyFon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3332422979095855E-2"/>
                  <c:y val="-0.48586097519703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</c:trendlineLbl>
          </c:trendline>
          <c:xVal>
            <c:numRef>
              <c:f>CESE!$X$3:$X$30</c:f>
              <c:numCache>
                <c:formatCode>0.000</c:formatCode>
                <c:ptCount val="28"/>
                <c:pt idx="0">
                  <c:v>0.155</c:v>
                </c:pt>
                <c:pt idx="1">
                  <c:v>0.41</c:v>
                </c:pt>
                <c:pt idx="2">
                  <c:v>0.38</c:v>
                </c:pt>
                <c:pt idx="3">
                  <c:v>0.99</c:v>
                </c:pt>
                <c:pt idx="4">
                  <c:v>0.32</c:v>
                </c:pt>
                <c:pt idx="5">
                  <c:v>0.215</c:v>
                </c:pt>
                <c:pt idx="6">
                  <c:v>0.75</c:v>
                </c:pt>
                <c:pt idx="7">
                  <c:v>0.26500000000000001</c:v>
                </c:pt>
                <c:pt idx="8">
                  <c:v>0.23699999999999999</c:v>
                </c:pt>
                <c:pt idx="9">
                  <c:v>0.39700000000000002</c:v>
                </c:pt>
                <c:pt idx="10">
                  <c:v>0.25600000000000001</c:v>
                </c:pt>
                <c:pt idx="11">
                  <c:v>0.40699999999999997</c:v>
                </c:pt>
                <c:pt idx="12">
                  <c:v>0.2</c:v>
                </c:pt>
                <c:pt idx="13">
                  <c:v>0.23</c:v>
                </c:pt>
                <c:pt idx="14">
                  <c:v>0.73</c:v>
                </c:pt>
                <c:pt idx="15">
                  <c:v>0.22</c:v>
                </c:pt>
                <c:pt idx="16">
                  <c:v>0.28000000000000003</c:v>
                </c:pt>
                <c:pt idx="17">
                  <c:v>1.96</c:v>
                </c:pt>
                <c:pt idx="18">
                  <c:v>0.06</c:v>
                </c:pt>
                <c:pt idx="19">
                  <c:v>0.39400000000000002</c:v>
                </c:pt>
                <c:pt idx="20">
                  <c:v>0.05</c:v>
                </c:pt>
                <c:pt idx="21">
                  <c:v>0.25800000000000001</c:v>
                </c:pt>
                <c:pt idx="22">
                  <c:v>0.63500000000000001</c:v>
                </c:pt>
                <c:pt idx="23">
                  <c:v>0.89</c:v>
                </c:pt>
                <c:pt idx="24">
                  <c:v>1.4770000000000001</c:v>
                </c:pt>
                <c:pt idx="25">
                  <c:v>0.39300000000000002</c:v>
                </c:pt>
                <c:pt idx="26">
                  <c:v>1.7569999999999999</c:v>
                </c:pt>
                <c:pt idx="27">
                  <c:v>0.83299999999999996</c:v>
                </c:pt>
              </c:numCache>
            </c:numRef>
          </c:xVal>
          <c:yVal>
            <c:numRef>
              <c:f>CESE!$W$3:$W$30</c:f>
              <c:numCache>
                <c:formatCode>0.000</c:formatCode>
                <c:ptCount val="28"/>
                <c:pt idx="0">
                  <c:v>7.3619320095278127</c:v>
                </c:pt>
                <c:pt idx="1">
                  <c:v>5.0033269473846742</c:v>
                </c:pt>
                <c:pt idx="2">
                  <c:v>12.901415356821239</c:v>
                </c:pt>
                <c:pt idx="3">
                  <c:v>1.7217957884264539</c:v>
                </c:pt>
                <c:pt idx="4">
                  <c:v>8.4428566413426669</c:v>
                </c:pt>
                <c:pt idx="5">
                  <c:v>11.245369650062386</c:v>
                </c:pt>
                <c:pt idx="6">
                  <c:v>1.1568338363698625</c:v>
                </c:pt>
                <c:pt idx="7">
                  <c:v>4.6039204485416718</c:v>
                </c:pt>
                <c:pt idx="8">
                  <c:v>30.539904847747835</c:v>
                </c:pt>
                <c:pt idx="9">
                  <c:v>2.1531427937055092</c:v>
                </c:pt>
                <c:pt idx="10">
                  <c:v>13.884159288295567</c:v>
                </c:pt>
                <c:pt idx="11">
                  <c:v>4.1994102626647241</c:v>
                </c:pt>
                <c:pt idx="12">
                  <c:v>11.498389608227583</c:v>
                </c:pt>
                <c:pt idx="13">
                  <c:v>10.037452030841736</c:v>
                </c:pt>
                <c:pt idx="14">
                  <c:v>3.3065983252733466</c:v>
                </c:pt>
                <c:pt idx="15">
                  <c:v>8.3428226636098692</c:v>
                </c:pt>
                <c:pt idx="16">
                  <c:v>12.796323814364923</c:v>
                </c:pt>
                <c:pt idx="17">
                  <c:v>0.77904348189660955</c:v>
                </c:pt>
                <c:pt idx="18">
                  <c:v>33.786613558198361</c:v>
                </c:pt>
                <c:pt idx="19">
                  <c:v>6.4782847510677168</c:v>
                </c:pt>
                <c:pt idx="21">
                  <c:v>5.0367789985377067</c:v>
                </c:pt>
                <c:pt idx="22">
                  <c:v>0.13757458189717575</c:v>
                </c:pt>
                <c:pt idx="23">
                  <c:v>1.694071098222929</c:v>
                </c:pt>
                <c:pt idx="24">
                  <c:v>2.3612189931130394</c:v>
                </c:pt>
                <c:pt idx="25">
                  <c:v>3.9071513834929439</c:v>
                </c:pt>
                <c:pt idx="26">
                  <c:v>2.2213417198360363</c:v>
                </c:pt>
                <c:pt idx="27">
                  <c:v>1.7391231388436081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8-44A2-A155-3B8D8DA89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514431"/>
        <c:axId val="1329500031"/>
      </c:scatterChart>
      <c:valAx>
        <c:axId val="132951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Lowest Psileaf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9500031"/>
        <c:crosses val="autoZero"/>
        <c:crossBetween val="midCat"/>
      </c:valAx>
      <c:valAx>
        <c:axId val="132950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Kleaf</a:t>
                </a:r>
                <a:r>
                  <a:rPr lang="en-US" baseline="0"/>
                  <a:t> Tcorr (mmol m-2 s-1 MPa-1)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2951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Kleaf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PADI!$X$3:$X$17</c:f>
              <c:numCache>
                <c:formatCode>0.000</c:formatCode>
                <c:ptCount val="15"/>
                <c:pt idx="0">
                  <c:v>0.92400000000000004</c:v>
                </c:pt>
                <c:pt idx="1">
                  <c:v>6.9000000000000006E-2</c:v>
                </c:pt>
                <c:pt idx="2">
                  <c:v>1.075</c:v>
                </c:pt>
                <c:pt idx="3">
                  <c:v>9.8000000000000004E-2</c:v>
                </c:pt>
                <c:pt idx="4">
                  <c:v>0.95899999999999996</c:v>
                </c:pt>
                <c:pt idx="5">
                  <c:v>1.0900000000000001</c:v>
                </c:pt>
                <c:pt idx="6">
                  <c:v>0.27800000000000002</c:v>
                </c:pt>
                <c:pt idx="7">
                  <c:v>0.76</c:v>
                </c:pt>
                <c:pt idx="8">
                  <c:v>0.92500000000000004</c:v>
                </c:pt>
                <c:pt idx="9">
                  <c:v>0.21099999999999999</c:v>
                </c:pt>
                <c:pt idx="10">
                  <c:v>0.88400000000000001</c:v>
                </c:pt>
                <c:pt idx="11">
                  <c:v>0.68799999999999994</c:v>
                </c:pt>
                <c:pt idx="12">
                  <c:v>6.3E-2</c:v>
                </c:pt>
                <c:pt idx="13">
                  <c:v>6.7000000000000004E-2</c:v>
                </c:pt>
                <c:pt idx="14">
                  <c:v>0.11700000000000001</c:v>
                </c:pt>
              </c:numCache>
            </c:numRef>
          </c:xVal>
          <c:yVal>
            <c:numRef>
              <c:f>PADI!$W$3:$W$17</c:f>
              <c:numCache>
                <c:formatCode>0.000</c:formatCode>
                <c:ptCount val="15"/>
                <c:pt idx="0">
                  <c:v>1.6588820843428438</c:v>
                </c:pt>
                <c:pt idx="1">
                  <c:v>75.374833526691248</c:v>
                </c:pt>
                <c:pt idx="2">
                  <c:v>0.6019228638124352</c:v>
                </c:pt>
                <c:pt idx="3">
                  <c:v>30.46140123557058</c:v>
                </c:pt>
                <c:pt idx="4">
                  <c:v>2.458878537998741</c:v>
                </c:pt>
                <c:pt idx="5">
                  <c:v>0.88420649912393312</c:v>
                </c:pt>
                <c:pt idx="6">
                  <c:v>10.552298839107099</c:v>
                </c:pt>
                <c:pt idx="7">
                  <c:v>3.6430951275139472</c:v>
                </c:pt>
                <c:pt idx="8">
                  <c:v>0.75951343974434249</c:v>
                </c:pt>
                <c:pt idx="9">
                  <c:v>14.810455045659179</c:v>
                </c:pt>
                <c:pt idx="10">
                  <c:v>2.2503816096316034</c:v>
                </c:pt>
                <c:pt idx="11">
                  <c:v>1.942767763669117</c:v>
                </c:pt>
                <c:pt idx="12">
                  <c:v>40.509885266170855</c:v>
                </c:pt>
                <c:pt idx="13">
                  <c:v>29.455391836261956</c:v>
                </c:pt>
                <c:pt idx="14">
                  <c:v>8.9253041603633623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D5-4973-A265-7DEF7E3F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049087"/>
        <c:axId val="1645017407"/>
      </c:scatterChart>
      <c:valAx>
        <c:axId val="164504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5017407"/>
        <c:crosses val="autoZero"/>
        <c:crossBetween val="midCat"/>
      </c:valAx>
      <c:valAx>
        <c:axId val="164501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4504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34</xdr:row>
      <xdr:rowOff>49530</xdr:rowOff>
    </xdr:from>
    <xdr:to>
      <xdr:col>15</xdr:col>
      <xdr:colOff>85725</xdr:colOff>
      <xdr:row>49</xdr:row>
      <xdr:rowOff>81915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9B17855-78F2-2E0D-D667-BEB0AC048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29</xdr:row>
      <xdr:rowOff>49530</xdr:rowOff>
    </xdr:from>
    <xdr:to>
      <xdr:col>20</xdr:col>
      <xdr:colOff>45720</xdr:colOff>
      <xdr:row>44</xdr:row>
      <xdr:rowOff>49530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B65154C-BAED-2069-6405-9AC9357BB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746F-B21E-4AE2-A531-A971B17E5B05}">
  <dimension ref="A1:AE30"/>
  <sheetViews>
    <sheetView topLeftCell="B1" workbookViewId="0">
      <pane ySplit="1" topLeftCell="A8" activePane="bottomLeft" state="frozen"/>
      <selection pane="bottomLeft" activeCell="F3" sqref="F3:F30"/>
    </sheetView>
  </sheetViews>
  <sheetFormatPr baseColWidth="10" defaultColWidth="8.88671875" defaultRowHeight="14.4" x14ac:dyDescent="0.3"/>
  <cols>
    <col min="3" max="3" width="6.77734375" bestFit="1" customWidth="1"/>
    <col min="4" max="4" width="19.109375" bestFit="1" customWidth="1"/>
    <col min="5" max="5" width="9" bestFit="1" customWidth="1"/>
    <col min="6" max="6" width="11.6640625" bestFit="1" customWidth="1"/>
    <col min="7" max="7" width="10.77734375" bestFit="1" customWidth="1"/>
    <col min="8" max="8" width="7.33203125" bestFit="1" customWidth="1"/>
    <col min="9" max="10" width="6" bestFit="1" customWidth="1"/>
    <col min="11" max="11" width="11.109375" bestFit="1" customWidth="1"/>
    <col min="12" max="12" width="10" bestFit="1" customWidth="1"/>
    <col min="13" max="13" width="8.21875" customWidth="1"/>
    <col min="14" max="14" width="5.5546875" customWidth="1"/>
    <col min="19" max="19" width="12" bestFit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x14ac:dyDescent="0.3">
      <c r="A2" t="s">
        <v>26</v>
      </c>
      <c r="B2">
        <v>1</v>
      </c>
      <c r="C2">
        <v>1</v>
      </c>
      <c r="D2">
        <v>1</v>
      </c>
      <c r="E2">
        <v>10222024</v>
      </c>
      <c r="F2" s="5">
        <v>0.44444444444444442</v>
      </c>
      <c r="G2" s="5">
        <v>0.46527777777777773</v>
      </c>
      <c r="H2">
        <v>1120</v>
      </c>
      <c r="I2">
        <v>13.93</v>
      </c>
      <c r="J2">
        <v>0.02</v>
      </c>
      <c r="K2">
        <v>20.5</v>
      </c>
      <c r="L2">
        <v>20.7</v>
      </c>
      <c r="M2" s="2">
        <v>21.724</v>
      </c>
      <c r="N2">
        <v>52.481000000000002</v>
      </c>
      <c r="O2">
        <v>0.5</v>
      </c>
      <c r="P2">
        <v>0.47</v>
      </c>
      <c r="Q2" s="4">
        <f>AVERAGE(O2:P2)</f>
        <v>0.48499999999999999</v>
      </c>
      <c r="R2">
        <v>0.3</v>
      </c>
      <c r="S2">
        <v>25057</v>
      </c>
      <c r="T2">
        <v>56</v>
      </c>
      <c r="U2" s="4">
        <f>S2/(T2^2)</f>
        <v>7.9901147959183669</v>
      </c>
      <c r="V2" s="4">
        <f t="shared" ref="V2:V28" si="0">I2*0.000001/18*1000/R2/(U2/10000)</f>
        <v>3.2285263672899864</v>
      </c>
      <c r="W2" s="4">
        <f t="shared" ref="W2:W22" si="1">V2/(0.88862*(1/POWER(10,(1.3272*(20-K2)-0.001053*(K2-20)^2)/(K2+105))))</f>
        <v>3.589207007751122</v>
      </c>
      <c r="X2" s="4">
        <f t="shared" ref="X2:X30" si="2">MAX(Q2:R2)</f>
        <v>0.48499999999999999</v>
      </c>
      <c r="Z2" t="s">
        <v>35</v>
      </c>
      <c r="AB2" s="3">
        <f>6.1121*EXP(((18.6678-(L2/234.5))*(L2/(257.14+L2))))/10</f>
        <v>2.439813517140899</v>
      </c>
      <c r="AC2" s="3">
        <f>6.1121*EXP(((18.6678-(M2/234.5))*(M2/(257.14+M2))))/10</f>
        <v>2.59795148113023</v>
      </c>
      <c r="AD2" s="4">
        <f>(1-(N2/100))*(AB2/101.3)</f>
        <v>1.1444965303160748E-2</v>
      </c>
      <c r="AE2" s="4">
        <f>(1-(N2/100))*(AC2/101.3)</f>
        <v>1.2186777535224819E-2</v>
      </c>
    </row>
    <row r="3" spans="1:31" x14ac:dyDescent="0.3">
      <c r="A3" t="s">
        <v>27</v>
      </c>
      <c r="B3">
        <v>1</v>
      </c>
      <c r="C3">
        <v>1</v>
      </c>
      <c r="D3">
        <v>2</v>
      </c>
      <c r="E3">
        <v>10222024</v>
      </c>
      <c r="F3" s="5">
        <v>0.50208333333333333</v>
      </c>
      <c r="G3" s="5">
        <v>0.52152777777777781</v>
      </c>
      <c r="H3" t="s">
        <v>28</v>
      </c>
      <c r="I3">
        <v>25.26</v>
      </c>
      <c r="J3">
        <v>0.01</v>
      </c>
      <c r="K3" s="2">
        <f>AVERAGE(K8,K9)</f>
        <v>25</v>
      </c>
      <c r="M3" s="2"/>
      <c r="Q3" s="4"/>
      <c r="R3">
        <v>0.155</v>
      </c>
      <c r="S3">
        <f>917270+813318+608426+406146</f>
        <v>2745160</v>
      </c>
      <c r="U3" s="4">
        <f t="shared" ref="U3:U28" si="3">S3/(1200^2)*2.54^2</f>
        <v>12.299079344444445</v>
      </c>
      <c r="V3" s="4">
        <f t="shared" si="0"/>
        <v>7.3613342814556653</v>
      </c>
      <c r="W3" s="4">
        <f t="shared" si="1"/>
        <v>7.3619320095278127</v>
      </c>
      <c r="X3" s="4">
        <f t="shared" si="2"/>
        <v>0.155</v>
      </c>
      <c r="Z3" t="s">
        <v>35</v>
      </c>
      <c r="AB3" s="3"/>
      <c r="AC3" s="3"/>
      <c r="AD3" s="4"/>
      <c r="AE3" s="4"/>
    </row>
    <row r="4" spans="1:31" x14ac:dyDescent="0.3">
      <c r="A4" t="s">
        <v>27</v>
      </c>
      <c r="B4">
        <v>1</v>
      </c>
      <c r="C4">
        <v>2</v>
      </c>
      <c r="D4">
        <v>1</v>
      </c>
      <c r="E4">
        <v>10232024</v>
      </c>
      <c r="F4" s="5">
        <v>0.38750000000000001</v>
      </c>
      <c r="G4" s="5">
        <v>0.41111111111111109</v>
      </c>
      <c r="H4" t="s">
        <v>28</v>
      </c>
      <c r="I4">
        <v>24.2</v>
      </c>
      <c r="J4">
        <v>1.9E-2</v>
      </c>
      <c r="K4">
        <v>26</v>
      </c>
      <c r="R4">
        <v>0.41</v>
      </c>
      <c r="S4">
        <f>793851+84663+196875+354828</f>
        <v>1430217</v>
      </c>
      <c r="U4" s="4">
        <f t="shared" si="3"/>
        <v>6.4077694424999994</v>
      </c>
      <c r="V4" s="4">
        <f t="shared" si="0"/>
        <v>5.1174325492718653</v>
      </c>
      <c r="W4" s="4">
        <f t="shared" si="1"/>
        <v>5.0033269473846742</v>
      </c>
      <c r="X4" s="4">
        <f t="shared" si="2"/>
        <v>0.41</v>
      </c>
      <c r="Z4" t="s">
        <v>35</v>
      </c>
    </row>
    <row r="5" spans="1:31" x14ac:dyDescent="0.3">
      <c r="A5" t="s">
        <v>27</v>
      </c>
      <c r="B5">
        <v>1</v>
      </c>
      <c r="C5">
        <v>3</v>
      </c>
      <c r="D5">
        <v>1</v>
      </c>
      <c r="E5">
        <v>10232024</v>
      </c>
      <c r="F5" s="5">
        <v>0.42638888888888887</v>
      </c>
      <c r="G5" s="5">
        <v>0.44444444444444442</v>
      </c>
      <c r="H5" t="s">
        <v>28</v>
      </c>
      <c r="I5">
        <v>46.8</v>
      </c>
      <c r="J5">
        <v>1.7999999999999999E-2</v>
      </c>
      <c r="K5">
        <v>26</v>
      </c>
      <c r="R5">
        <v>0.38</v>
      </c>
      <c r="S5">
        <f>608700+319350+192975+36297</f>
        <v>1157322</v>
      </c>
      <c r="U5" s="4">
        <f t="shared" si="3"/>
        <v>5.1851240383333339</v>
      </c>
      <c r="V5" s="4">
        <f t="shared" si="0"/>
        <v>13.195644332854124</v>
      </c>
      <c r="W5" s="4">
        <f t="shared" si="1"/>
        <v>12.901415356821239</v>
      </c>
      <c r="X5" s="4">
        <f t="shared" si="2"/>
        <v>0.38</v>
      </c>
      <c r="Z5" t="s">
        <v>35</v>
      </c>
    </row>
    <row r="6" spans="1:31" x14ac:dyDescent="0.3">
      <c r="A6" t="s">
        <v>27</v>
      </c>
      <c r="B6">
        <v>1</v>
      </c>
      <c r="C6">
        <v>4</v>
      </c>
      <c r="D6">
        <v>1</v>
      </c>
      <c r="E6">
        <v>10232024</v>
      </c>
      <c r="F6" s="5">
        <v>0.45277777777777778</v>
      </c>
      <c r="G6" s="5">
        <v>0.48055555555555557</v>
      </c>
      <c r="H6" t="s">
        <v>28</v>
      </c>
      <c r="I6">
        <v>15.33</v>
      </c>
      <c r="J6">
        <v>0.02</v>
      </c>
      <c r="K6">
        <v>25</v>
      </c>
      <c r="R6">
        <v>0.99</v>
      </c>
      <c r="S6">
        <f>587542+527736</f>
        <v>1115278</v>
      </c>
      <c r="U6" s="4">
        <f t="shared" si="3"/>
        <v>4.9967552394444441</v>
      </c>
      <c r="V6" s="4">
        <f t="shared" si="0"/>
        <v>1.7216559928298747</v>
      </c>
      <c r="W6" s="4">
        <f t="shared" si="1"/>
        <v>1.7217957884264539</v>
      </c>
      <c r="X6" s="4">
        <f t="shared" si="2"/>
        <v>0.99</v>
      </c>
      <c r="Z6" t="s">
        <v>35</v>
      </c>
    </row>
    <row r="7" spans="1:31" x14ac:dyDescent="0.3">
      <c r="A7" t="s">
        <v>27</v>
      </c>
      <c r="B7">
        <v>1</v>
      </c>
      <c r="C7">
        <v>5</v>
      </c>
      <c r="D7">
        <v>1</v>
      </c>
      <c r="E7">
        <v>10232024</v>
      </c>
      <c r="F7" s="5">
        <v>0.49166666666666664</v>
      </c>
      <c r="G7" s="5">
        <v>0.51666666666666672</v>
      </c>
      <c r="H7" t="s">
        <v>28</v>
      </c>
      <c r="I7">
        <v>37.93</v>
      </c>
      <c r="J7">
        <v>0.02</v>
      </c>
      <c r="K7">
        <v>25</v>
      </c>
      <c r="R7">
        <v>0.32</v>
      </c>
      <c r="S7">
        <f>790304+381014+569692</f>
        <v>1741010</v>
      </c>
      <c r="U7" s="4">
        <f t="shared" si="3"/>
        <v>7.800208413888889</v>
      </c>
      <c r="V7" s="4">
        <f t="shared" si="0"/>
        <v>8.4421711511184814</v>
      </c>
      <c r="W7" s="4">
        <f t="shared" si="1"/>
        <v>8.4428566413426669</v>
      </c>
      <c r="X7" s="4">
        <f t="shared" si="2"/>
        <v>0.32</v>
      </c>
      <c r="Z7" t="s">
        <v>35</v>
      </c>
    </row>
    <row r="8" spans="1:31" x14ac:dyDescent="0.3">
      <c r="A8" t="s">
        <v>27</v>
      </c>
      <c r="B8">
        <v>1</v>
      </c>
      <c r="C8">
        <v>6</v>
      </c>
      <c r="D8">
        <v>2</v>
      </c>
      <c r="E8">
        <v>10292024</v>
      </c>
      <c r="F8" s="5">
        <v>0.35</v>
      </c>
      <c r="G8" s="5">
        <v>0.37361111111111112</v>
      </c>
      <c r="H8" t="s">
        <v>28</v>
      </c>
      <c r="I8">
        <v>27.26</v>
      </c>
      <c r="J8">
        <v>0.06</v>
      </c>
      <c r="K8">
        <v>25</v>
      </c>
      <c r="R8">
        <v>0.215</v>
      </c>
      <c r="S8">
        <f>947017+248252+202938</f>
        <v>1398207</v>
      </c>
      <c r="U8" s="4">
        <f t="shared" si="3"/>
        <v>6.2643557508333334</v>
      </c>
      <c r="V8" s="4">
        <f t="shared" si="0"/>
        <v>11.244456618929688</v>
      </c>
      <c r="W8" s="4">
        <f t="shared" si="1"/>
        <v>11.245369650062386</v>
      </c>
      <c r="X8" s="4">
        <f t="shared" si="2"/>
        <v>0.215</v>
      </c>
      <c r="Z8" t="s">
        <v>35</v>
      </c>
    </row>
    <row r="9" spans="1:31" x14ac:dyDescent="0.3">
      <c r="A9" t="s">
        <v>27</v>
      </c>
      <c r="B9">
        <v>1</v>
      </c>
      <c r="C9">
        <v>7</v>
      </c>
      <c r="D9">
        <v>2</v>
      </c>
      <c r="E9">
        <v>10292024</v>
      </c>
      <c r="F9" s="5">
        <v>0.66527777777777775</v>
      </c>
      <c r="G9" s="5">
        <v>0.69861111111111107</v>
      </c>
      <c r="H9" t="s">
        <v>28</v>
      </c>
      <c r="I9">
        <v>7.26</v>
      </c>
      <c r="J9">
        <v>0.01</v>
      </c>
      <c r="K9">
        <v>25</v>
      </c>
      <c r="R9">
        <v>0.75</v>
      </c>
      <c r="S9">
        <f>708592+215168+56299+57618</f>
        <v>1037677</v>
      </c>
      <c r="U9" s="4">
        <f t="shared" si="3"/>
        <v>4.6490812036111109</v>
      </c>
      <c r="V9" s="4">
        <f t="shared" si="0"/>
        <v>1.1567399110173988</v>
      </c>
      <c r="W9" s="4">
        <f t="shared" si="1"/>
        <v>1.1568338363698625</v>
      </c>
      <c r="X9" s="4">
        <f t="shared" si="2"/>
        <v>0.75</v>
      </c>
      <c r="Z9" t="s">
        <v>35</v>
      </c>
    </row>
    <row r="10" spans="1:31" x14ac:dyDescent="0.3">
      <c r="A10" s="9" t="s">
        <v>27</v>
      </c>
      <c r="B10" s="9">
        <v>1</v>
      </c>
      <c r="C10" s="9">
        <v>8</v>
      </c>
      <c r="D10" s="9">
        <v>2</v>
      </c>
      <c r="E10">
        <v>31102024</v>
      </c>
      <c r="F10" s="5">
        <v>0.37013888888888891</v>
      </c>
      <c r="G10" s="5">
        <v>0.3888888888888889</v>
      </c>
      <c r="H10" t="s">
        <v>28</v>
      </c>
      <c r="I10">
        <v>19.93</v>
      </c>
      <c r="J10">
        <v>0.03</v>
      </c>
      <c r="K10">
        <v>21</v>
      </c>
      <c r="R10">
        <v>0.26500000000000001</v>
      </c>
      <c r="S10">
        <f>1120880+827782+232372+43804</f>
        <v>2224838</v>
      </c>
      <c r="U10" s="4">
        <f t="shared" si="3"/>
        <v>9.9678922505555558</v>
      </c>
      <c r="V10" s="4">
        <f t="shared" si="0"/>
        <v>4.1916555275330616</v>
      </c>
      <c r="W10" s="4">
        <f t="shared" si="1"/>
        <v>4.6039204485416718</v>
      </c>
      <c r="X10" s="4">
        <f t="shared" si="2"/>
        <v>0.26500000000000001</v>
      </c>
      <c r="Z10" t="s">
        <v>32</v>
      </c>
    </row>
    <row r="11" spans="1:31" x14ac:dyDescent="0.3">
      <c r="A11" s="9" t="s">
        <v>27</v>
      </c>
      <c r="B11" s="9">
        <v>1</v>
      </c>
      <c r="C11" s="9">
        <v>9</v>
      </c>
      <c r="D11" s="9">
        <v>2</v>
      </c>
      <c r="E11">
        <v>31102024</v>
      </c>
      <c r="F11" s="5">
        <v>0.39583333333333331</v>
      </c>
      <c r="G11" s="5">
        <v>0.41111111111111109</v>
      </c>
      <c r="H11" t="s">
        <v>28</v>
      </c>
      <c r="I11">
        <v>34.36</v>
      </c>
      <c r="J11">
        <v>4.0000000000000001E-3</v>
      </c>
      <c r="K11">
        <v>22</v>
      </c>
      <c r="R11">
        <v>0.23699999999999999</v>
      </c>
      <c r="S11">
        <f>446298+139310+45654</f>
        <v>631262</v>
      </c>
      <c r="U11" s="4">
        <f t="shared" si="3"/>
        <v>2.8282291105555557</v>
      </c>
      <c r="V11" s="4">
        <f t="shared" si="0"/>
        <v>28.478539688884432</v>
      </c>
      <c r="W11" s="4">
        <f t="shared" si="1"/>
        <v>30.539904847747835</v>
      </c>
      <c r="X11" s="4">
        <f t="shared" si="2"/>
        <v>0.23699999999999999</v>
      </c>
      <c r="Z11" t="s">
        <v>32</v>
      </c>
    </row>
    <row r="12" spans="1:31" x14ac:dyDescent="0.3">
      <c r="A12" t="s">
        <v>27</v>
      </c>
      <c r="B12">
        <v>1</v>
      </c>
      <c r="C12">
        <v>10</v>
      </c>
      <c r="D12">
        <v>1</v>
      </c>
      <c r="E12">
        <v>31102024</v>
      </c>
      <c r="F12" s="5">
        <v>0.40416666666666667</v>
      </c>
      <c r="G12" s="5">
        <v>0.42291666666666666</v>
      </c>
      <c r="H12" t="s">
        <v>28</v>
      </c>
      <c r="I12">
        <v>10.23</v>
      </c>
      <c r="J12">
        <v>0.01</v>
      </c>
      <c r="K12">
        <v>22</v>
      </c>
      <c r="R12">
        <v>0.39700000000000002</v>
      </c>
      <c r="S12">
        <f>823873+500565+254742+12240</f>
        <v>1591420</v>
      </c>
      <c r="U12" s="4">
        <f t="shared" si="3"/>
        <v>7.1300036611111119</v>
      </c>
      <c r="V12" s="4">
        <f t="shared" si="0"/>
        <v>2.0078111838288772</v>
      </c>
      <c r="W12" s="4">
        <f t="shared" si="1"/>
        <v>2.1531427937055092</v>
      </c>
      <c r="X12" s="4">
        <f t="shared" si="2"/>
        <v>0.39700000000000002</v>
      </c>
      <c r="Z12" t="s">
        <v>35</v>
      </c>
    </row>
    <row r="13" spans="1:31" x14ac:dyDescent="0.3">
      <c r="A13" t="s">
        <v>27</v>
      </c>
      <c r="B13">
        <v>1</v>
      </c>
      <c r="C13">
        <v>11</v>
      </c>
      <c r="E13">
        <v>1112024</v>
      </c>
      <c r="F13" s="5">
        <v>0.4777777777777778</v>
      </c>
      <c r="G13" s="5">
        <v>0.49444444444444446</v>
      </c>
      <c r="H13" t="s">
        <v>28</v>
      </c>
      <c r="I13">
        <v>23</v>
      </c>
      <c r="J13">
        <v>0.05</v>
      </c>
      <c r="K13">
        <v>25</v>
      </c>
      <c r="R13">
        <v>0.25600000000000001</v>
      </c>
      <c r="S13">
        <f>597309+190172+14984</f>
        <v>802465</v>
      </c>
      <c r="U13" s="4">
        <f t="shared" si="3"/>
        <v>3.595266106944444</v>
      </c>
      <c r="V13" s="4">
        <f t="shared" si="0"/>
        <v>13.883032009239738</v>
      </c>
      <c r="W13" s="4">
        <f t="shared" si="1"/>
        <v>13.884159288295567</v>
      </c>
      <c r="X13" s="4">
        <f t="shared" si="2"/>
        <v>0.25600000000000001</v>
      </c>
      <c r="Z13" t="s">
        <v>35</v>
      </c>
    </row>
    <row r="14" spans="1:31" x14ac:dyDescent="0.3">
      <c r="A14" t="s">
        <v>27</v>
      </c>
      <c r="B14">
        <v>1</v>
      </c>
      <c r="C14">
        <v>12</v>
      </c>
      <c r="E14">
        <v>1112024</v>
      </c>
      <c r="F14" s="5">
        <v>0.51527777777777772</v>
      </c>
      <c r="G14" s="5">
        <v>0.5395833333333333</v>
      </c>
      <c r="H14" t="s">
        <v>28</v>
      </c>
      <c r="I14">
        <v>23.27</v>
      </c>
      <c r="J14">
        <v>0.01</v>
      </c>
      <c r="K14">
        <v>25</v>
      </c>
      <c r="R14">
        <v>0.40699999999999997</v>
      </c>
      <c r="S14">
        <f>33714+510516+1144155</f>
        <v>1688385</v>
      </c>
      <c r="U14" s="4">
        <f t="shared" si="3"/>
        <v>7.5644337958333328</v>
      </c>
      <c r="V14" s="4">
        <f t="shared" si="0"/>
        <v>4.1990693052370798</v>
      </c>
      <c r="W14" s="4">
        <f t="shared" si="1"/>
        <v>4.1994102626647241</v>
      </c>
      <c r="X14" s="4">
        <f t="shared" si="2"/>
        <v>0.40699999999999997</v>
      </c>
      <c r="Z14" t="s">
        <v>35</v>
      </c>
    </row>
    <row r="15" spans="1:31" x14ac:dyDescent="0.3">
      <c r="A15" t="s">
        <v>27</v>
      </c>
      <c r="B15">
        <v>1</v>
      </c>
      <c r="C15">
        <v>13</v>
      </c>
      <c r="E15">
        <v>1112024</v>
      </c>
      <c r="F15" s="5">
        <v>0.50347222222222221</v>
      </c>
      <c r="G15" s="5">
        <v>0.52083333333333337</v>
      </c>
      <c r="H15" t="s">
        <v>28</v>
      </c>
      <c r="I15">
        <v>29.17</v>
      </c>
      <c r="J15">
        <v>0.03</v>
      </c>
      <c r="K15">
        <v>24</v>
      </c>
      <c r="R15">
        <v>0.2</v>
      </c>
      <c r="S15">
        <f>1058307+519189+32007</f>
        <v>1609503</v>
      </c>
      <c r="U15" s="4">
        <f t="shared" si="3"/>
        <v>7.2110205241666669</v>
      </c>
      <c r="V15" s="4">
        <f t="shared" si="0"/>
        <v>11.236658875983668</v>
      </c>
      <c r="W15" s="4">
        <f t="shared" si="1"/>
        <v>11.498389608227583</v>
      </c>
      <c r="X15" s="4">
        <f t="shared" si="2"/>
        <v>0.2</v>
      </c>
      <c r="Z15" t="s">
        <v>35</v>
      </c>
    </row>
    <row r="16" spans="1:31" x14ac:dyDescent="0.3">
      <c r="A16" t="s">
        <v>27</v>
      </c>
      <c r="B16">
        <v>2</v>
      </c>
      <c r="C16">
        <v>1</v>
      </c>
      <c r="D16">
        <v>1</v>
      </c>
      <c r="E16">
        <v>10222024</v>
      </c>
      <c r="F16" s="5">
        <v>0.48958333333333331</v>
      </c>
      <c r="G16" s="5">
        <v>0.46458333333333335</v>
      </c>
      <c r="H16" t="s">
        <v>28</v>
      </c>
      <c r="I16">
        <v>35.78</v>
      </c>
      <c r="J16">
        <v>8.9999999999999993E-3</v>
      </c>
      <c r="K16" s="2">
        <v>25.5</v>
      </c>
      <c r="M16" s="2"/>
      <c r="Q16" s="4"/>
      <c r="R16">
        <v>0.23</v>
      </c>
      <c r="S16">
        <f>758232+749922+344946+47172</f>
        <v>1900272</v>
      </c>
      <c r="U16" s="4">
        <f t="shared" si="3"/>
        <v>8.5137464133333332</v>
      </c>
      <c r="V16" s="4">
        <f t="shared" si="0"/>
        <v>10.151244420152912</v>
      </c>
      <c r="W16" s="4">
        <f t="shared" si="1"/>
        <v>10.037452030841736</v>
      </c>
      <c r="X16" s="4">
        <f t="shared" si="2"/>
        <v>0.23</v>
      </c>
      <c r="Z16" t="s">
        <v>35</v>
      </c>
      <c r="AB16" s="3"/>
      <c r="AC16" s="3"/>
      <c r="AD16" s="4"/>
      <c r="AE16" s="4"/>
    </row>
    <row r="17" spans="1:31" x14ac:dyDescent="0.3">
      <c r="A17" t="s">
        <v>27</v>
      </c>
      <c r="B17">
        <v>2</v>
      </c>
      <c r="C17">
        <v>2</v>
      </c>
      <c r="D17">
        <v>2</v>
      </c>
      <c r="E17">
        <v>10222024</v>
      </c>
      <c r="F17" s="5">
        <v>0.58680555555555558</v>
      </c>
      <c r="G17" s="5">
        <v>0.60833333333333328</v>
      </c>
      <c r="H17" t="s">
        <v>28</v>
      </c>
      <c r="I17">
        <v>29.93</v>
      </c>
      <c r="K17">
        <v>24</v>
      </c>
      <c r="M17" s="2"/>
      <c r="Q17" s="4"/>
      <c r="R17">
        <v>0.73</v>
      </c>
      <c r="S17">
        <f>586040+374418+564372+8872+11168+28478</f>
        <v>1573348</v>
      </c>
      <c r="U17" s="4">
        <f t="shared" si="3"/>
        <v>7.0490360811111117</v>
      </c>
      <c r="V17" s="4">
        <f t="shared" si="0"/>
        <v>3.2313322723392002</v>
      </c>
      <c r="W17" s="4">
        <f t="shared" si="1"/>
        <v>3.3065983252733466</v>
      </c>
      <c r="X17" s="4">
        <f t="shared" si="2"/>
        <v>0.73</v>
      </c>
      <c r="Z17" t="s">
        <v>35</v>
      </c>
      <c r="AB17" s="3"/>
      <c r="AC17" s="3"/>
      <c r="AD17" s="4"/>
      <c r="AE17" s="4"/>
    </row>
    <row r="18" spans="1:31" x14ac:dyDescent="0.3">
      <c r="A18" t="s">
        <v>27</v>
      </c>
      <c r="B18">
        <v>2</v>
      </c>
      <c r="C18">
        <v>3</v>
      </c>
      <c r="D18">
        <v>2</v>
      </c>
      <c r="E18">
        <v>10222024</v>
      </c>
      <c r="F18" s="5">
        <v>0.64722222222222225</v>
      </c>
      <c r="G18" s="5">
        <v>0.67222222222222228</v>
      </c>
      <c r="H18" t="s">
        <v>28</v>
      </c>
      <c r="I18">
        <v>30.13</v>
      </c>
      <c r="J18">
        <v>1.4E-2</v>
      </c>
      <c r="K18" s="2">
        <f>AVERAGE(K16:K17)</f>
        <v>24.75</v>
      </c>
      <c r="R18">
        <v>0.22</v>
      </c>
      <c r="S18">
        <f>772708+721638+353300+141686+58053</f>
        <v>2047385</v>
      </c>
      <c r="U18" s="4">
        <f t="shared" si="3"/>
        <v>9.1728535180555557</v>
      </c>
      <c r="V18" s="4">
        <f t="shared" si="0"/>
        <v>8.2946771619206139</v>
      </c>
      <c r="W18" s="4">
        <f t="shared" si="1"/>
        <v>8.3428226636098692</v>
      </c>
      <c r="X18" s="4">
        <f t="shared" si="2"/>
        <v>0.22</v>
      </c>
      <c r="Z18" t="s">
        <v>35</v>
      </c>
    </row>
    <row r="19" spans="1:31" x14ac:dyDescent="0.3">
      <c r="A19" t="s">
        <v>27</v>
      </c>
      <c r="B19">
        <v>2</v>
      </c>
      <c r="C19">
        <v>4</v>
      </c>
      <c r="D19">
        <v>2</v>
      </c>
      <c r="E19">
        <v>10232024</v>
      </c>
      <c r="F19" s="5">
        <v>0.3888888888888889</v>
      </c>
      <c r="G19" s="5">
        <v>0.40694444444444444</v>
      </c>
      <c r="H19" t="s">
        <v>28</v>
      </c>
      <c r="I19">
        <v>31.36</v>
      </c>
      <c r="J19">
        <v>8.0000000000000002E-3</v>
      </c>
      <c r="K19">
        <v>25</v>
      </c>
      <c r="R19">
        <v>0.28000000000000003</v>
      </c>
      <c r="S19">
        <f>640266+195606+138232+111298</f>
        <v>1085402</v>
      </c>
      <c r="U19" s="4">
        <f t="shared" si="3"/>
        <v>4.8629024605555555</v>
      </c>
      <c r="V19" s="4">
        <f t="shared" si="0"/>
        <v>12.795284858564431</v>
      </c>
      <c r="W19" s="4">
        <f t="shared" si="1"/>
        <v>12.796323814364923</v>
      </c>
      <c r="X19" s="4">
        <f t="shared" si="2"/>
        <v>0.28000000000000003</v>
      </c>
      <c r="Z19" t="s">
        <v>35</v>
      </c>
    </row>
    <row r="20" spans="1:31" x14ac:dyDescent="0.3">
      <c r="A20" t="s">
        <v>27</v>
      </c>
      <c r="B20">
        <v>2</v>
      </c>
      <c r="C20">
        <v>5</v>
      </c>
      <c r="D20">
        <v>2</v>
      </c>
      <c r="E20">
        <v>10232024</v>
      </c>
      <c r="F20" s="5">
        <v>0.41388888888888886</v>
      </c>
      <c r="G20" s="5">
        <v>0.44583333333333336</v>
      </c>
      <c r="H20" t="s">
        <v>28</v>
      </c>
      <c r="I20">
        <v>21.26</v>
      </c>
      <c r="J20">
        <v>0.03</v>
      </c>
      <c r="K20">
        <v>25</v>
      </c>
      <c r="R20">
        <v>1.96</v>
      </c>
      <c r="S20">
        <f>1010963+603075+70608+42000</f>
        <v>1726646</v>
      </c>
      <c r="U20" s="4">
        <f t="shared" si="3"/>
        <v>7.7358537038888882</v>
      </c>
      <c r="V20" s="4">
        <f t="shared" si="0"/>
        <v>0.77898023000051075</v>
      </c>
      <c r="W20" s="4">
        <f t="shared" si="1"/>
        <v>0.77904348189660955</v>
      </c>
      <c r="X20" s="4">
        <f t="shared" si="2"/>
        <v>1.96</v>
      </c>
      <c r="Z20" t="s">
        <v>35</v>
      </c>
    </row>
    <row r="21" spans="1:31" x14ac:dyDescent="0.3">
      <c r="A21" t="s">
        <v>27</v>
      </c>
      <c r="B21">
        <v>2</v>
      </c>
      <c r="C21">
        <v>6</v>
      </c>
      <c r="D21">
        <v>2</v>
      </c>
      <c r="E21">
        <v>10232024</v>
      </c>
      <c r="F21" s="5">
        <v>0.45416666666666666</v>
      </c>
      <c r="G21" s="5">
        <v>0.50138888888888888</v>
      </c>
      <c r="H21" t="s">
        <v>28</v>
      </c>
      <c r="I21">
        <v>32.92</v>
      </c>
      <c r="J21">
        <v>6.0000000000000001E-3</v>
      </c>
      <c r="K21">
        <v>25</v>
      </c>
      <c r="R21">
        <v>0.06</v>
      </c>
      <c r="S21">
        <f>959907+712944+315399+25575</f>
        <v>2013825</v>
      </c>
      <c r="U21" s="4">
        <f t="shared" si="3"/>
        <v>9.0224953958333334</v>
      </c>
      <c r="V21" s="4">
        <f t="shared" si="0"/>
        <v>33.783870364243242</v>
      </c>
      <c r="W21" s="4">
        <f t="shared" si="1"/>
        <v>33.786613558198361</v>
      </c>
      <c r="X21" s="4">
        <f t="shared" si="2"/>
        <v>0.06</v>
      </c>
      <c r="Z21" t="s">
        <v>35</v>
      </c>
    </row>
    <row r="22" spans="1:31" x14ac:dyDescent="0.3">
      <c r="A22" t="s">
        <v>27</v>
      </c>
      <c r="B22">
        <v>2</v>
      </c>
      <c r="C22">
        <v>7</v>
      </c>
      <c r="D22">
        <v>1</v>
      </c>
      <c r="E22">
        <v>10292024</v>
      </c>
      <c r="F22" s="5">
        <v>0.36458333333333331</v>
      </c>
      <c r="G22" s="5">
        <v>0.38541666666666669</v>
      </c>
      <c r="H22" t="s">
        <v>28</v>
      </c>
      <c r="I22">
        <v>14.53</v>
      </c>
      <c r="J22">
        <v>0.02</v>
      </c>
      <c r="K22">
        <v>25</v>
      </c>
      <c r="R22">
        <v>0.39400000000000002</v>
      </c>
      <c r="S22">
        <f>406101+245400+54438</f>
        <v>705939</v>
      </c>
      <c r="U22" s="4">
        <f t="shared" si="3"/>
        <v>3.1628028141666666</v>
      </c>
      <c r="V22" s="4">
        <f t="shared" si="0"/>
        <v>6.4777587678543345</v>
      </c>
      <c r="W22" s="4">
        <f t="shared" si="1"/>
        <v>6.4782847510677168</v>
      </c>
      <c r="X22" s="4">
        <f t="shared" si="2"/>
        <v>0.39400000000000002</v>
      </c>
      <c r="Z22" t="s">
        <v>35</v>
      </c>
    </row>
    <row r="23" spans="1:31" x14ac:dyDescent="0.3">
      <c r="A23" t="s">
        <v>27</v>
      </c>
      <c r="B23">
        <v>2</v>
      </c>
      <c r="C23">
        <v>8</v>
      </c>
      <c r="D23">
        <v>1</v>
      </c>
      <c r="E23">
        <v>10292024</v>
      </c>
      <c r="F23" s="5">
        <v>0.63472222222222219</v>
      </c>
      <c r="G23" s="5">
        <v>0.6645833333333333</v>
      </c>
      <c r="H23" t="s">
        <v>28</v>
      </c>
      <c r="I23">
        <v>29.16</v>
      </c>
      <c r="J23">
        <v>0.03</v>
      </c>
      <c r="K23">
        <v>25</v>
      </c>
      <c r="R23">
        <v>0.05</v>
      </c>
      <c r="S23">
        <f>679974+285186+174309+63108</f>
        <v>1202577</v>
      </c>
      <c r="U23" s="4">
        <f t="shared" si="3"/>
        <v>5.3878790091666673</v>
      </c>
      <c r="V23" s="4">
        <f t="shared" si="0"/>
        <v>60.134980657279534</v>
      </c>
      <c r="W23" s="4"/>
      <c r="X23" s="4">
        <f t="shared" si="2"/>
        <v>0.05</v>
      </c>
      <c r="Z23" t="s">
        <v>35</v>
      </c>
    </row>
    <row r="24" spans="1:31" x14ac:dyDescent="0.3">
      <c r="A24" t="s">
        <v>27</v>
      </c>
      <c r="B24">
        <v>2</v>
      </c>
      <c r="C24">
        <v>9</v>
      </c>
      <c r="D24">
        <v>1</v>
      </c>
      <c r="E24">
        <v>10292024</v>
      </c>
      <c r="F24" s="5">
        <v>0.68055555555555558</v>
      </c>
      <c r="G24" s="5">
        <v>0.70416666666666672</v>
      </c>
      <c r="H24" t="s">
        <v>28</v>
      </c>
      <c r="I24">
        <v>9.5</v>
      </c>
      <c r="J24">
        <v>0.05</v>
      </c>
      <c r="K24">
        <v>24</v>
      </c>
      <c r="R24" s="8">
        <v>0.25800000000000001</v>
      </c>
      <c r="S24">
        <f>664089+263538</f>
        <v>927627</v>
      </c>
      <c r="U24" s="4">
        <f t="shared" si="3"/>
        <v>4.1560266341666665</v>
      </c>
      <c r="V24" s="4">
        <f t="shared" si="0"/>
        <v>4.9221299128522844</v>
      </c>
      <c r="W24" s="4">
        <f>V24/(0.88862*(1/POWER(10,(1.3272*(20-K24)-0.001053*(K24-20)^2)/(K24+105))))</f>
        <v>5.0367789985377067</v>
      </c>
      <c r="X24" s="4">
        <f t="shared" si="2"/>
        <v>0.25800000000000001</v>
      </c>
      <c r="Z24" t="s">
        <v>34</v>
      </c>
    </row>
    <row r="25" spans="1:31" x14ac:dyDescent="0.3">
      <c r="A25" t="s">
        <v>27</v>
      </c>
      <c r="B25">
        <v>2</v>
      </c>
      <c r="C25">
        <v>10</v>
      </c>
      <c r="D25">
        <v>2</v>
      </c>
      <c r="E25">
        <v>31102024</v>
      </c>
      <c r="F25" s="5">
        <v>0.41944444444444445</v>
      </c>
      <c r="G25" s="5">
        <v>0.44097222222222221</v>
      </c>
      <c r="H25" t="s">
        <v>28</v>
      </c>
      <c r="I25" s="9">
        <v>1</v>
      </c>
      <c r="J25" s="9">
        <v>1.34</v>
      </c>
      <c r="K25">
        <v>22</v>
      </c>
      <c r="R25">
        <v>0.63500000000000001</v>
      </c>
      <c r="S25">
        <f>841923+510489+93468+76281</f>
        <v>1522161</v>
      </c>
      <c r="U25" s="4">
        <f t="shared" si="3"/>
        <v>6.8197041025000003</v>
      </c>
      <c r="V25" s="4">
        <f t="shared" si="0"/>
        <v>0.12828865087408184</v>
      </c>
      <c r="W25" s="4">
        <f>V25/(0.88862*(1/POWER(10,(1.3272*(20-K25)-0.001053*(K25-20)^2)/(K25+105))))</f>
        <v>0.13757458189717575</v>
      </c>
      <c r="X25" s="4">
        <f t="shared" si="2"/>
        <v>0.63500000000000001</v>
      </c>
      <c r="Z25" t="s">
        <v>33</v>
      </c>
    </row>
    <row r="26" spans="1:31" x14ac:dyDescent="0.3">
      <c r="A26" t="s">
        <v>27</v>
      </c>
      <c r="B26">
        <v>2</v>
      </c>
      <c r="C26">
        <v>11</v>
      </c>
      <c r="D26">
        <v>1</v>
      </c>
      <c r="E26">
        <v>31102024</v>
      </c>
      <c r="F26" s="5">
        <v>0.43055555555555558</v>
      </c>
      <c r="G26" s="5">
        <v>0.46388888888888891</v>
      </c>
      <c r="H26" t="s">
        <v>28</v>
      </c>
      <c r="I26">
        <v>7.23</v>
      </c>
      <c r="J26" s="9">
        <v>7.0000000000000007E-2</v>
      </c>
      <c r="K26">
        <v>22</v>
      </c>
      <c r="R26">
        <v>0.89</v>
      </c>
      <c r="S26">
        <f>336668+191234+97488+12270</f>
        <v>637660</v>
      </c>
      <c r="U26" s="4">
        <f t="shared" si="3"/>
        <v>2.8568939277777776</v>
      </c>
      <c r="V26" s="4">
        <f t="shared" si="0"/>
        <v>1.5797256490172571</v>
      </c>
      <c r="W26" s="4">
        <f>V26/(0.88862*(1/POWER(10,(1.3272*(20-K26)-0.001053*(K26-20)^2)/(K26+105))))</f>
        <v>1.694071098222929</v>
      </c>
      <c r="X26" s="4">
        <f t="shared" si="2"/>
        <v>0.89</v>
      </c>
      <c r="Z26" t="s">
        <v>33</v>
      </c>
    </row>
    <row r="27" spans="1:31" x14ac:dyDescent="0.3">
      <c r="A27" t="s">
        <v>27</v>
      </c>
      <c r="B27">
        <v>2</v>
      </c>
      <c r="C27">
        <v>12</v>
      </c>
      <c r="E27">
        <v>1112024</v>
      </c>
      <c r="F27" s="5">
        <v>0.4597222222222222</v>
      </c>
      <c r="G27" s="5">
        <v>0.47499999999999998</v>
      </c>
      <c r="H27" t="s">
        <v>28</v>
      </c>
      <c r="I27">
        <v>32.57</v>
      </c>
      <c r="J27">
        <v>2.5000000000000001E-2</v>
      </c>
      <c r="K27">
        <v>25</v>
      </c>
      <c r="R27">
        <v>1.4770000000000001</v>
      </c>
      <c r="S27">
        <f>693572+299597+149838+15127</f>
        <v>1158134</v>
      </c>
      <c r="U27" s="4">
        <f t="shared" si="3"/>
        <v>5.1887620238888887</v>
      </c>
      <c r="V27" s="4">
        <f t="shared" si="0"/>
        <v>2.3610272816336555</v>
      </c>
      <c r="W27" s="4">
        <f>V27/(0.88862*(1/POWER(10,(1.3272*(20-K27)-0.001053*(K27-20)^2)/(K27+105))))</f>
        <v>2.3612189931130394</v>
      </c>
      <c r="X27" s="4">
        <f t="shared" si="2"/>
        <v>1.4770000000000001</v>
      </c>
      <c r="Z27" t="s">
        <v>35</v>
      </c>
    </row>
    <row r="28" spans="1:31" x14ac:dyDescent="0.3">
      <c r="A28" t="s">
        <v>27</v>
      </c>
      <c r="B28">
        <v>2</v>
      </c>
      <c r="C28">
        <v>13</v>
      </c>
      <c r="E28">
        <v>1112024</v>
      </c>
      <c r="F28" s="5">
        <v>0.44930555555555557</v>
      </c>
      <c r="G28" s="5">
        <v>0.47361111111111109</v>
      </c>
      <c r="H28" t="s">
        <v>28</v>
      </c>
      <c r="I28">
        <v>27.9</v>
      </c>
      <c r="J28">
        <v>0.02</v>
      </c>
      <c r="K28">
        <v>24</v>
      </c>
      <c r="R28">
        <v>0.39300000000000002</v>
      </c>
      <c r="S28">
        <f>1201677+733659+346472+23738</f>
        <v>2305546</v>
      </c>
      <c r="U28" s="4">
        <f t="shared" si="3"/>
        <v>10.329486509444443</v>
      </c>
      <c r="V28" s="4">
        <f t="shared" si="0"/>
        <v>3.8182153126663207</v>
      </c>
      <c r="W28" s="4">
        <f>V28/(0.88862*(1/POWER(10,(1.3272*(20-K28)-0.001053*(K28-20)^2)/(K28+105))))</f>
        <v>3.9071513834929439</v>
      </c>
      <c r="X28" s="4">
        <f t="shared" si="2"/>
        <v>0.39300000000000002</v>
      </c>
      <c r="Z28" t="s">
        <v>35</v>
      </c>
    </row>
    <row r="29" spans="1:31" x14ac:dyDescent="0.3">
      <c r="A29" t="s">
        <v>27</v>
      </c>
      <c r="B29">
        <v>1</v>
      </c>
      <c r="C29">
        <v>14</v>
      </c>
      <c r="E29">
        <v>11052024</v>
      </c>
      <c r="F29" s="5">
        <v>0.40902777777777777</v>
      </c>
      <c r="G29" s="5">
        <v>0.42569444444444443</v>
      </c>
      <c r="I29">
        <v>41.2</v>
      </c>
      <c r="J29">
        <v>0.05</v>
      </c>
      <c r="K29">
        <v>26</v>
      </c>
      <c r="R29" s="10">
        <v>1.7569999999999999</v>
      </c>
      <c r="S29">
        <f>970585+271027+38180</f>
        <v>1279792</v>
      </c>
      <c r="U29" s="4">
        <f t="shared" ref="U29:U30" si="4">S29/(1200^2)*2.54^2</f>
        <v>5.7338236577777781</v>
      </c>
      <c r="V29" s="4">
        <f t="shared" ref="V29:V30" si="5">I29*0.000001/18*1000/R29/(U29/10000)</f>
        <v>2.2720015181271536</v>
      </c>
      <c r="W29" s="4">
        <f t="shared" ref="W29:W30" si="6">V29/(0.88862*(1/POWER(10,(1.3272*(20-K29)-0.001053*(K29-20)^2)/(K29+105))))</f>
        <v>2.2213417198360363</v>
      </c>
      <c r="X29" s="4">
        <f t="shared" si="2"/>
        <v>1.7569999999999999</v>
      </c>
      <c r="Z29" t="s">
        <v>36</v>
      </c>
    </row>
    <row r="30" spans="1:31" x14ac:dyDescent="0.3">
      <c r="A30" t="s">
        <v>27</v>
      </c>
      <c r="B30">
        <v>2</v>
      </c>
      <c r="C30">
        <v>14</v>
      </c>
      <c r="E30">
        <v>11052024</v>
      </c>
      <c r="F30" s="5">
        <v>0.40486111111111112</v>
      </c>
      <c r="G30" s="5">
        <v>0.42569444444444443</v>
      </c>
      <c r="I30">
        <v>11.76</v>
      </c>
      <c r="J30">
        <v>0.03</v>
      </c>
      <c r="K30">
        <v>26</v>
      </c>
      <c r="R30">
        <v>0.83299999999999996</v>
      </c>
      <c r="S30">
        <f>728773+107895+147482</f>
        <v>984150</v>
      </c>
      <c r="U30" s="4">
        <f t="shared" si="4"/>
        <v>4.4092653750000004</v>
      </c>
      <c r="V30" s="4">
        <f t="shared" si="5"/>
        <v>1.7787854864376267</v>
      </c>
      <c r="W30" s="4">
        <f t="shared" si="6"/>
        <v>1.7391231388436081</v>
      </c>
      <c r="X30" s="4">
        <f t="shared" si="2"/>
        <v>0.83299999999999996</v>
      </c>
    </row>
  </sheetData>
  <autoFilter ref="A1:AE23" xr:uid="{E3FF746F-B21E-4AE2-A531-A971B17E5B05}">
    <sortState xmlns:xlrd2="http://schemas.microsoft.com/office/spreadsheetml/2017/richdata2" ref="A2:AE28">
      <sortCondition ref="B1:B23"/>
    </sortState>
  </autoFilter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4BB3-47FF-4DAF-9632-D6C75923AEEE}">
  <dimension ref="A1:AE26"/>
  <sheetViews>
    <sheetView topLeftCell="A5" workbookViewId="0">
      <selection activeCell="E3" sqref="E3:E26"/>
    </sheetView>
  </sheetViews>
  <sheetFormatPr baseColWidth="10" defaultRowHeight="14.4" x14ac:dyDescent="0.3"/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>
        <f>AVERAGE(K6,K7)</f>
        <v>26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>
        <f>V2/(0.88862*(1/POWER(10,(1.3272*(20-K2)-0.001053*(K2-20)^2)/(K2+105))))</f>
        <v>7.197195434330494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37</v>
      </c>
      <c r="B3">
        <v>1</v>
      </c>
      <c r="C3">
        <v>1</v>
      </c>
      <c r="D3">
        <v>2</v>
      </c>
      <c r="E3">
        <v>11052024</v>
      </c>
      <c r="F3" s="5">
        <v>0.43402777777777779</v>
      </c>
      <c r="G3" s="5">
        <v>0.45</v>
      </c>
      <c r="H3" t="s">
        <v>28</v>
      </c>
      <c r="I3">
        <v>76.03</v>
      </c>
      <c r="J3">
        <v>0.04</v>
      </c>
      <c r="K3">
        <v>28</v>
      </c>
      <c r="R3">
        <v>0.92400000000000004</v>
      </c>
      <c r="S3">
        <f>3742239+1736196+274185</f>
        <v>5752620</v>
      </c>
      <c r="U3" s="4">
        <f>S3/(1200^2)*2.54^2</f>
        <v>25.773335549999999</v>
      </c>
      <c r="V3" s="4">
        <f>I3*0.000001/18*1000/R3/(U3/10000)</f>
        <v>1.7736580166117932</v>
      </c>
      <c r="W3" s="4">
        <f>V3/(0.88862*(1/POWER(10,(1.3272*(20-K3)-0.001053*(K3-20)^2)/(K3+105))))</f>
        <v>1.6588820843428438</v>
      </c>
      <c r="X3" s="4">
        <f>MAX(Q3:R3)</f>
        <v>0.92400000000000004</v>
      </c>
    </row>
    <row r="4" spans="1:31" x14ac:dyDescent="0.3">
      <c r="A4" t="s">
        <v>37</v>
      </c>
      <c r="B4">
        <v>3</v>
      </c>
      <c r="C4">
        <v>1</v>
      </c>
      <c r="D4">
        <v>1</v>
      </c>
      <c r="E4">
        <v>11052024</v>
      </c>
      <c r="F4" s="5">
        <v>0.44583333333333336</v>
      </c>
      <c r="G4" s="5">
        <v>0.4597222222222222</v>
      </c>
      <c r="I4">
        <v>151.93</v>
      </c>
      <c r="J4">
        <v>0.02</v>
      </c>
      <c r="K4">
        <v>25</v>
      </c>
      <c r="R4">
        <v>6.9000000000000006E-2</v>
      </c>
      <c r="S4">
        <f>2819618+740109+62919</f>
        <v>3622646</v>
      </c>
      <c r="U4" s="4">
        <f t="shared" ref="U4:U17" si="0">S4/(1200^2)*2.54^2</f>
        <v>16.230460370555555</v>
      </c>
      <c r="V4" s="4">
        <f t="shared" ref="V4:V17" si="1">I4*0.000001/18*1000/R4/(U4/10000)</f>
        <v>75.368713712779083</v>
      </c>
      <c r="W4" s="4">
        <f t="shared" ref="W4:W17" si="2">V4/(0.88862*(1/POWER(10,(1.3272*(20-K4)-0.001053*(K4-20)^2)/(K4+105))))</f>
        <v>75.374833526691248</v>
      </c>
      <c r="X4" s="4">
        <f t="shared" ref="X4:X17" si="3">MAX(Q4:R4)</f>
        <v>6.9000000000000006E-2</v>
      </c>
    </row>
    <row r="5" spans="1:31" x14ac:dyDescent="0.3">
      <c r="A5" t="s">
        <v>37</v>
      </c>
      <c r="B5">
        <v>3</v>
      </c>
      <c r="C5">
        <v>2</v>
      </c>
      <c r="D5">
        <v>2</v>
      </c>
      <c r="E5">
        <v>11052024</v>
      </c>
      <c r="F5" s="5">
        <v>0.45833333333333331</v>
      </c>
      <c r="G5" s="5">
        <v>0.47083333333333333</v>
      </c>
      <c r="I5">
        <v>57.03</v>
      </c>
      <c r="J5">
        <v>0.03</v>
      </c>
      <c r="K5">
        <v>29</v>
      </c>
      <c r="R5">
        <v>1.075</v>
      </c>
      <c r="S5">
        <f>4925019+4340568+566136+170205</f>
        <v>10001928</v>
      </c>
      <c r="U5" s="4">
        <f t="shared" si="0"/>
        <v>44.811415753333328</v>
      </c>
      <c r="V5" s="4">
        <f t="shared" si="1"/>
        <v>0.65770892799480229</v>
      </c>
      <c r="W5" s="4">
        <f t="shared" si="2"/>
        <v>0.6019228638124352</v>
      </c>
      <c r="X5" s="4">
        <f t="shared" si="3"/>
        <v>1.075</v>
      </c>
    </row>
    <row r="6" spans="1:31" x14ac:dyDescent="0.3">
      <c r="A6" t="s">
        <v>37</v>
      </c>
      <c r="B6">
        <v>2</v>
      </c>
      <c r="C6">
        <v>1</v>
      </c>
      <c r="D6">
        <v>1</v>
      </c>
      <c r="E6">
        <v>11052024</v>
      </c>
      <c r="F6" s="5">
        <v>0.46875</v>
      </c>
      <c r="G6" s="5">
        <v>0.4826388888888889</v>
      </c>
      <c r="I6">
        <v>123.23</v>
      </c>
      <c r="J6">
        <v>0.04</v>
      </c>
      <c r="K6">
        <v>26</v>
      </c>
      <c r="R6">
        <v>9.8000000000000004E-2</v>
      </c>
      <c r="S6">
        <f>2960525+1858284+185796</f>
        <v>5004605</v>
      </c>
      <c r="U6" s="4">
        <f t="shared" si="0"/>
        <v>22.422020568055558</v>
      </c>
      <c r="V6" s="4">
        <f t="shared" si="1"/>
        <v>31.156102293259579</v>
      </c>
      <c r="W6" s="4">
        <f t="shared" si="2"/>
        <v>30.46140123557058</v>
      </c>
      <c r="X6" s="4">
        <f t="shared" si="3"/>
        <v>9.8000000000000004E-2</v>
      </c>
    </row>
    <row r="7" spans="1:31" x14ac:dyDescent="0.3">
      <c r="A7" t="s">
        <v>37</v>
      </c>
      <c r="B7">
        <v>3</v>
      </c>
      <c r="C7">
        <v>3</v>
      </c>
      <c r="D7">
        <v>1</v>
      </c>
      <c r="E7">
        <v>11052024</v>
      </c>
      <c r="F7" s="5">
        <v>0.50555555555555554</v>
      </c>
      <c r="G7" s="5">
        <v>0.5180555555555556</v>
      </c>
      <c r="I7">
        <v>164.5667</v>
      </c>
      <c r="J7">
        <v>0.05</v>
      </c>
      <c r="K7">
        <v>26</v>
      </c>
      <c r="R7">
        <v>0.95899999999999996</v>
      </c>
      <c r="S7">
        <f>4835739+3175523+449619</f>
        <v>8460881</v>
      </c>
      <c r="U7" s="4">
        <f t="shared" si="0"/>
        <v>37.90709712472222</v>
      </c>
      <c r="V7" s="4">
        <f t="shared" si="1"/>
        <v>2.5149555880289221</v>
      </c>
      <c r="W7" s="4">
        <f t="shared" si="2"/>
        <v>2.458878537998741</v>
      </c>
      <c r="X7" s="4">
        <f t="shared" si="3"/>
        <v>0.95899999999999996</v>
      </c>
    </row>
    <row r="8" spans="1:31" x14ac:dyDescent="0.3">
      <c r="A8" t="s">
        <v>37</v>
      </c>
      <c r="B8">
        <v>2</v>
      </c>
      <c r="C8">
        <v>2</v>
      </c>
      <c r="D8">
        <v>2</v>
      </c>
      <c r="E8">
        <v>11052024</v>
      </c>
      <c r="F8" s="5">
        <v>0.49513888888888891</v>
      </c>
      <c r="G8" s="5">
        <v>0.5131944444444444</v>
      </c>
      <c r="I8">
        <v>53.63</v>
      </c>
      <c r="J8">
        <v>0.06</v>
      </c>
      <c r="K8">
        <v>27</v>
      </c>
      <c r="R8">
        <v>1.0900000000000001</v>
      </c>
      <c r="S8">
        <f>4653196+1606899+337131</f>
        <v>6597226</v>
      </c>
      <c r="U8" s="4">
        <f t="shared" si="0"/>
        <v>29.557405042777781</v>
      </c>
      <c r="V8" s="4">
        <f t="shared" si="1"/>
        <v>0.92478864980754472</v>
      </c>
      <c r="W8" s="4">
        <f t="shared" si="2"/>
        <v>0.88420649912393312</v>
      </c>
      <c r="X8" s="4">
        <f t="shared" si="3"/>
        <v>1.0900000000000001</v>
      </c>
    </row>
    <row r="9" spans="1:31" x14ac:dyDescent="0.3">
      <c r="A9" t="s">
        <v>37</v>
      </c>
      <c r="B9">
        <v>3</v>
      </c>
      <c r="C9">
        <v>4</v>
      </c>
      <c r="D9">
        <v>2</v>
      </c>
      <c r="E9">
        <v>11052024</v>
      </c>
      <c r="F9" s="5">
        <v>0.52430555555555558</v>
      </c>
      <c r="G9" s="5">
        <v>0.53680555555555554</v>
      </c>
      <c r="I9">
        <v>224.1</v>
      </c>
      <c r="J9">
        <v>0.03</v>
      </c>
      <c r="K9">
        <v>27</v>
      </c>
      <c r="R9">
        <v>0.27800000000000002</v>
      </c>
      <c r="S9">
        <f>4626500+3749898+51222+51093+359223+219051</f>
        <v>9056987</v>
      </c>
      <c r="U9" s="4">
        <f t="shared" si="0"/>
        <v>40.577817589722223</v>
      </c>
      <c r="V9" s="4">
        <f t="shared" si="1"/>
        <v>11.036614416940372</v>
      </c>
      <c r="W9" s="4">
        <f t="shared" si="2"/>
        <v>10.552298839107099</v>
      </c>
      <c r="X9" s="4">
        <f t="shared" si="3"/>
        <v>0.27800000000000002</v>
      </c>
    </row>
    <row r="10" spans="1:31" x14ac:dyDescent="0.3">
      <c r="A10" t="s">
        <v>37</v>
      </c>
      <c r="B10">
        <v>1</v>
      </c>
      <c r="C10">
        <v>2</v>
      </c>
      <c r="D10">
        <v>2</v>
      </c>
      <c r="E10">
        <v>11052024</v>
      </c>
      <c r="F10" s="5">
        <v>0.55694444444444446</v>
      </c>
      <c r="G10" s="5">
        <v>0.57222222222222219</v>
      </c>
      <c r="I10">
        <v>164.23</v>
      </c>
      <c r="J10">
        <v>0.03</v>
      </c>
      <c r="K10">
        <v>23</v>
      </c>
      <c r="R10">
        <v>0.76</v>
      </c>
      <c r="S10">
        <f>3827186+2992989+427437+255441+200562</f>
        <v>7703615</v>
      </c>
      <c r="U10" s="4">
        <f t="shared" si="0"/>
        <v>34.514335093055557</v>
      </c>
      <c r="V10" s="4">
        <f t="shared" si="1"/>
        <v>3.4782987783762378</v>
      </c>
      <c r="W10" s="4">
        <f t="shared" si="2"/>
        <v>3.6430951275139472</v>
      </c>
      <c r="X10" s="4">
        <f t="shared" si="3"/>
        <v>0.76</v>
      </c>
    </row>
    <row r="11" spans="1:31" x14ac:dyDescent="0.3">
      <c r="A11" t="s">
        <v>37</v>
      </c>
      <c r="B11">
        <v>2</v>
      </c>
      <c r="C11">
        <v>3</v>
      </c>
      <c r="D11">
        <v>1</v>
      </c>
      <c r="E11">
        <v>11052024</v>
      </c>
      <c r="F11" s="5">
        <v>0.56597222222222221</v>
      </c>
      <c r="G11" s="5">
        <v>0.57986111111111116</v>
      </c>
      <c r="I11">
        <v>50.36</v>
      </c>
      <c r="J11">
        <v>0.02</v>
      </c>
      <c r="K11">
        <v>25</v>
      </c>
      <c r="R11">
        <v>0.92500000000000004</v>
      </c>
      <c r="S11">
        <f>5553959+2731359+102816+113724+387417</f>
        <v>8889275</v>
      </c>
      <c r="U11" s="4">
        <f t="shared" si="0"/>
        <v>39.826421243055556</v>
      </c>
      <c r="V11" s="4">
        <f t="shared" si="1"/>
        <v>0.75945177352635507</v>
      </c>
      <c r="W11" s="4">
        <f t="shared" si="2"/>
        <v>0.75951343974434249</v>
      </c>
      <c r="X11" s="4">
        <f t="shared" si="3"/>
        <v>0.92500000000000004</v>
      </c>
    </row>
    <row r="12" spans="1:31" x14ac:dyDescent="0.3">
      <c r="A12" t="s">
        <v>37</v>
      </c>
      <c r="B12">
        <v>1</v>
      </c>
      <c r="C12">
        <v>3</v>
      </c>
      <c r="D12">
        <v>2</v>
      </c>
      <c r="E12">
        <v>11052024</v>
      </c>
      <c r="F12" s="5">
        <v>0.57638888888888884</v>
      </c>
      <c r="G12" s="5">
        <v>0.59027777777777779</v>
      </c>
      <c r="I12">
        <v>173.56</v>
      </c>
      <c r="J12">
        <v>0.01</v>
      </c>
      <c r="K12">
        <v>26</v>
      </c>
      <c r="R12">
        <v>0.21099999999999999</v>
      </c>
      <c r="S12">
        <f>3911688+2586837+234777</f>
        <v>6733302</v>
      </c>
      <c r="U12" s="4">
        <f t="shared" si="0"/>
        <v>30.167063321666664</v>
      </c>
      <c r="V12" s="4">
        <f t="shared" si="1"/>
        <v>15.148221476871813</v>
      </c>
      <c r="W12" s="4">
        <f t="shared" si="2"/>
        <v>14.810455045659179</v>
      </c>
      <c r="X12" s="4">
        <f t="shared" si="3"/>
        <v>0.21099999999999999</v>
      </c>
    </row>
    <row r="13" spans="1:31" x14ac:dyDescent="0.3">
      <c r="A13" t="s">
        <v>37</v>
      </c>
      <c r="B13">
        <v>1</v>
      </c>
      <c r="C13">
        <v>4</v>
      </c>
      <c r="D13">
        <v>1</v>
      </c>
      <c r="E13">
        <v>11052024</v>
      </c>
      <c r="F13" s="5">
        <v>0.58750000000000002</v>
      </c>
      <c r="G13" s="5">
        <v>0.60416666666666663</v>
      </c>
      <c r="I13">
        <v>156.56</v>
      </c>
      <c r="J13">
        <v>0.04</v>
      </c>
      <c r="K13">
        <v>25</v>
      </c>
      <c r="R13">
        <v>0.88400000000000001</v>
      </c>
      <c r="S13">
        <f>4606628+4315754+488439+348738</f>
        <v>9759559</v>
      </c>
      <c r="U13" s="4">
        <f t="shared" si="0"/>
        <v>43.725535308611114</v>
      </c>
      <c r="V13" s="4">
        <f t="shared" si="1"/>
        <v>2.2501988972322793</v>
      </c>
      <c r="W13" s="4">
        <f t="shared" si="2"/>
        <v>2.2503816096316034</v>
      </c>
      <c r="X13" s="4">
        <f t="shared" si="3"/>
        <v>0.88400000000000001</v>
      </c>
    </row>
    <row r="14" spans="1:31" x14ac:dyDescent="0.3">
      <c r="A14" t="s">
        <v>37</v>
      </c>
      <c r="B14">
        <v>1</v>
      </c>
      <c r="C14">
        <v>5</v>
      </c>
      <c r="D14">
        <v>2</v>
      </c>
      <c r="E14">
        <v>11052024</v>
      </c>
      <c r="F14" s="5">
        <v>0.59513888888888888</v>
      </c>
      <c r="G14" s="5">
        <v>0.60902777777777772</v>
      </c>
      <c r="I14">
        <v>132</v>
      </c>
      <c r="J14">
        <v>0.02</v>
      </c>
      <c r="K14">
        <v>26</v>
      </c>
      <c r="R14">
        <v>0.68799999999999994</v>
      </c>
      <c r="S14">
        <f>5509488+5131139+994746+337377</f>
        <v>11972750</v>
      </c>
      <c r="U14" s="4">
        <f t="shared" si="0"/>
        <v>53.64124576388889</v>
      </c>
      <c r="V14" s="4">
        <f t="shared" si="1"/>
        <v>1.9870744194866772</v>
      </c>
      <c r="W14" s="4">
        <f t="shared" si="2"/>
        <v>1.942767763669117</v>
      </c>
      <c r="X14" s="4">
        <f t="shared" si="3"/>
        <v>0.68799999999999994</v>
      </c>
    </row>
    <row r="15" spans="1:31" x14ac:dyDescent="0.3">
      <c r="A15" t="s">
        <v>37</v>
      </c>
      <c r="B15">
        <v>3</v>
      </c>
      <c r="C15">
        <v>5</v>
      </c>
      <c r="D15">
        <v>1</v>
      </c>
      <c r="E15">
        <v>11052024</v>
      </c>
      <c r="F15" s="5">
        <v>0.61250000000000004</v>
      </c>
      <c r="G15" s="5">
        <v>0.63055555555555554</v>
      </c>
      <c r="I15">
        <v>96.5</v>
      </c>
      <c r="J15">
        <v>0.04</v>
      </c>
      <c r="K15">
        <v>25</v>
      </c>
      <c r="R15">
        <v>6.3E-2</v>
      </c>
      <c r="S15">
        <f>3283770+1405266</f>
        <v>4689036</v>
      </c>
      <c r="U15" s="4">
        <f t="shared" si="0"/>
        <v>21.00818379</v>
      </c>
      <c r="V15" s="4">
        <f t="shared" si="1"/>
        <v>40.506596198084964</v>
      </c>
      <c r="W15" s="4">
        <f t="shared" si="2"/>
        <v>40.509885266170855</v>
      </c>
      <c r="X15" s="4">
        <f t="shared" si="3"/>
        <v>6.3E-2</v>
      </c>
    </row>
    <row r="16" spans="1:31" x14ac:dyDescent="0.3">
      <c r="A16" t="s">
        <v>37</v>
      </c>
      <c r="B16">
        <v>2</v>
      </c>
      <c r="C16">
        <v>4</v>
      </c>
      <c r="D16">
        <v>2</v>
      </c>
      <c r="E16">
        <v>11052024</v>
      </c>
      <c r="F16" s="5">
        <v>0.61527777777777781</v>
      </c>
      <c r="G16" s="5">
        <v>0.63263888888888886</v>
      </c>
      <c r="I16">
        <v>58.93</v>
      </c>
      <c r="J16">
        <v>0.04</v>
      </c>
      <c r="K16">
        <v>25</v>
      </c>
      <c r="R16">
        <v>6.7000000000000004E-2</v>
      </c>
      <c r="S16">
        <f>3146154+556854</f>
        <v>3703008</v>
      </c>
      <c r="U16" s="4">
        <f t="shared" si="0"/>
        <v>16.590504453333335</v>
      </c>
      <c r="V16" s="4">
        <f t="shared" si="1"/>
        <v>29.453000301736257</v>
      </c>
      <c r="W16" s="4">
        <f t="shared" si="2"/>
        <v>29.455391836261956</v>
      </c>
      <c r="X16" s="4">
        <f t="shared" si="3"/>
        <v>6.7000000000000004E-2</v>
      </c>
    </row>
    <row r="17" spans="1:26" x14ac:dyDescent="0.3">
      <c r="A17" t="s">
        <v>37</v>
      </c>
      <c r="B17">
        <v>2</v>
      </c>
      <c r="C17">
        <v>5</v>
      </c>
      <c r="D17">
        <v>1</v>
      </c>
      <c r="E17">
        <v>11052024</v>
      </c>
      <c r="F17" s="5">
        <v>0.63611111111111107</v>
      </c>
      <c r="G17" s="5">
        <v>0.65</v>
      </c>
      <c r="I17">
        <v>79.3</v>
      </c>
      <c r="J17">
        <v>0.01</v>
      </c>
      <c r="K17">
        <v>25</v>
      </c>
      <c r="R17">
        <v>0.11700000000000001</v>
      </c>
      <c r="S17">
        <f>4107921+4268460+352713+688113</f>
        <v>9417207</v>
      </c>
      <c r="U17" s="4">
        <f t="shared" si="0"/>
        <v>42.191703250833335</v>
      </c>
      <c r="V17" s="4">
        <f t="shared" si="1"/>
        <v>8.9245794993854837</v>
      </c>
      <c r="W17" s="4">
        <f t="shared" si="2"/>
        <v>8.9253041603633623</v>
      </c>
      <c r="X17" s="4">
        <f t="shared" si="3"/>
        <v>0.11700000000000001</v>
      </c>
    </row>
    <row r="18" spans="1:26" x14ac:dyDescent="0.3">
      <c r="A18" s="9" t="s">
        <v>37</v>
      </c>
      <c r="B18" s="9">
        <v>3</v>
      </c>
      <c r="C18" s="9">
        <v>7</v>
      </c>
      <c r="D18" s="9">
        <v>1</v>
      </c>
      <c r="E18">
        <v>11062024</v>
      </c>
      <c r="F18" s="5">
        <v>0.45277777777777778</v>
      </c>
      <c r="G18" s="5">
        <v>0.46944444444444444</v>
      </c>
      <c r="I18">
        <v>81.93</v>
      </c>
      <c r="J18">
        <v>0.03</v>
      </c>
      <c r="K18">
        <v>26</v>
      </c>
      <c r="U18" s="4">
        <f t="shared" ref="U18:U26" si="4">S18/(1200^2)*2.54^2</f>
        <v>0</v>
      </c>
      <c r="V18" s="4" t="e">
        <f t="shared" ref="V18:V26" si="5">I18*0.000001/18*1000/R18/(U18/10000)</f>
        <v>#DIV/0!</v>
      </c>
      <c r="W18" s="4" t="e">
        <f t="shared" ref="W18:W26" si="6">V18/(0.88862*(1/POWER(10,(1.3272*(20-K18)-0.001053*(K18-20)^2)/(K18+105))))</f>
        <v>#DIV/0!</v>
      </c>
      <c r="X18" s="4">
        <f t="shared" ref="X18:X26" si="7">MAX(Q18:R18)</f>
        <v>0</v>
      </c>
      <c r="Z18" t="s">
        <v>38</v>
      </c>
    </row>
    <row r="19" spans="1:26" x14ac:dyDescent="0.3">
      <c r="A19" t="s">
        <v>37</v>
      </c>
      <c r="B19">
        <v>3</v>
      </c>
      <c r="C19">
        <v>6</v>
      </c>
      <c r="D19">
        <v>2</v>
      </c>
      <c r="E19">
        <v>11062024</v>
      </c>
      <c r="F19" s="5">
        <v>0.44583333333333336</v>
      </c>
      <c r="G19" s="5">
        <v>0.46041666666666664</v>
      </c>
      <c r="I19">
        <v>93.93</v>
      </c>
      <c r="J19">
        <v>0.05</v>
      </c>
      <c r="K19">
        <v>27</v>
      </c>
      <c r="R19">
        <v>1.0640000000000001</v>
      </c>
      <c r="S19">
        <f>4488064+3975008+820142+388906+446306</f>
        <v>10118426</v>
      </c>
      <c r="U19" s="4">
        <f t="shared" si="4"/>
        <v>45.333359153888885</v>
      </c>
      <c r="V19" s="4">
        <f t="shared" si="5"/>
        <v>1.0818630503213351</v>
      </c>
      <c r="W19" s="4">
        <f t="shared" si="6"/>
        <v>1.0343880631052735</v>
      </c>
      <c r="X19" s="4">
        <f t="shared" si="7"/>
        <v>1.0640000000000001</v>
      </c>
    </row>
    <row r="20" spans="1:26" x14ac:dyDescent="0.3">
      <c r="A20" t="s">
        <v>37</v>
      </c>
      <c r="B20">
        <v>1</v>
      </c>
      <c r="C20">
        <v>7</v>
      </c>
      <c r="D20">
        <v>1</v>
      </c>
      <c r="E20">
        <v>11062024</v>
      </c>
      <c r="F20" s="5">
        <v>0.47291666666666665</v>
      </c>
      <c r="G20" s="5">
        <v>0.4861111111111111</v>
      </c>
      <c r="I20">
        <v>56</v>
      </c>
      <c r="J20">
        <v>0.04</v>
      </c>
      <c r="K20">
        <v>26</v>
      </c>
      <c r="R20">
        <v>0.58299999999999996</v>
      </c>
      <c r="S20">
        <f>3148502+973545+623022</f>
        <v>4745069</v>
      </c>
      <c r="U20" s="4">
        <f t="shared" si="4"/>
        <v>21.259227194722225</v>
      </c>
      <c r="V20" s="4">
        <f t="shared" si="5"/>
        <v>2.5101489560251102</v>
      </c>
      <c r="W20" s="4">
        <f t="shared" si="6"/>
        <v>2.4541790815429341</v>
      </c>
      <c r="X20" s="4">
        <f t="shared" si="7"/>
        <v>0.58299999999999996</v>
      </c>
    </row>
    <row r="21" spans="1:26" x14ac:dyDescent="0.3">
      <c r="A21" t="s">
        <v>37</v>
      </c>
      <c r="B21">
        <v>1</v>
      </c>
      <c r="C21">
        <v>6</v>
      </c>
      <c r="D21">
        <v>2</v>
      </c>
      <c r="E21">
        <v>11062024</v>
      </c>
      <c r="F21" s="5">
        <v>0.4826388888888889</v>
      </c>
      <c r="G21" s="5">
        <v>0.49652777777777779</v>
      </c>
      <c r="I21">
        <v>50.66</v>
      </c>
      <c r="J21">
        <v>0.04</v>
      </c>
      <c r="K21">
        <v>27</v>
      </c>
      <c r="R21">
        <v>1.012</v>
      </c>
      <c r="S21">
        <f>4433450+4827611+725994+513558</f>
        <v>10500613</v>
      </c>
      <c r="U21" s="4">
        <f t="shared" si="4"/>
        <v>47.045663076944443</v>
      </c>
      <c r="V21" s="4">
        <f t="shared" si="5"/>
        <v>0.5911430307339689</v>
      </c>
      <c r="W21" s="4">
        <f t="shared" si="6"/>
        <v>0.56520212461038577</v>
      </c>
      <c r="X21" s="4">
        <f t="shared" si="7"/>
        <v>1.012</v>
      </c>
    </row>
    <row r="22" spans="1:26" x14ac:dyDescent="0.3">
      <c r="A22" t="s">
        <v>37</v>
      </c>
      <c r="B22">
        <v>3</v>
      </c>
      <c r="C22">
        <v>8</v>
      </c>
      <c r="D22">
        <v>1</v>
      </c>
      <c r="E22">
        <v>11062024</v>
      </c>
      <c r="F22" s="5">
        <v>0.49652777777777779</v>
      </c>
      <c r="G22" s="5">
        <v>0.51111111111111107</v>
      </c>
      <c r="I22">
        <v>44.1</v>
      </c>
      <c r="J22">
        <v>0.04</v>
      </c>
      <c r="K22">
        <v>27</v>
      </c>
      <c r="R22">
        <v>1.129</v>
      </c>
      <c r="S22">
        <f>4187364+1348485+875083</f>
        <v>6410932</v>
      </c>
      <c r="U22" s="4">
        <f t="shared" si="4"/>
        <v>28.722756174444445</v>
      </c>
      <c r="V22" s="4">
        <f t="shared" si="5"/>
        <v>0.75552011394444563</v>
      </c>
      <c r="W22" s="4">
        <f t="shared" si="6"/>
        <v>0.72236591042456721</v>
      </c>
      <c r="X22" s="4">
        <f t="shared" si="7"/>
        <v>1.129</v>
      </c>
    </row>
    <row r="23" spans="1:26" x14ac:dyDescent="0.3">
      <c r="A23" t="s">
        <v>37</v>
      </c>
      <c r="B23">
        <v>2</v>
      </c>
      <c r="C23">
        <v>6</v>
      </c>
      <c r="D23">
        <v>2</v>
      </c>
      <c r="E23">
        <v>11062024</v>
      </c>
      <c r="F23" s="5">
        <v>0.50208333333333333</v>
      </c>
      <c r="G23" s="5">
        <v>0.51597222222222228</v>
      </c>
      <c r="I23">
        <v>180.83</v>
      </c>
      <c r="J23">
        <v>0.04</v>
      </c>
      <c r="K23">
        <v>27</v>
      </c>
      <c r="R23">
        <v>0.86399999999999999</v>
      </c>
      <c r="S23">
        <f>4228048+3603816+468196+357866</f>
        <v>8657926</v>
      </c>
      <c r="U23" s="4">
        <f t="shared" si="4"/>
        <v>38.789913459444442</v>
      </c>
      <c r="V23" s="4">
        <f t="shared" si="5"/>
        <v>2.9975430153497418</v>
      </c>
      <c r="W23" s="4">
        <f t="shared" si="6"/>
        <v>2.8660029684916339</v>
      </c>
      <c r="X23" s="4">
        <f t="shared" si="7"/>
        <v>0.86399999999999999</v>
      </c>
    </row>
    <row r="24" spans="1:26" x14ac:dyDescent="0.3">
      <c r="A24" t="s">
        <v>37</v>
      </c>
      <c r="B24">
        <v>2</v>
      </c>
      <c r="C24">
        <v>7</v>
      </c>
      <c r="D24">
        <v>1</v>
      </c>
      <c r="E24">
        <v>11062024</v>
      </c>
      <c r="F24" s="5">
        <v>0.51875000000000004</v>
      </c>
      <c r="G24" s="5">
        <v>0.53125</v>
      </c>
      <c r="I24">
        <v>96.1</v>
      </c>
      <c r="J24">
        <v>0.04</v>
      </c>
      <c r="K24">
        <v>26</v>
      </c>
      <c r="R24">
        <v>0.93500000000000005</v>
      </c>
      <c r="S24">
        <f>3786410+4326989+1369523+275086</f>
        <v>9758008</v>
      </c>
      <c r="U24" s="4">
        <f t="shared" si="4"/>
        <v>43.718586397777777</v>
      </c>
      <c r="V24" s="4">
        <f t="shared" si="5"/>
        <v>1.306090169622862</v>
      </c>
      <c r="W24" s="4">
        <f t="shared" si="6"/>
        <v>1.2769677134910338</v>
      </c>
      <c r="X24" s="4">
        <f t="shared" si="7"/>
        <v>0.93500000000000005</v>
      </c>
    </row>
    <row r="25" spans="1:26" x14ac:dyDescent="0.3">
      <c r="A25" t="s">
        <v>37</v>
      </c>
      <c r="B25">
        <v>2</v>
      </c>
      <c r="C25">
        <v>8</v>
      </c>
      <c r="D25">
        <v>2</v>
      </c>
      <c r="E25">
        <v>11062024</v>
      </c>
      <c r="F25" s="5">
        <v>0.55277777777777781</v>
      </c>
      <c r="G25" s="5">
        <v>0.57152777777777775</v>
      </c>
      <c r="I25">
        <v>79.260000000000005</v>
      </c>
      <c r="J25">
        <v>0.04</v>
      </c>
      <c r="K25">
        <v>27</v>
      </c>
      <c r="R25">
        <v>1.127</v>
      </c>
      <c r="S25">
        <f>4994664+3526503+116244+2064552</f>
        <v>10701963</v>
      </c>
      <c r="U25" s="4">
        <f t="shared" si="4"/>
        <v>47.947767007500005</v>
      </c>
      <c r="V25" s="4">
        <f t="shared" si="5"/>
        <v>0.81487174741789281</v>
      </c>
      <c r="W25" s="4">
        <f t="shared" si="6"/>
        <v>0.77911303860543846</v>
      </c>
      <c r="X25" s="4">
        <f t="shared" si="7"/>
        <v>1.127</v>
      </c>
    </row>
    <row r="26" spans="1:26" x14ac:dyDescent="0.3">
      <c r="A26" t="s">
        <v>37</v>
      </c>
      <c r="B26">
        <v>1</v>
      </c>
      <c r="C26">
        <v>8</v>
      </c>
      <c r="D26">
        <v>1</v>
      </c>
      <c r="E26">
        <v>11062024</v>
      </c>
      <c r="F26" s="5">
        <v>0.55069444444444449</v>
      </c>
      <c r="G26" s="5">
        <v>0.56527777777777777</v>
      </c>
      <c r="I26">
        <v>185.96</v>
      </c>
      <c r="J26">
        <v>0.04</v>
      </c>
      <c r="K26">
        <v>26</v>
      </c>
      <c r="R26">
        <v>0.13100000000000001</v>
      </c>
      <c r="S26">
        <f>3250811+599022+1320192</f>
        <v>5170025</v>
      </c>
      <c r="U26" s="4">
        <f t="shared" si="4"/>
        <v>23.163148118055556</v>
      </c>
      <c r="V26" s="4">
        <f t="shared" si="5"/>
        <v>34.046945257322065</v>
      </c>
      <c r="W26" s="4">
        <f t="shared" si="6"/>
        <v>33.287785826572019</v>
      </c>
      <c r="X26" s="4">
        <f t="shared" si="7"/>
        <v>0.13100000000000001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146E-6B5C-415F-9192-209A980B6A9A}">
  <dimension ref="A1:AE18"/>
  <sheetViews>
    <sheetView tabSelected="1" workbookViewId="0">
      <selection activeCell="S19" sqref="S19"/>
    </sheetView>
  </sheetViews>
  <sheetFormatPr baseColWidth="10" defaultRowHeight="14.4" x14ac:dyDescent="0.3"/>
  <cols>
    <col min="2" max="2" width="9.33203125" bestFit="1" customWidth="1"/>
    <col min="3" max="3" width="4.5546875" bestFit="1" customWidth="1"/>
    <col min="5" max="5" width="9" bestFit="1" customWidth="1"/>
    <col min="6" max="6" width="9.21875" bestFit="1" customWidth="1"/>
    <col min="7" max="7" width="8.44140625" bestFit="1" customWidth="1"/>
    <col min="8" max="8" width="6" bestFit="1" customWidth="1"/>
    <col min="9" max="9" width="7" bestFit="1" customWidth="1"/>
    <col min="10" max="10" width="5" bestFit="1" customWidth="1"/>
    <col min="11" max="11" width="8.6640625" bestFit="1" customWidth="1"/>
    <col min="12" max="17" width="0" hidden="1" customWidth="1"/>
    <col min="18" max="18" width="15.33203125" bestFit="1" customWidth="1"/>
    <col min="20" max="20" width="0" hidden="1" customWidth="1"/>
  </cols>
  <sheetData>
    <row r="1" spans="1:31" x14ac:dyDescent="0.3">
      <c r="A1" s="6" t="s">
        <v>0</v>
      </c>
      <c r="B1" s="7" t="s">
        <v>21</v>
      </c>
      <c r="C1" s="6" t="s">
        <v>22</v>
      </c>
      <c r="D1" s="6" t="s">
        <v>29</v>
      </c>
      <c r="E1" s="6" t="s">
        <v>30</v>
      </c>
      <c r="F1" s="6" t="s">
        <v>23</v>
      </c>
      <c r="G1" s="6" t="s">
        <v>24</v>
      </c>
      <c r="H1" s="6" t="s">
        <v>25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Z1" s="6" t="s">
        <v>31</v>
      </c>
      <c r="AB1" s="1" t="s">
        <v>7</v>
      </c>
      <c r="AC1" s="1" t="s">
        <v>8</v>
      </c>
      <c r="AD1" s="1" t="s">
        <v>9</v>
      </c>
      <c r="AE1" s="1" t="s">
        <v>10</v>
      </c>
    </row>
    <row r="2" spans="1:31" s="8" customFormat="1" x14ac:dyDescent="0.3">
      <c r="A2" s="8" t="s">
        <v>26</v>
      </c>
      <c r="B2" s="8">
        <v>1</v>
      </c>
      <c r="C2" s="8">
        <v>1</v>
      </c>
      <c r="D2" s="8">
        <v>2</v>
      </c>
      <c r="E2" s="8">
        <v>10222024</v>
      </c>
      <c r="F2" s="11">
        <v>0.50208333333333333</v>
      </c>
      <c r="G2" s="11">
        <v>0.52152777777777781</v>
      </c>
      <c r="H2" s="8" t="s">
        <v>28</v>
      </c>
      <c r="I2" s="8">
        <v>25.26</v>
      </c>
      <c r="J2" s="8">
        <v>0.01</v>
      </c>
      <c r="K2" s="12" t="e">
        <f>AVERAGE(#REF!,#REF!)</f>
        <v>#REF!</v>
      </c>
      <c r="M2" s="12"/>
      <c r="Q2" s="13"/>
      <c r="R2" s="8">
        <v>0.155</v>
      </c>
      <c r="S2" s="8">
        <f>917270+813318+608426+406146</f>
        <v>2745160</v>
      </c>
      <c r="U2" s="13">
        <f>S2/(1200^2)*2.54^2</f>
        <v>12.299079344444445</v>
      </c>
      <c r="V2" s="13">
        <f>I2*0.000001/18*1000/R2/(U2/10000)</f>
        <v>7.3613342814556653</v>
      </c>
      <c r="W2" s="13" t="e">
        <f>V2/(0.88862*(1/POWER(10,(1.3272*(20-K2)-0.001053*(K2-20)^2)/(K2+105))))</f>
        <v>#REF!</v>
      </c>
      <c r="X2" s="13">
        <f>MAX(Q2:R2)</f>
        <v>0.155</v>
      </c>
      <c r="Z2" s="8" t="s">
        <v>35</v>
      </c>
      <c r="AB2" s="14"/>
      <c r="AC2" s="14"/>
      <c r="AD2" s="13"/>
      <c r="AE2" s="13"/>
    </row>
    <row r="3" spans="1:31" x14ac:dyDescent="0.3">
      <c r="A3" t="s">
        <v>39</v>
      </c>
      <c r="B3">
        <v>2</v>
      </c>
      <c r="C3">
        <v>1</v>
      </c>
      <c r="D3">
        <v>2</v>
      </c>
      <c r="E3">
        <v>11072024</v>
      </c>
      <c r="F3" s="5">
        <v>0.37708333333333333</v>
      </c>
      <c r="G3" s="5">
        <v>0.39513888888888887</v>
      </c>
      <c r="H3" t="s">
        <v>28</v>
      </c>
      <c r="I3">
        <v>44.13</v>
      </c>
      <c r="J3">
        <v>0.06</v>
      </c>
      <c r="K3">
        <v>26</v>
      </c>
      <c r="R3">
        <v>1.468</v>
      </c>
      <c r="S3">
        <f>5281756+1344062+349298</f>
        <v>6975116</v>
      </c>
      <c r="U3" s="15">
        <f t="shared" ref="U3:U8" si="0">S3/(1200^2)*2.54^2</f>
        <v>31.250457212222223</v>
      </c>
      <c r="V3" s="15">
        <f t="shared" ref="V3:V8" si="1">I3*0.000001/18*1000/R3/(U3/10000)</f>
        <v>0.53441543266890212</v>
      </c>
      <c r="W3" s="15">
        <f t="shared" ref="W3:W8" si="2">V3/(0.88862*(1/POWER(10,(1.3272*(20-K3)-0.001053*(K3-20)^2)/(K3+105))))</f>
        <v>0.52249934114930507</v>
      </c>
      <c r="X3" s="15">
        <f t="shared" ref="X3:X10" si="3">MAX(Q3:R3)</f>
        <v>1.468</v>
      </c>
    </row>
    <row r="4" spans="1:31" x14ac:dyDescent="0.3">
      <c r="A4" t="s">
        <v>39</v>
      </c>
      <c r="B4">
        <v>2</v>
      </c>
      <c r="C4">
        <v>2</v>
      </c>
      <c r="D4">
        <v>1</v>
      </c>
      <c r="E4">
        <v>11072024</v>
      </c>
      <c r="F4" s="5">
        <v>0.38680555555555557</v>
      </c>
      <c r="G4" s="5">
        <v>0.40694444444444444</v>
      </c>
      <c r="H4" t="s">
        <v>28</v>
      </c>
      <c r="I4">
        <v>171.56</v>
      </c>
      <c r="J4">
        <v>0.03</v>
      </c>
      <c r="K4">
        <v>26</v>
      </c>
      <c r="R4">
        <v>0.185</v>
      </c>
      <c r="S4">
        <f>5045502+685140</f>
        <v>5730642</v>
      </c>
      <c r="U4" s="15">
        <f t="shared" si="0"/>
        <v>25.674868005</v>
      </c>
      <c r="V4" s="15">
        <f t="shared" si="1"/>
        <v>20.066128289145034</v>
      </c>
      <c r="W4" s="15">
        <f t="shared" si="2"/>
        <v>19.618705167504814</v>
      </c>
      <c r="X4" s="15">
        <f t="shared" si="3"/>
        <v>0.185</v>
      </c>
    </row>
    <row r="5" spans="1:31" x14ac:dyDescent="0.3">
      <c r="A5" t="s">
        <v>39</v>
      </c>
      <c r="B5">
        <v>3</v>
      </c>
      <c r="C5">
        <v>1</v>
      </c>
      <c r="D5">
        <v>2</v>
      </c>
      <c r="E5">
        <v>11072024</v>
      </c>
      <c r="F5" s="5">
        <v>0.40347222222222223</v>
      </c>
      <c r="G5" s="5">
        <v>0.42222222222222222</v>
      </c>
      <c r="H5" t="s">
        <v>28</v>
      </c>
      <c r="I5">
        <v>117.17</v>
      </c>
      <c r="J5">
        <v>0.03</v>
      </c>
      <c r="K5">
        <v>26</v>
      </c>
      <c r="R5">
        <v>0.49099999999999999</v>
      </c>
      <c r="S5">
        <f>8063160+963144+1127600</f>
        <v>10153904</v>
      </c>
      <c r="U5" s="15">
        <f t="shared" si="0"/>
        <v>45.492310448888887</v>
      </c>
      <c r="V5" s="15">
        <f t="shared" si="1"/>
        <v>2.9142341191190404</v>
      </c>
      <c r="W5" s="15">
        <f t="shared" si="2"/>
        <v>2.8492541833796667</v>
      </c>
      <c r="X5" s="15">
        <f t="shared" si="3"/>
        <v>0.49099999999999999</v>
      </c>
    </row>
    <row r="6" spans="1:31" x14ac:dyDescent="0.3">
      <c r="A6" t="s">
        <v>39</v>
      </c>
      <c r="B6">
        <v>3</v>
      </c>
      <c r="C6">
        <v>2</v>
      </c>
      <c r="D6">
        <v>1</v>
      </c>
      <c r="E6">
        <v>11072024</v>
      </c>
      <c r="F6" s="5">
        <v>0.41111111111111109</v>
      </c>
      <c r="G6" s="5">
        <v>0.43333333333333335</v>
      </c>
      <c r="H6" t="s">
        <v>28</v>
      </c>
      <c r="I6">
        <v>110.97</v>
      </c>
      <c r="J6">
        <v>0.05</v>
      </c>
      <c r="K6">
        <v>25</v>
      </c>
      <c r="R6">
        <v>0.246</v>
      </c>
      <c r="S6">
        <f>6778726+1491326+1245354</f>
        <v>9515406</v>
      </c>
      <c r="U6" s="15">
        <f t="shared" si="0"/>
        <v>42.631662048333332</v>
      </c>
      <c r="V6" s="15">
        <f t="shared" si="1"/>
        <v>5.8784889928390314</v>
      </c>
      <c r="W6" s="15">
        <f t="shared" si="2"/>
        <v>5.8789663163456787</v>
      </c>
      <c r="X6" s="15">
        <f t="shared" si="3"/>
        <v>0.246</v>
      </c>
    </row>
    <row r="7" spans="1:31" x14ac:dyDescent="0.3">
      <c r="A7" t="s">
        <v>39</v>
      </c>
      <c r="B7">
        <v>1</v>
      </c>
      <c r="C7">
        <v>1</v>
      </c>
      <c r="D7">
        <v>2</v>
      </c>
      <c r="E7">
        <v>11072024</v>
      </c>
      <c r="F7" s="5">
        <v>0.44374999999999998</v>
      </c>
      <c r="G7" s="5">
        <v>0.45833333333333331</v>
      </c>
      <c r="H7" t="s">
        <v>28</v>
      </c>
      <c r="I7">
        <v>23.6</v>
      </c>
      <c r="J7">
        <v>0.05</v>
      </c>
      <c r="K7">
        <v>26</v>
      </c>
      <c r="R7">
        <v>1.32</v>
      </c>
      <c r="S7">
        <f>3760147+962550</f>
        <v>4722697</v>
      </c>
      <c r="U7" s="15">
        <f t="shared" si="0"/>
        <v>21.158994420277779</v>
      </c>
      <c r="V7" s="15">
        <f t="shared" si="1"/>
        <v>0.46942967777055328</v>
      </c>
      <c r="W7" s="15">
        <f t="shared" si="2"/>
        <v>0.45896260167135966</v>
      </c>
      <c r="X7" s="15">
        <f t="shared" si="3"/>
        <v>1.32</v>
      </c>
    </row>
    <row r="8" spans="1:31" x14ac:dyDescent="0.3">
      <c r="A8" t="s">
        <v>39</v>
      </c>
      <c r="B8">
        <v>2</v>
      </c>
      <c r="C8">
        <v>3</v>
      </c>
      <c r="D8">
        <v>1</v>
      </c>
      <c r="E8">
        <v>11072024</v>
      </c>
      <c r="F8" s="5">
        <v>0.47361111111111109</v>
      </c>
      <c r="G8" s="5">
        <v>0.48749999999999999</v>
      </c>
      <c r="H8" t="s">
        <v>28</v>
      </c>
      <c r="I8">
        <v>44.57</v>
      </c>
      <c r="J8">
        <v>0.04</v>
      </c>
      <c r="K8">
        <v>25</v>
      </c>
      <c r="R8">
        <v>0.86</v>
      </c>
      <c r="S8">
        <f>3183813+662040+666150</f>
        <v>4512003</v>
      </c>
      <c r="U8" s="15">
        <f t="shared" si="0"/>
        <v>20.215026774166667</v>
      </c>
      <c r="V8" s="15">
        <f t="shared" si="1"/>
        <v>1.4242864966608282</v>
      </c>
      <c r="W8" s="15">
        <f t="shared" si="2"/>
        <v>1.42440214635004</v>
      </c>
      <c r="X8" s="15">
        <f t="shared" si="3"/>
        <v>0.86</v>
      </c>
    </row>
    <row r="9" spans="1:31" x14ac:dyDescent="0.3">
      <c r="A9" t="s">
        <v>39</v>
      </c>
      <c r="B9">
        <v>1</v>
      </c>
      <c r="C9">
        <v>2</v>
      </c>
      <c r="D9">
        <v>2</v>
      </c>
      <c r="E9">
        <v>11082024</v>
      </c>
      <c r="F9" s="5">
        <v>0.38124999999999998</v>
      </c>
      <c r="G9" s="5">
        <v>0.39583333333333331</v>
      </c>
      <c r="H9" t="s">
        <v>28</v>
      </c>
      <c r="I9">
        <v>58.06</v>
      </c>
      <c r="J9">
        <v>0.06</v>
      </c>
      <c r="K9">
        <v>26</v>
      </c>
      <c r="R9">
        <v>1.617</v>
      </c>
      <c r="S9">
        <f>6463264+2334373+298439</f>
        <v>9096076</v>
      </c>
      <c r="U9" s="15">
        <f t="shared" ref="U9:U13" si="4">S9/(1200^2)*2.54^2</f>
        <v>40.752947167777776</v>
      </c>
      <c r="V9" s="15">
        <f t="shared" ref="V9:V13" si="5">I9*0.000001/18*1000/R9/(U9/10000)</f>
        <v>0.48948060145221556</v>
      </c>
      <c r="W9" s="15">
        <f t="shared" ref="W9:W13" si="6">V9/(0.88862*(1/POWER(10,(1.3272*(20-K9)-0.001053*(K9-20)^2)/(K9+105))))</f>
        <v>0.47856644125507602</v>
      </c>
      <c r="X9" s="15">
        <f t="shared" ref="X9:X16" si="7">MAX(Q9:R9)</f>
        <v>1.617</v>
      </c>
    </row>
    <row r="10" spans="1:31" x14ac:dyDescent="0.3">
      <c r="A10" t="s">
        <v>39</v>
      </c>
      <c r="B10">
        <v>3</v>
      </c>
      <c r="C10">
        <v>3</v>
      </c>
      <c r="D10">
        <v>2</v>
      </c>
      <c r="E10">
        <v>11082024</v>
      </c>
      <c r="F10" s="5">
        <v>0.40069444444444446</v>
      </c>
      <c r="G10" s="5">
        <v>0.41388888888888886</v>
      </c>
      <c r="H10" t="s">
        <v>28</v>
      </c>
      <c r="I10">
        <v>51.6</v>
      </c>
      <c r="J10">
        <v>0.03</v>
      </c>
      <c r="K10">
        <v>25</v>
      </c>
      <c r="R10">
        <v>0.91</v>
      </c>
      <c r="S10">
        <f>5584263+814566+317757</f>
        <v>6716586</v>
      </c>
      <c r="U10" s="15">
        <f t="shared" si="4"/>
        <v>30.09217099833333</v>
      </c>
      <c r="V10" s="15">
        <f t="shared" si="5"/>
        <v>1.0468447591759413</v>
      </c>
      <c r="W10" s="15">
        <f t="shared" si="6"/>
        <v>1.046929761225273</v>
      </c>
      <c r="X10" s="15">
        <f t="shared" si="7"/>
        <v>0.91</v>
      </c>
    </row>
    <row r="11" spans="1:31" x14ac:dyDescent="0.3">
      <c r="A11" t="s">
        <v>39</v>
      </c>
      <c r="B11">
        <v>1</v>
      </c>
      <c r="C11">
        <v>3</v>
      </c>
      <c r="D11">
        <v>1</v>
      </c>
      <c r="E11">
        <v>11082024</v>
      </c>
      <c r="F11" s="5">
        <v>0.3888888888888889</v>
      </c>
      <c r="G11" s="5">
        <v>0.40486111111111112</v>
      </c>
      <c r="H11" t="s">
        <v>28</v>
      </c>
      <c r="I11">
        <v>71.3</v>
      </c>
      <c r="J11">
        <v>0.03</v>
      </c>
      <c r="K11">
        <v>25</v>
      </c>
      <c r="R11">
        <v>0.51</v>
      </c>
      <c r="S11">
        <f>5946627+808257+468075+163144</f>
        <v>7386103</v>
      </c>
      <c r="U11" s="15">
        <f t="shared" si="4"/>
        <v>33.091793135277776</v>
      </c>
      <c r="V11" s="15">
        <f t="shared" si="5"/>
        <v>2.3470727318521951</v>
      </c>
      <c r="W11" s="15">
        <f t="shared" si="6"/>
        <v>2.3472633102453995</v>
      </c>
      <c r="X11" s="15">
        <f t="shared" si="7"/>
        <v>0.51</v>
      </c>
    </row>
    <row r="12" spans="1:31" x14ac:dyDescent="0.3">
      <c r="A12" t="s">
        <v>39</v>
      </c>
      <c r="B12">
        <v>2</v>
      </c>
      <c r="C12">
        <v>4</v>
      </c>
      <c r="D12">
        <v>1</v>
      </c>
      <c r="E12">
        <v>11082024</v>
      </c>
      <c r="F12" s="5">
        <v>0.40972222222222221</v>
      </c>
      <c r="G12" s="5">
        <v>0.4236111111111111</v>
      </c>
      <c r="H12" t="s">
        <v>28</v>
      </c>
      <c r="I12">
        <v>138.83000000000001</v>
      </c>
      <c r="J12">
        <v>0.04</v>
      </c>
      <c r="K12">
        <v>25</v>
      </c>
      <c r="R12">
        <v>1.268</v>
      </c>
      <c r="S12">
        <f>6214254+1622337+192996</f>
        <v>8029587</v>
      </c>
      <c r="U12" s="15">
        <f t="shared" ref="U12:U17" si="8">S12/(1200^2)*2.54^2</f>
        <v>35.974780200833337</v>
      </c>
      <c r="V12" s="15">
        <f t="shared" ref="V12:V17" si="9">I12*0.000001/18*1000/R12/(U12/10000)</f>
        <v>1.6908045811266819</v>
      </c>
      <c r="W12" s="15">
        <f t="shared" ref="W12:W17" si="10">V12/(0.88862*(1/POWER(10,(1.3272*(20-K12)-0.001053*(K12-20)^2)/(K12+105))))</f>
        <v>1.6909418716400608</v>
      </c>
      <c r="X12" s="15">
        <f t="shared" si="7"/>
        <v>1.268</v>
      </c>
    </row>
    <row r="13" spans="1:31" x14ac:dyDescent="0.3">
      <c r="A13" t="s">
        <v>39</v>
      </c>
      <c r="B13">
        <v>1</v>
      </c>
      <c r="C13">
        <v>4</v>
      </c>
      <c r="D13">
        <v>1</v>
      </c>
      <c r="E13">
        <v>11082024</v>
      </c>
      <c r="F13" s="5">
        <v>0.42986111111111114</v>
      </c>
      <c r="G13" s="5">
        <v>0.44444444444444442</v>
      </c>
      <c r="H13" t="s">
        <v>28</v>
      </c>
      <c r="I13">
        <v>191.83</v>
      </c>
      <c r="J13">
        <v>0.02</v>
      </c>
      <c r="K13">
        <v>25</v>
      </c>
      <c r="R13">
        <v>1.026</v>
      </c>
      <c r="S13">
        <f>5773559+603204+274922</f>
        <v>6651685</v>
      </c>
      <c r="U13" s="15">
        <f t="shared" si="8"/>
        <v>29.801396490277778</v>
      </c>
      <c r="V13" s="15">
        <f t="shared" si="9"/>
        <v>3.4854595372396737</v>
      </c>
      <c r="W13" s="15">
        <f t="shared" si="10"/>
        <v>3.4857425507437596</v>
      </c>
      <c r="X13" s="15">
        <f t="shared" si="7"/>
        <v>1.026</v>
      </c>
    </row>
    <row r="14" spans="1:31" x14ac:dyDescent="0.3">
      <c r="A14" t="s">
        <v>39</v>
      </c>
      <c r="B14">
        <v>1</v>
      </c>
      <c r="C14">
        <v>5</v>
      </c>
      <c r="D14">
        <v>2</v>
      </c>
      <c r="E14">
        <v>11082024</v>
      </c>
      <c r="F14" s="5">
        <v>0.42499999999999999</v>
      </c>
      <c r="G14" s="5">
        <v>0.43888888888888888</v>
      </c>
      <c r="H14" t="s">
        <v>28</v>
      </c>
      <c r="I14">
        <v>121.13</v>
      </c>
      <c r="J14">
        <v>0.04</v>
      </c>
      <c r="K14">
        <v>26</v>
      </c>
      <c r="R14">
        <v>0.67100000000000004</v>
      </c>
      <c r="S14">
        <f>5654817+473235+62206</f>
        <v>6190258</v>
      </c>
      <c r="U14" s="15">
        <f t="shared" si="8"/>
        <v>27.734075356111113</v>
      </c>
      <c r="V14" s="15">
        <f t="shared" si="9"/>
        <v>3.6161213881814085</v>
      </c>
      <c r="W14" s="15">
        <f t="shared" si="10"/>
        <v>3.5354911691169102</v>
      </c>
      <c r="X14" s="15">
        <f t="shared" si="7"/>
        <v>0.67100000000000004</v>
      </c>
    </row>
    <row r="15" spans="1:31" x14ac:dyDescent="0.3">
      <c r="A15" t="s">
        <v>39</v>
      </c>
      <c r="B15">
        <v>2</v>
      </c>
      <c r="C15">
        <v>5</v>
      </c>
      <c r="D15">
        <v>2</v>
      </c>
      <c r="E15">
        <v>11082024</v>
      </c>
      <c r="F15" s="5">
        <v>0.4548611111111111</v>
      </c>
      <c r="G15" s="5">
        <v>0.46805555555555556</v>
      </c>
      <c r="H15" t="s">
        <v>28</v>
      </c>
      <c r="I15">
        <v>59.97</v>
      </c>
      <c r="J15">
        <v>0.05</v>
      </c>
      <c r="K15">
        <v>26</v>
      </c>
      <c r="R15">
        <v>1.1100000000000001</v>
      </c>
      <c r="S15">
        <f>4607082+209598</f>
        <v>4816680</v>
      </c>
      <c r="U15" s="15">
        <f t="shared" si="8"/>
        <v>21.580064366666669</v>
      </c>
      <c r="V15" s="15">
        <f t="shared" si="9"/>
        <v>1.3908677242583791</v>
      </c>
      <c r="W15" s="15">
        <f t="shared" si="10"/>
        <v>1.3598549464066121</v>
      </c>
      <c r="X15" s="15">
        <f t="shared" si="7"/>
        <v>1.1100000000000001</v>
      </c>
    </row>
    <row r="16" spans="1:31" x14ac:dyDescent="0.3">
      <c r="A16" t="s">
        <v>39</v>
      </c>
      <c r="B16">
        <v>3</v>
      </c>
      <c r="C16">
        <v>4</v>
      </c>
      <c r="D16">
        <v>1</v>
      </c>
      <c r="E16">
        <v>11082024</v>
      </c>
      <c r="F16" s="5">
        <v>0.4548611111111111</v>
      </c>
      <c r="G16" s="5">
        <v>0.47291666666666665</v>
      </c>
      <c r="H16" t="s">
        <v>28</v>
      </c>
      <c r="I16">
        <v>101.23</v>
      </c>
      <c r="J16">
        <v>0.05</v>
      </c>
      <c r="K16">
        <v>25</v>
      </c>
      <c r="R16">
        <v>0.128</v>
      </c>
      <c r="S16">
        <f>4592508+1761562</f>
        <v>6354070</v>
      </c>
      <c r="U16" s="15">
        <f t="shared" si="8"/>
        <v>28.467998619444444</v>
      </c>
      <c r="V16" s="15">
        <f t="shared" si="9"/>
        <v>15.433691890948205</v>
      </c>
      <c r="W16" s="15">
        <f t="shared" si="10"/>
        <v>15.434945081001445</v>
      </c>
      <c r="X16" s="15">
        <f t="shared" si="7"/>
        <v>0.128</v>
      </c>
    </row>
    <row r="17" spans="1:24" x14ac:dyDescent="0.3">
      <c r="A17" t="s">
        <v>39</v>
      </c>
      <c r="B17">
        <v>1</v>
      </c>
      <c r="C17">
        <v>6</v>
      </c>
      <c r="D17">
        <v>2</v>
      </c>
      <c r="E17">
        <v>11082024</v>
      </c>
      <c r="F17" s="5">
        <v>0.4777777777777778</v>
      </c>
      <c r="G17" s="5">
        <v>0.49166666666666664</v>
      </c>
      <c r="H17" t="s">
        <v>28</v>
      </c>
      <c r="I17">
        <v>67</v>
      </c>
      <c r="J17">
        <v>0.04</v>
      </c>
      <c r="K17">
        <v>27</v>
      </c>
      <c r="R17">
        <v>1.57</v>
      </c>
      <c r="S17">
        <f>4791126+404936</f>
        <v>5196062</v>
      </c>
      <c r="U17" s="15">
        <f t="shared" ref="U17:U18" si="11">S17/(1200^2)*2.54^2</f>
        <v>23.279801110555557</v>
      </c>
      <c r="V17" s="15">
        <f t="shared" ref="V17:V18" si="12">I17*0.000001/18*1000/R17/(U17/10000)</f>
        <v>1.0184116988372323</v>
      </c>
      <c r="W17" s="15">
        <f t="shared" ref="W17:W18" si="13">V17/(0.88862*(1/POWER(10,(1.3272*(20-K17)-0.001053*(K17-20)^2)/(K17+105))))</f>
        <v>0.97372112328922322</v>
      </c>
      <c r="X17" s="15">
        <f t="shared" ref="X17:X18" si="14">MAX(Q17:R17)</f>
        <v>1.57</v>
      </c>
    </row>
    <row r="18" spans="1:24" x14ac:dyDescent="0.3">
      <c r="A18" t="s">
        <v>39</v>
      </c>
      <c r="B18">
        <v>2</v>
      </c>
      <c r="C18">
        <v>6</v>
      </c>
      <c r="D18">
        <v>1</v>
      </c>
      <c r="E18">
        <v>11082024</v>
      </c>
      <c r="F18" s="5">
        <v>0.48680555555555555</v>
      </c>
      <c r="G18" s="5">
        <v>0.51041666666666663</v>
      </c>
      <c r="H18" t="s">
        <v>28</v>
      </c>
      <c r="I18">
        <v>26.43</v>
      </c>
      <c r="J18">
        <v>0.05</v>
      </c>
      <c r="K18">
        <v>25</v>
      </c>
      <c r="R18">
        <v>0.13800000000000001</v>
      </c>
      <c r="S18">
        <f>4186731+1475286</f>
        <v>5662017</v>
      </c>
      <c r="U18" s="15">
        <f t="shared" si="11"/>
        <v>25.367408942499999</v>
      </c>
      <c r="V18" s="15">
        <f t="shared" si="12"/>
        <v>4.1943962989973738</v>
      </c>
      <c r="W18" s="15">
        <f t="shared" si="13"/>
        <v>4.1947368769847007</v>
      </c>
      <c r="X18" s="15">
        <f t="shared" si="14"/>
        <v>0.13800000000000001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CESE</vt:lpstr>
      <vt:lpstr>PADI</vt:lpstr>
      <vt:lpstr>AVSA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Scoffoni, Christine</dc:creator>
  <cp:lastModifiedBy>Marion BOISSEAUX</cp:lastModifiedBy>
  <dcterms:created xsi:type="dcterms:W3CDTF">2024-10-23T21:38:30Z</dcterms:created>
  <dcterms:modified xsi:type="dcterms:W3CDTF">2024-11-08T22:13:27Z</dcterms:modified>
</cp:coreProperties>
</file>