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Sean Amyot\Documents\0. Uwo 2019\4416 - Capstone\Link Budget\"/>
    </mc:Choice>
  </mc:AlternateContent>
  <xr:revisionPtr revIDLastSave="0" documentId="13_ncr:1_{E039E694-1E2A-46D2-81C4-B12636CB645E}" xr6:coauthVersionLast="36" xr6:coauthVersionMax="36" xr10:uidLastSave="{00000000-0000-0000-0000-000000000000}"/>
  <bookViews>
    <workbookView xWindow="0" yWindow="0" windowWidth="19200" windowHeight="7185" tabRatio="384" firstSheet="2" activeTab="3" xr2:uid="{293003C9-1163-4E50-8A98-C049B95988DD}"/>
  </bookViews>
  <sheets>
    <sheet name="Inputs" sheetId="1" r:id="rId1"/>
    <sheet name="Orbit" sheetId="24" r:id="rId2"/>
    <sheet name="Transmitters" sheetId="4" r:id="rId3"/>
    <sheet name="Receivers" sheetId="5" r:id="rId4"/>
    <sheet name="Modulation" sheetId="8" r:id="rId5"/>
    <sheet name="Doppler - Working" sheetId="26" r:id="rId6"/>
    <sheet name="Antennas" sheetId="17" r:id="rId7"/>
    <sheet name="Losses" sheetId="23" r:id="rId8"/>
    <sheet name="Uplink Budget" sheetId="19" r:id="rId9"/>
    <sheet name="Downlink Budget" sheetId="20" r:id="rId10"/>
    <sheet name="Sheet1" sheetId="25" r:id="rId11"/>
    <sheet name="Backend Data" sheetId="13"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V42" i="5" l="1"/>
  <c r="J43" i="26" l="1"/>
  <c r="E25" i="20" l="1"/>
  <c r="E23" i="20"/>
  <c r="I39" i="13" l="1"/>
  <c r="X13" i="8" s="1"/>
  <c r="K43" i="13"/>
  <c r="K44" i="13"/>
  <c r="K45" i="13"/>
  <c r="K46" i="13"/>
  <c r="K47" i="13"/>
  <c r="K48" i="13"/>
  <c r="K49" i="13"/>
  <c r="K50" i="13"/>
  <c r="K51" i="13"/>
  <c r="K52" i="13"/>
  <c r="K53" i="13"/>
  <c r="K54" i="13"/>
  <c r="K55" i="13"/>
  <c r="K56" i="13"/>
  <c r="K57" i="13"/>
  <c r="K42" i="13"/>
  <c r="E38" i="26"/>
  <c r="E32" i="26"/>
  <c r="E33" i="26"/>
  <c r="I33" i="26"/>
  <c r="J41" i="26"/>
  <c r="J40" i="26"/>
  <c r="I35" i="26"/>
  <c r="I34" i="26"/>
  <c r="I32" i="26"/>
  <c r="E31" i="26" l="1"/>
  <c r="F21" i="25"/>
  <c r="E35" i="26" l="1"/>
  <c r="D30" i="25"/>
  <c r="D29" i="25"/>
  <c r="E28" i="25"/>
  <c r="D26" i="25"/>
  <c r="D25" i="25"/>
  <c r="D24" i="25"/>
  <c r="D23" i="25"/>
  <c r="D21" i="25"/>
  <c r="E34" i="26" l="1"/>
  <c r="E27" i="20"/>
  <c r="E22" i="20"/>
  <c r="D8" i="25" l="1"/>
  <c r="H5" i="25"/>
  <c r="J7" i="25"/>
  <c r="S14" i="13"/>
  <c r="T49" i="4"/>
  <c r="S15" i="13"/>
  <c r="V28" i="24" l="1"/>
  <c r="W16" i="23" l="1"/>
  <c r="V17" i="13"/>
  <c r="V16" i="13"/>
  <c r="V15" i="13"/>
  <c r="V14" i="13"/>
  <c r="S17" i="13"/>
  <c r="S16" i="13"/>
  <c r="D40" i="13" l="1"/>
  <c r="D39" i="13"/>
  <c r="D38" i="13"/>
  <c r="D41" i="13" l="1"/>
  <c r="U100" i="23" s="1"/>
  <c r="E14" i="20" s="1"/>
  <c r="U103" i="23" l="1"/>
  <c r="U104" i="23" s="1"/>
  <c r="U57" i="23"/>
  <c r="E14" i="19" s="1"/>
  <c r="U60" i="23"/>
  <c r="D34" i="13"/>
  <c r="D33" i="13"/>
  <c r="D32" i="13"/>
  <c r="D31" i="13"/>
  <c r="Y38" i="23"/>
  <c r="U61" i="23" l="1"/>
  <c r="T32" i="24"/>
  <c r="T33" i="24" s="1"/>
  <c r="T31" i="24"/>
  <c r="T30" i="24"/>
  <c r="V27" i="24"/>
  <c r="T28" i="24"/>
  <c r="T27" i="24"/>
  <c r="T35" i="24" l="1"/>
  <c r="E15" i="19" s="1"/>
  <c r="E36" i="26"/>
  <c r="E37" i="26" s="1"/>
  <c r="T36" i="24"/>
  <c r="E15" i="20" s="1"/>
  <c r="D10" i="25" s="1"/>
  <c r="D37" i="20"/>
  <c r="D36" i="20"/>
  <c r="Y79" i="23"/>
  <c r="Y17" i="4"/>
  <c r="V26" i="1"/>
  <c r="E6" i="20" l="1"/>
  <c r="E7" i="20" s="1"/>
  <c r="E27" i="19"/>
  <c r="E22" i="19"/>
  <c r="E6" i="19"/>
  <c r="E8" i="20" l="1"/>
  <c r="D4" i="25" l="1"/>
  <c r="E13" i="20"/>
  <c r="W17" i="23"/>
  <c r="E17" i="20" s="1"/>
  <c r="E17" i="19"/>
  <c r="W9" i="23"/>
  <c r="W10" i="23" s="1"/>
  <c r="E21" i="19"/>
  <c r="E16" i="20" l="1"/>
  <c r="E16" i="19"/>
  <c r="T43" i="17"/>
  <c r="T42" i="17"/>
  <c r="T37" i="17"/>
  <c r="T36" i="17"/>
  <c r="AC14" i="17"/>
  <c r="AA14" i="17"/>
  <c r="AC12" i="17"/>
  <c r="AA12" i="17"/>
  <c r="W12" i="17"/>
  <c r="T21" i="4"/>
  <c r="AC43" i="17"/>
  <c r="W43" i="17"/>
  <c r="AC42" i="17"/>
  <c r="X42" i="17"/>
  <c r="W42" i="17"/>
  <c r="E10" i="20" s="1"/>
  <c r="AC37" i="17"/>
  <c r="AC36" i="17"/>
  <c r="U26" i="17"/>
  <c r="AC13" i="17"/>
  <c r="AA13" i="17"/>
  <c r="R26" i="1"/>
  <c r="V85" i="5"/>
  <c r="V72" i="5"/>
  <c r="T68" i="5"/>
  <c r="Y65" i="5"/>
  <c r="T63" i="5" s="1"/>
  <c r="V77" i="5" s="1"/>
  <c r="V40" i="5"/>
  <c r="Y23" i="5"/>
  <c r="V32" i="5" s="1"/>
  <c r="V35" i="5" s="1"/>
  <c r="Y53" i="4"/>
  <c r="V25" i="4"/>
  <c r="Y20" i="4"/>
  <c r="T16" i="4"/>
  <c r="V64" i="4" l="1"/>
  <c r="E9" i="20" s="1"/>
  <c r="E7" i="19"/>
  <c r="V32" i="4"/>
  <c r="D5" i="25"/>
  <c r="E24" i="19"/>
  <c r="E28" i="19" s="1"/>
  <c r="E23" i="19"/>
  <c r="D37" i="13"/>
  <c r="Y81" i="23" s="1"/>
  <c r="D30" i="13"/>
  <c r="Y36" i="23" s="1"/>
  <c r="V80" i="5"/>
  <c r="V87" i="5" s="1"/>
  <c r="W36" i="17"/>
  <c r="W37" i="17"/>
  <c r="E13" i="19"/>
  <c r="V31" i="4"/>
  <c r="E9" i="19" s="1"/>
  <c r="T50" i="4"/>
  <c r="T17" i="4"/>
  <c r="E8" i="19" s="1"/>
  <c r="E11" i="20" l="1"/>
  <c r="E40" i="26" s="1"/>
  <c r="E24" i="20"/>
  <c r="E26" i="20" s="1"/>
  <c r="V65" i="4"/>
  <c r="E41" i="26"/>
  <c r="E10" i="19"/>
  <c r="E11" i="19" s="1"/>
  <c r="E19" i="19" s="1"/>
  <c r="E26" i="19" s="1"/>
  <c r="E29" i="19" s="1"/>
  <c r="E34" i="19" s="1"/>
  <c r="E21" i="20"/>
  <c r="D6" i="25"/>
  <c r="E19" i="20"/>
  <c r="J2" i="25"/>
  <c r="E25" i="19"/>
  <c r="E28" i="20" l="1"/>
  <c r="E31" i="19"/>
  <c r="E33" i="19" s="1"/>
  <c r="E36" i="19" s="1"/>
  <c r="E35" i="19"/>
  <c r="E30" i="20" l="1"/>
  <c r="E31" i="20"/>
  <c r="G28" i="20"/>
  <c r="E32" i="20"/>
  <c r="D7" i="25"/>
  <c r="D9" i="25" s="1"/>
  <c r="D11" i="25" s="1"/>
  <c r="D14" i="25" s="1"/>
  <c r="H4" i="25"/>
  <c r="H6" i="25" s="1"/>
  <c r="H8" i="25" s="1"/>
  <c r="E33" i="20" l="1"/>
  <c r="E37" i="20" s="1"/>
  <c r="E34" i="20" l="1"/>
  <c r="E38" i="20"/>
  <c r="E36" i="20"/>
  <c r="E35" i="20"/>
  <c r="E39"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Sean Amyot</author>
  </authors>
  <commentList>
    <comment ref="T20" authorId="0" shapeId="0" xr:uid="{82132ABE-EDEB-4A51-8697-9556954103FC}">
      <text>
        <r>
          <rPr>
            <b/>
            <sz val="9"/>
            <color indexed="81"/>
            <rFont val="Tahoma"/>
            <family val="2"/>
          </rPr>
          <t>Sean Amyot:</t>
        </r>
        <r>
          <rPr>
            <sz val="9"/>
            <color indexed="81"/>
            <rFont val="Tahoma"/>
            <family val="2"/>
          </rPr>
          <t xml:space="preserve">
This is specific to the type of cable used &amp; frequency.</t>
        </r>
      </text>
    </comment>
    <comment ref="V25" authorId="0" shapeId="0" xr:uid="{66D6F130-78AC-4271-9AC2-05249DB9ECB7}">
      <text>
        <r>
          <rPr>
            <b/>
            <sz val="9"/>
            <color indexed="81"/>
            <rFont val="Tahoma"/>
            <family val="2"/>
          </rPr>
          <t>Sean Amyot:</t>
        </r>
        <r>
          <rPr>
            <sz val="9"/>
            <color indexed="81"/>
            <rFont val="Tahoma"/>
            <family val="2"/>
          </rPr>
          <t xml:space="preserve">
Connectors  X  0.05 dB/Con.</t>
        </r>
      </text>
    </comment>
    <comment ref="T53" authorId="0" shapeId="0" xr:uid="{34339318-7DE2-4437-ACF5-29EBBD393DF0}">
      <text>
        <r>
          <rPr>
            <b/>
            <sz val="9"/>
            <color indexed="81"/>
            <rFont val="Tahoma"/>
            <family val="2"/>
          </rPr>
          <t>Sean Amyot:</t>
        </r>
        <r>
          <rPr>
            <sz val="9"/>
            <color indexed="81"/>
            <rFont val="Tahoma"/>
            <family val="2"/>
          </rPr>
          <t xml:space="preserve">
This is specific to the type of cable used &amp; frequency.</t>
        </r>
      </text>
    </comment>
    <comment ref="V58" authorId="0" shapeId="0" xr:uid="{B2949D69-4530-409D-BB16-F9882B5D5BE0}">
      <text>
        <r>
          <rPr>
            <b/>
            <sz val="9"/>
            <color indexed="81"/>
            <rFont val="Tahoma"/>
            <family val="2"/>
          </rPr>
          <t>Sean Amyot:</t>
        </r>
        <r>
          <rPr>
            <sz val="9"/>
            <color indexed="81"/>
            <rFont val="Tahoma"/>
            <family val="2"/>
          </rPr>
          <t xml:space="preserve">
Connectors  X  0.05 dB/Con.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Sean Amyot</author>
  </authors>
  <commentList>
    <comment ref="T20" authorId="0" shapeId="0" xr:uid="{7A531A43-8EA4-49A4-8154-CF9BCD85AB0B}">
      <text>
        <r>
          <rPr>
            <b/>
            <sz val="9"/>
            <color indexed="81"/>
            <rFont val="Tahoma"/>
            <family val="2"/>
          </rPr>
          <t>Sean Amyot:</t>
        </r>
        <r>
          <rPr>
            <sz val="9"/>
            <color indexed="81"/>
            <rFont val="Tahoma"/>
            <family val="2"/>
          </rPr>
          <t xml:space="preserve">
This is specific to the type of cable used &amp; frequency.</t>
        </r>
      </text>
    </comment>
    <comment ref="V27" authorId="0" shapeId="0" xr:uid="{953EBE2D-0F76-4E57-8ACC-2B387DA4133C}">
      <text>
        <r>
          <rPr>
            <b/>
            <sz val="9"/>
            <color indexed="81"/>
            <rFont val="Tahoma"/>
            <family val="2"/>
          </rPr>
          <t>Sean Amyot:</t>
        </r>
        <r>
          <rPr>
            <sz val="9"/>
            <color indexed="81"/>
            <rFont val="Tahoma"/>
            <family val="2"/>
          </rPr>
          <t xml:space="preserve">
Connectors  X  0.05 dB/Con.</t>
        </r>
      </text>
    </comment>
    <comment ref="T62" authorId="0" shapeId="0" xr:uid="{F2631A54-29AD-4F07-A547-D18FD65372D1}">
      <text>
        <r>
          <rPr>
            <b/>
            <sz val="9"/>
            <color indexed="81"/>
            <rFont val="Tahoma"/>
            <family val="2"/>
          </rPr>
          <t>Sean Amyot:</t>
        </r>
        <r>
          <rPr>
            <sz val="9"/>
            <color indexed="81"/>
            <rFont val="Tahoma"/>
            <family val="2"/>
          </rPr>
          <t xml:space="preserve">
This is specific to the type of cable used &amp; frequency.</t>
        </r>
      </text>
    </comment>
    <comment ref="R65" authorId="0" shapeId="0" xr:uid="{AC1A5057-2BED-4B61-B75A-052FB6261AD5}">
      <text>
        <r>
          <rPr>
            <b/>
            <sz val="9"/>
            <color indexed="81"/>
            <rFont val="Tahoma"/>
            <family val="2"/>
          </rPr>
          <t>Sean Amyot:</t>
        </r>
        <r>
          <rPr>
            <sz val="9"/>
            <color indexed="81"/>
            <rFont val="Tahoma"/>
            <family val="2"/>
          </rPr>
          <t xml:space="preserve">
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
        </r>
      </text>
    </comment>
    <comment ref="T66" authorId="0" shapeId="0" xr:uid="{0C74FA73-2812-4C2F-ACE4-9AD0DDDC6235}">
      <text>
        <r>
          <rPr>
            <b/>
            <sz val="9"/>
            <color indexed="81"/>
            <rFont val="Tahoma"/>
            <family val="2"/>
          </rPr>
          <t>Sean Amyot:</t>
        </r>
        <r>
          <rPr>
            <sz val="9"/>
            <color indexed="81"/>
            <rFont val="Tahoma"/>
            <family val="2"/>
          </rPr>
          <t xml:space="preserve">
This is specific to the type of cable used &amp; frequency.</t>
        </r>
      </text>
    </comment>
    <comment ref="V72" authorId="0" shapeId="0" xr:uid="{50D4F51E-507E-46F5-A139-2D7DD5F9A0AD}">
      <text>
        <r>
          <rPr>
            <b/>
            <sz val="9"/>
            <color indexed="81"/>
            <rFont val="Tahoma"/>
            <family val="2"/>
          </rPr>
          <t>Sean Amyot:</t>
        </r>
        <r>
          <rPr>
            <sz val="9"/>
            <color indexed="81"/>
            <rFont val="Tahoma"/>
            <family val="2"/>
          </rPr>
          <t xml:space="preserve">
Connectors  X  0.05 dB/Con.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Sean Amyot</author>
  </authors>
  <commentList>
    <comment ref="V12" authorId="0" shapeId="0" xr:uid="{B19CDFCF-96F5-4CF5-BC99-F318AD0DB8AD}">
      <text>
        <r>
          <rPr>
            <b/>
            <sz val="9"/>
            <color indexed="81"/>
            <rFont val="Tahoma"/>
            <family val="2"/>
          </rPr>
          <t>Sean Amyot:</t>
        </r>
        <r>
          <rPr>
            <sz val="9"/>
            <color indexed="81"/>
            <rFont val="Tahoma"/>
            <family val="2"/>
          </rPr>
          <t xml:space="preserve">
Per plane (in V and H)</t>
        </r>
      </text>
    </comment>
    <comment ref="AF15" authorId="0" shapeId="0" xr:uid="{8E5DC136-E4D9-40AB-B39A-A8D37306B19F}">
      <text>
        <r>
          <rPr>
            <b/>
            <sz val="9"/>
            <color indexed="81"/>
            <rFont val="Tahoma"/>
            <family val="2"/>
          </rPr>
          <t>Sean Amyot:</t>
        </r>
        <r>
          <rPr>
            <sz val="9"/>
            <color indexed="81"/>
            <rFont val="Tahoma"/>
            <family val="2"/>
          </rPr>
          <t xml:space="preserve">
To determine antenna pointing losses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Sean Amyot</author>
  </authors>
  <commentList>
    <comment ref="R54" authorId="0" shapeId="0" xr:uid="{9B22893B-37F3-4555-B055-FD3F1C6B219D}">
      <text>
        <r>
          <rPr>
            <b/>
            <sz val="9"/>
            <color indexed="81"/>
            <rFont val="Tahoma"/>
            <family val="2"/>
          </rPr>
          <t xml:space="preserve">Sean Amyot:
</t>
        </r>
        <r>
          <rPr>
            <sz val="9"/>
            <color indexed="81"/>
            <rFont val="Tahoma"/>
            <family val="2"/>
          </rPr>
          <t>Axial Ratios:
Circular: 1.0
Elliptical: 2.0</t>
        </r>
      </text>
    </comment>
    <comment ref="R97" authorId="0" shapeId="0" xr:uid="{3B6198A8-8FBF-48F7-9F38-B9203705BBED}">
      <text>
        <r>
          <rPr>
            <b/>
            <sz val="9"/>
            <color indexed="81"/>
            <rFont val="Tahoma"/>
            <family val="2"/>
          </rPr>
          <t xml:space="preserve">Sean Amyot:
</t>
        </r>
        <r>
          <rPr>
            <sz val="9"/>
            <color indexed="81"/>
            <rFont val="Tahoma"/>
            <family val="2"/>
          </rPr>
          <t>Axial Ratios:
Circular: 1.0
Elliptical: 2.0</t>
        </r>
      </text>
    </comment>
  </commentList>
</comments>
</file>

<file path=xl/sharedStrings.xml><?xml version="1.0" encoding="utf-8"?>
<sst xmlns="http://schemas.openxmlformats.org/spreadsheetml/2006/main" count="699" uniqueCount="321">
  <si>
    <t>Password to unprotect sheets: 123</t>
  </si>
  <si>
    <t>Constants</t>
  </si>
  <si>
    <t>Value</t>
  </si>
  <si>
    <t>Unit</t>
  </si>
  <si>
    <t>Speed of light</t>
  </si>
  <si>
    <t>m/s</t>
  </si>
  <si>
    <t>Boltzmann constant</t>
  </si>
  <si>
    <t>dBW/K/Hz</t>
  </si>
  <si>
    <t>Radius of earth</t>
  </si>
  <si>
    <t>km</t>
  </si>
  <si>
    <t>Uplink Frequency</t>
  </si>
  <si>
    <t>MHz</t>
  </si>
  <si>
    <t>Downlink Frequency</t>
  </si>
  <si>
    <t>Orbital &amp; Payload Information</t>
  </si>
  <si>
    <t>Satellite Altitude</t>
  </si>
  <si>
    <t>Time per pass (transmission duration)</t>
  </si>
  <si>
    <t>s</t>
  </si>
  <si>
    <t>Passes per day</t>
  </si>
  <si>
    <t>passes</t>
  </si>
  <si>
    <t>Payload size (per image)</t>
  </si>
  <si>
    <t>kb</t>
  </si>
  <si>
    <t>Length of video desired to send</t>
  </si>
  <si>
    <t>Mb</t>
  </si>
  <si>
    <t>Worst case antenna elevation angle</t>
  </si>
  <si>
    <t>°</t>
  </si>
  <si>
    <t>Satellite receiver bandwidth</t>
  </si>
  <si>
    <t>kHz</t>
  </si>
  <si>
    <t>m</t>
  </si>
  <si>
    <t>Satellite altitude</t>
  </si>
  <si>
    <t>Radius of Earth</t>
  </si>
  <si>
    <t>GS antenna elevation angle (worst case)</t>
  </si>
  <si>
    <t>Slant Range (worst case distance)</t>
  </si>
  <si>
    <t>Uplink free-space path loss</t>
  </si>
  <si>
    <t>dB</t>
  </si>
  <si>
    <t>Downlink free-space path loss</t>
  </si>
  <si>
    <t>Uplink Transmitter (Ground Station)</t>
  </si>
  <si>
    <t>Power</t>
  </si>
  <si>
    <t xml:space="preserve">Transmitter Power </t>
  </si>
  <si>
    <t>W</t>
  </si>
  <si>
    <t>dBW</t>
  </si>
  <si>
    <t>Lengths</t>
  </si>
  <si>
    <t>dBm</t>
  </si>
  <si>
    <t>Line A length</t>
  </si>
  <si>
    <t>Line B length</t>
  </si>
  <si>
    <t>Cable Losses</t>
  </si>
  <si>
    <t>Line C length</t>
  </si>
  <si>
    <t>Cable loss/m</t>
  </si>
  <si>
    <t>dB/m</t>
  </si>
  <si>
    <t>Total line lengths</t>
  </si>
  <si>
    <t>Total cable losses</t>
  </si>
  <si>
    <t>Other Components</t>
  </si>
  <si>
    <t>No. of In-Line Connectors</t>
  </si>
  <si>
    <t>No.</t>
  </si>
  <si>
    <t>Connector Losses</t>
  </si>
  <si>
    <t>Filter Insertion Losses</t>
  </si>
  <si>
    <t>Insertion Loss of Other In-Line Devices</t>
  </si>
  <si>
    <t>Antenna Mismatch Losses</t>
  </si>
  <si>
    <t>Losses and Power Delivered to Antenna</t>
  </si>
  <si>
    <t>Total Losses</t>
  </si>
  <si>
    <t>Power Delivered</t>
  </si>
  <si>
    <t>Downlink Transmitter (Satellite)</t>
  </si>
  <si>
    <t>Uplink Receiver (Satellite)</t>
  </si>
  <si>
    <t>Cable Losses (A, B, C)</t>
  </si>
  <si>
    <t>Line Lengths (A, B, C)</t>
  </si>
  <si>
    <t>Bandpass Filter Insertion Loss</t>
  </si>
  <si>
    <t>Total In-Line Losses from Antenna to LNA</t>
  </si>
  <si>
    <t>Receiver Parameters</t>
  </si>
  <si>
    <t>Transmission Line Coefficient</t>
  </si>
  <si>
    <t>a</t>
  </si>
  <si>
    <t>Antenna or "Sky" Temperature</t>
  </si>
  <si>
    <r>
      <t>T</t>
    </r>
    <r>
      <rPr>
        <vertAlign val="subscript"/>
        <sz val="11"/>
        <color theme="1"/>
        <rFont val="Calibri"/>
        <family val="2"/>
        <scheme val="minor"/>
      </rPr>
      <t>A</t>
    </r>
  </si>
  <si>
    <t>K</t>
  </si>
  <si>
    <t>Satellite Temperature</t>
  </si>
  <si>
    <r>
      <t>T</t>
    </r>
    <r>
      <rPr>
        <vertAlign val="subscript"/>
        <sz val="11"/>
        <color theme="1"/>
        <rFont val="Calibri"/>
        <family val="2"/>
        <scheme val="minor"/>
      </rPr>
      <t>0</t>
    </r>
  </si>
  <si>
    <t>LNA Temperature</t>
  </si>
  <si>
    <r>
      <t>T</t>
    </r>
    <r>
      <rPr>
        <vertAlign val="subscript"/>
        <sz val="11"/>
        <color theme="1"/>
        <rFont val="Calibri"/>
        <family val="2"/>
        <scheme val="minor"/>
      </rPr>
      <t>LNA</t>
    </r>
  </si>
  <si>
    <t>LNA Gain</t>
  </si>
  <si>
    <r>
      <t>G</t>
    </r>
    <r>
      <rPr>
        <vertAlign val="subscript"/>
        <sz val="11"/>
        <color theme="1"/>
        <rFont val="Calibri"/>
        <family val="2"/>
        <scheme val="minor"/>
      </rPr>
      <t>LNA</t>
    </r>
  </si>
  <si>
    <t>Linear</t>
  </si>
  <si>
    <r>
      <t>2</t>
    </r>
    <r>
      <rPr>
        <vertAlign val="superscript"/>
        <sz val="11"/>
        <color theme="1"/>
        <rFont val="Calibri"/>
        <family val="2"/>
        <scheme val="minor"/>
      </rPr>
      <t>nd</t>
    </r>
    <r>
      <rPr>
        <sz val="11"/>
        <color theme="1"/>
        <rFont val="Calibri"/>
        <family val="2"/>
        <scheme val="minor"/>
      </rPr>
      <t xml:space="preserve"> Stage Temperature</t>
    </r>
  </si>
  <si>
    <r>
      <t>T</t>
    </r>
    <r>
      <rPr>
        <vertAlign val="subscript"/>
        <sz val="11"/>
        <color theme="1"/>
        <rFont val="Calibri"/>
        <family val="2"/>
        <scheme val="minor"/>
      </rPr>
      <t>2Stage</t>
    </r>
  </si>
  <si>
    <t>System Noise Temperature</t>
  </si>
  <si>
    <r>
      <t>T</t>
    </r>
    <r>
      <rPr>
        <vertAlign val="subscript"/>
        <sz val="11"/>
        <color theme="1"/>
        <rFont val="Calibri"/>
        <family val="2"/>
        <scheme val="minor"/>
      </rPr>
      <t>sys</t>
    </r>
  </si>
  <si>
    <t>Downlink Receiver (Ground Station)</t>
  </si>
  <si>
    <t>Cable Losses (D)</t>
  </si>
  <si>
    <t>Line D length</t>
  </si>
  <si>
    <t>Antenna or "Sky" Temp.</t>
  </si>
  <si>
    <t>Ground Station Feedline Temp.</t>
  </si>
  <si>
    <t>Comms. Rcvr Front End Temp.</t>
  </si>
  <si>
    <r>
      <t>T</t>
    </r>
    <r>
      <rPr>
        <vertAlign val="subscript"/>
        <sz val="11"/>
        <color theme="1"/>
        <rFont val="Calibri"/>
        <family val="2"/>
        <scheme val="minor"/>
      </rPr>
      <t>ComRcvr</t>
    </r>
  </si>
  <si>
    <t xml:space="preserve"> </t>
  </si>
  <si>
    <t>Uplink Antenna (Ground Station)</t>
  </si>
  <si>
    <t>Uplink Frequency:</t>
  </si>
  <si>
    <t>Polarization</t>
  </si>
  <si>
    <t>RHCP</t>
  </si>
  <si>
    <t>Wavelength:</t>
  </si>
  <si>
    <t>Antenna Option</t>
  </si>
  <si>
    <t>Option:</t>
  </si>
  <si>
    <t>Yagi-Uda</t>
  </si>
  <si>
    <r>
      <t>Boom Length (</t>
    </r>
    <r>
      <rPr>
        <sz val="11"/>
        <color theme="1"/>
        <rFont val="Symbol"/>
        <family val="1"/>
        <charset val="2"/>
      </rPr>
      <t>l</t>
    </r>
    <r>
      <rPr>
        <sz val="11"/>
        <color theme="1"/>
        <rFont val="Calibri"/>
        <family val="2"/>
        <scheme val="minor"/>
      </rPr>
      <t>)</t>
    </r>
  </si>
  <si>
    <t>Optimum Elements (n)</t>
  </si>
  <si>
    <t>Gain (dBiC)</t>
  </si>
  <si>
    <t>Beamwidth</t>
  </si>
  <si>
    <t>Helix</t>
  </si>
  <si>
    <t>Turns (n)</t>
  </si>
  <si>
    <r>
      <t>Turn Spacing (</t>
    </r>
    <r>
      <rPr>
        <sz val="11"/>
        <color theme="1"/>
        <rFont val="Symbol"/>
        <family val="1"/>
        <charset val="2"/>
      </rPr>
      <t>l</t>
    </r>
    <r>
      <rPr>
        <sz val="11"/>
        <color theme="1"/>
        <rFont val="Calibri"/>
        <family val="2"/>
        <scheme val="minor"/>
      </rPr>
      <t>)</t>
    </r>
  </si>
  <si>
    <r>
      <t>Circumference (</t>
    </r>
    <r>
      <rPr>
        <sz val="11"/>
        <color theme="1"/>
        <rFont val="Symbol"/>
        <family val="1"/>
        <charset val="2"/>
      </rPr>
      <t>l</t>
    </r>
    <r>
      <rPr>
        <sz val="11"/>
        <color theme="1"/>
        <rFont val="Calibri"/>
        <family val="2"/>
        <scheme val="minor"/>
      </rPr>
      <t>)</t>
    </r>
  </si>
  <si>
    <t>Parabolic Reflector</t>
  </si>
  <si>
    <t>Diameter (m)</t>
  </si>
  <si>
    <t>Aperture Efficiency (%)</t>
  </si>
  <si>
    <t>User-Defined</t>
  </si>
  <si>
    <t>Please enter gain (in dBiC), Beamwidth (in degrees), and Antenna roll-off (in dB)</t>
  </si>
  <si>
    <t>Antenna Roll-Off</t>
  </si>
  <si>
    <t>Uplink Antenna (Satellite)</t>
  </si>
  <si>
    <t>Dipole</t>
  </si>
  <si>
    <t>Gain</t>
  </si>
  <si>
    <t>dBiL</t>
  </si>
  <si>
    <t>Canted Turnstyle</t>
  </si>
  <si>
    <t>dBiC</t>
  </si>
  <si>
    <t>Quadrifilar Helix</t>
  </si>
  <si>
    <t>dBi</t>
  </si>
  <si>
    <t>Downlink Antenna (Ground Station)</t>
  </si>
  <si>
    <t>Downlink Frequency:</t>
  </si>
  <si>
    <t>Antenna Gain:</t>
  </si>
  <si>
    <t>Antenna Beamwidth:</t>
  </si>
  <si>
    <t>Downlink Antenna (Satellite)</t>
  </si>
  <si>
    <t>Up &amp; Downlink Atmospheric Losses</t>
  </si>
  <si>
    <t>Losses</t>
  </si>
  <si>
    <t>Elevation Angle</t>
  </si>
  <si>
    <t>d</t>
  </si>
  <si>
    <t>Uplink Loss &amp; Downlink Loss</t>
  </si>
  <si>
    <r>
      <t>L</t>
    </r>
    <r>
      <rPr>
        <vertAlign val="subscript"/>
        <sz val="11"/>
        <color theme="1"/>
        <rFont val="Calibri"/>
        <family val="2"/>
        <scheme val="minor"/>
      </rPr>
      <t>ATM</t>
    </r>
  </si>
  <si>
    <t>Up &amp; Downlink Ionespheric Losses</t>
  </si>
  <si>
    <t>Uplink Loss</t>
  </si>
  <si>
    <r>
      <t>L</t>
    </r>
    <r>
      <rPr>
        <vertAlign val="subscript"/>
        <sz val="11"/>
        <color theme="1"/>
        <rFont val="Calibri"/>
        <family val="2"/>
        <scheme val="minor"/>
      </rPr>
      <t>Ion.</t>
    </r>
  </si>
  <si>
    <t>Downlink Loss</t>
  </si>
  <si>
    <t>Uplink Antenna Pointing Losses</t>
  </si>
  <si>
    <t>Spacecraft</t>
  </si>
  <si>
    <t>Antenna</t>
  </si>
  <si>
    <r>
      <t>Estimated Pointing Error (</t>
    </r>
    <r>
      <rPr>
        <sz val="11"/>
        <color theme="1"/>
        <rFont val="Symbol"/>
        <family val="1"/>
        <charset val="2"/>
      </rPr>
      <t>q</t>
    </r>
    <r>
      <rPr>
        <sz val="11"/>
        <color theme="1"/>
        <rFont val="Calibri"/>
        <family val="2"/>
        <scheme val="minor"/>
      </rPr>
      <t>1)</t>
    </r>
  </si>
  <si>
    <t>GS Antenna Pointing Losses</t>
  </si>
  <si>
    <r>
      <t>Estimated Angle (</t>
    </r>
    <r>
      <rPr>
        <sz val="11"/>
        <color theme="1"/>
        <rFont val="Symbol"/>
        <family val="1"/>
        <charset val="2"/>
      </rPr>
      <t>q</t>
    </r>
    <r>
      <rPr>
        <sz val="11"/>
        <color theme="1"/>
        <rFont val="Calibri"/>
        <family val="2"/>
        <scheme val="minor"/>
      </rPr>
      <t>2)</t>
    </r>
  </si>
  <si>
    <t>Satellite Antenna Pointing Losses</t>
  </si>
  <si>
    <t>Ground Station</t>
  </si>
  <si>
    <t>Uplink Antenna Polarization Losses</t>
  </si>
  <si>
    <t>Co-Polarization Losses</t>
  </si>
  <si>
    <t>Axial Ratio of Tx Ant. (GS)</t>
  </si>
  <si>
    <t>Axial Ratio of Rx Ant. (Sat.)</t>
  </si>
  <si>
    <t>Polarization Angle between Antennas</t>
  </si>
  <si>
    <t>Polarization Loss (do not edit)</t>
  </si>
  <si>
    <t>Cross-Polarization Isolation</t>
  </si>
  <si>
    <t>Cross-Polarization Power Fraction</t>
  </si>
  <si>
    <t>Cross Polarization Isolation</t>
  </si>
  <si>
    <t>Downlink Antenna Pointing Losses</t>
  </si>
  <si>
    <r>
      <t>Estimated Angle (</t>
    </r>
    <r>
      <rPr>
        <sz val="11"/>
        <color theme="1"/>
        <rFont val="Symbol"/>
        <family val="1"/>
        <charset val="2"/>
      </rPr>
      <t>q</t>
    </r>
    <r>
      <rPr>
        <sz val="11"/>
        <color theme="1"/>
        <rFont val="Calibri"/>
        <family val="2"/>
        <scheme val="minor"/>
      </rPr>
      <t>3)</t>
    </r>
  </si>
  <si>
    <r>
      <t>Estimated Angle (</t>
    </r>
    <r>
      <rPr>
        <sz val="11"/>
        <color theme="1"/>
        <rFont val="Symbol"/>
        <family val="1"/>
        <charset val="2"/>
      </rPr>
      <t>q4</t>
    </r>
    <r>
      <rPr>
        <sz val="11"/>
        <color theme="1"/>
        <rFont val="Calibri"/>
        <family val="2"/>
        <scheme val="minor"/>
      </rPr>
      <t>)</t>
    </r>
  </si>
  <si>
    <t>Downlink Antenna Polarization Losses</t>
  </si>
  <si>
    <t>Axial Ratio of Tx Ant. (Sat.)</t>
  </si>
  <si>
    <t>Axial Ratio of Rx Ant. (GS)</t>
  </si>
  <si>
    <t>Parameter</t>
  </si>
  <si>
    <t>Units</t>
  </si>
  <si>
    <t>Comments</t>
  </si>
  <si>
    <t>Transmitter power output</t>
  </si>
  <si>
    <t>Total transmission line losses</t>
  </si>
  <si>
    <t>Antenna Gain</t>
  </si>
  <si>
    <t>Effective isotropic radiated power (EIRP)</t>
  </si>
  <si>
    <t>Uplink Path</t>
  </si>
  <si>
    <t>GS antenna pointing losses</t>
  </si>
  <si>
    <t>GS-to-Sat. antenna polarization losses</t>
  </si>
  <si>
    <t>Path losses</t>
  </si>
  <si>
    <t>Atmospheric losses</t>
  </si>
  <si>
    <t>Ionospheric Losses</t>
  </si>
  <si>
    <t>Rain Losses</t>
  </si>
  <si>
    <t>Estimated by operator</t>
  </si>
  <si>
    <t>Isotropic signal level at satellite</t>
  </si>
  <si>
    <t>Satellite (SNR Method)</t>
  </si>
  <si>
    <t>Satellite antenna pointing loss</t>
  </si>
  <si>
    <t>Satellite antenna gain</t>
  </si>
  <si>
    <t>Satellite total T.L losses</t>
  </si>
  <si>
    <t>Satellite effective noise temperature</t>
  </si>
  <si>
    <t>Satellite figure of merrit (G/T)</t>
  </si>
  <si>
    <t>dB/K</t>
  </si>
  <si>
    <t>Signal Power at satellite LNA Input</t>
  </si>
  <si>
    <t>Satellite Receiver Bandwidth</t>
  </si>
  <si>
    <t>Hz</t>
  </si>
  <si>
    <t>Satellite Receiver Noise Power</t>
  </si>
  <si>
    <t>Signal-to-Noise Power Ratio at G.S. Rcvr:</t>
  </si>
  <si>
    <t>Digital System Required S/N:</t>
  </si>
  <si>
    <t>System Link Margin</t>
  </si>
  <si>
    <t>Data Rates</t>
  </si>
  <si>
    <t>Channel Capacity (Shannon-Hartley)</t>
  </si>
  <si>
    <t>kbps</t>
  </si>
  <si>
    <t>Transmission duration (per pass)</t>
  </si>
  <si>
    <t>Maximum data transmission (per pass)</t>
  </si>
  <si>
    <t>Uplink &amp; Downlink</t>
  </si>
  <si>
    <t>Uplink</t>
  </si>
  <si>
    <t>Atmospheric Gas Losses</t>
  </si>
  <si>
    <t>Ionespheric Losses</t>
  </si>
  <si>
    <t>Loss</t>
  </si>
  <si>
    <t>Frequency</t>
  </si>
  <si>
    <t>Optimum Yagi Antenna Performance:</t>
  </si>
  <si>
    <t>LHCP</t>
  </si>
  <si>
    <t>Boom</t>
  </si>
  <si>
    <t>Optimum</t>
  </si>
  <si>
    <t>Maximum</t>
  </si>
  <si>
    <r>
      <t>Length (</t>
    </r>
    <r>
      <rPr>
        <sz val="10"/>
        <rFont val="Symbol"/>
        <family val="1"/>
        <charset val="2"/>
      </rPr>
      <t>l</t>
    </r>
    <r>
      <rPr>
        <sz val="11"/>
        <color theme="1"/>
        <rFont val="Calibri"/>
        <family val="2"/>
        <scheme val="minor"/>
      </rPr>
      <t>):</t>
    </r>
  </si>
  <si>
    <t>No. Elements (n):</t>
  </si>
  <si>
    <t>Gain (dBi):</t>
  </si>
  <si>
    <t>Downlink</t>
  </si>
  <si>
    <t>Antenna Polarization</t>
  </si>
  <si>
    <t>Antenna Roll off Calculations Uplink</t>
  </si>
  <si>
    <t xml:space="preserve">User-Defined </t>
  </si>
  <si>
    <r>
      <t xml:space="preserve">         Data Taken from </t>
    </r>
    <r>
      <rPr>
        <i/>
        <sz val="10"/>
        <rFont val="Arial"/>
        <family val="2"/>
      </rPr>
      <t>ARRL Antenna Book</t>
    </r>
  </si>
  <si>
    <t>145.8 MHz</t>
  </si>
  <si>
    <t>2.0562 m</t>
  </si>
  <si>
    <t>Satellite</t>
  </si>
  <si>
    <t>Downlink Path</t>
  </si>
  <si>
    <t>Satellite antenna pointing losses</t>
  </si>
  <si>
    <t>Sat.-to-GS antenna polarization losses</t>
  </si>
  <si>
    <t>Isotropic signal level at GS</t>
  </si>
  <si>
    <t>Ground Station (SNR Method)</t>
  </si>
  <si>
    <t>Videos (/pass)</t>
  </si>
  <si>
    <t>Videos (/day)</t>
  </si>
  <si>
    <t>Change this based on the modulation</t>
  </si>
  <si>
    <t>Uplink Budget</t>
  </si>
  <si>
    <t>https://www.isispace.nl/product/vhf-downlink-uhf-uplink-full-duplex-transceiver/</t>
  </si>
  <si>
    <t>https://www.cubesatshop.com/wp-content/uploads/2016/06/ISIS.GSK_.DS_.01.01_V2.2.1.pdf</t>
  </si>
  <si>
    <t>Images (/pass) - (no compression)</t>
  </si>
  <si>
    <t>Images (/day) - (no compression)</t>
  </si>
  <si>
    <t>Image compression (max 15x)</t>
  </si>
  <si>
    <t>Compression</t>
  </si>
  <si>
    <t>Operating Frequencies</t>
  </si>
  <si>
    <t>GS Antenna Parameters</t>
  </si>
  <si>
    <t>Orbit &amp; Free-Space Path Losses</t>
  </si>
  <si>
    <t>Polarization Loss</t>
  </si>
  <si>
    <t>Uplink Antenna Losses</t>
  </si>
  <si>
    <t>Intermediate Value</t>
  </si>
  <si>
    <t>Downlink Antenna Losses</t>
  </si>
  <si>
    <t>Low Noise Amp. Gain</t>
  </si>
  <si>
    <t>Low Noise Amp. Temperature</t>
  </si>
  <si>
    <t>Uplink frequency &amp; wavelength</t>
  </si>
  <si>
    <t>Downlink frequency &amp; wavelength</t>
  </si>
  <si>
    <t>Bit Error Rate</t>
  </si>
  <si>
    <t>Data Rate</t>
  </si>
  <si>
    <t>Modulation levels</t>
  </si>
  <si>
    <t>Modulation scheme</t>
  </si>
  <si>
    <t>Modulation Schemes</t>
  </si>
  <si>
    <t>FSK</t>
  </si>
  <si>
    <t>TX power (dbm)</t>
  </si>
  <si>
    <t>Antenna gain (Sat.) (dBi)</t>
  </si>
  <si>
    <t>cable losses (sat.) (dB)</t>
  </si>
  <si>
    <t>Antenna Gain (GS) (dBi)</t>
  </si>
  <si>
    <t>cable losses (GS) (dB)</t>
  </si>
  <si>
    <t>FSPL</t>
  </si>
  <si>
    <t>Free-Space Path losses</t>
  </si>
  <si>
    <t>Expecected received signal level</t>
  </si>
  <si>
    <t>Sensitivity of Receiver</t>
  </si>
  <si>
    <t>Link Margin</t>
  </si>
  <si>
    <t>Total Gain</t>
  </si>
  <si>
    <t>Method 1</t>
  </si>
  <si>
    <t>Method 2 (CSA)</t>
  </si>
  <si>
    <t>Received noise power</t>
  </si>
  <si>
    <t>Carrier-to-noise power ratio</t>
  </si>
  <si>
    <t>System required C/N</t>
  </si>
  <si>
    <t>EIRP</t>
  </si>
  <si>
    <t>Friis received power</t>
  </si>
  <si>
    <t>Signal received power (dbm) --&gt; FRII</t>
  </si>
  <si>
    <t>Received noise power at GS</t>
  </si>
  <si>
    <t>GS antenna gain</t>
  </si>
  <si>
    <t>Sat. antenna Gain</t>
  </si>
  <si>
    <t>Formula in CSA presentation</t>
  </si>
  <si>
    <t>Required signal-to-noise ratio</t>
  </si>
  <si>
    <t>System required signal-to-noise ratio</t>
  </si>
  <si>
    <t>System link margin</t>
  </si>
  <si>
    <t>GS receiver bandwidth</t>
  </si>
  <si>
    <t>Channel Capacity</t>
  </si>
  <si>
    <t>Theoretical maximum using Shannon-Hartley eq.</t>
  </si>
  <si>
    <t>Modulation</t>
  </si>
  <si>
    <t>bps</t>
  </si>
  <si>
    <t>Modulation levels (M-ary)</t>
  </si>
  <si>
    <t>Specified bit error rate</t>
  </si>
  <si>
    <t>Data rate</t>
  </si>
  <si>
    <r>
      <rPr>
        <b/>
        <sz val="11"/>
        <color theme="1"/>
        <rFont val="Calibri"/>
        <family val="2"/>
        <scheme val="minor"/>
      </rPr>
      <t>Theoretical</t>
    </r>
    <r>
      <rPr>
        <sz val="11"/>
        <color theme="1"/>
        <rFont val="Calibri"/>
        <family val="2"/>
        <scheme val="minor"/>
      </rPr>
      <t xml:space="preserve"> received signal power at GS</t>
    </r>
  </si>
  <si>
    <r>
      <rPr>
        <b/>
        <sz val="11"/>
        <color theme="1"/>
        <rFont val="Calibri"/>
        <family val="2"/>
        <scheme val="minor"/>
      </rPr>
      <t>Actual</t>
    </r>
    <r>
      <rPr>
        <sz val="11"/>
        <color theme="1"/>
        <rFont val="Calibri"/>
        <family val="2"/>
        <scheme val="minor"/>
      </rPr>
      <t xml:space="preserve"> received signal power at GS</t>
    </r>
  </si>
  <si>
    <t>Using Friis Transmission Formula [maximum]</t>
  </si>
  <si>
    <t>Using Friis Transmission Formula [w/ losses]</t>
  </si>
  <si>
    <t>dbm</t>
  </si>
  <si>
    <r>
      <rPr>
        <b/>
        <sz val="11"/>
        <color theme="1"/>
        <rFont val="Calibri"/>
        <family val="2"/>
        <scheme val="minor"/>
      </rPr>
      <t>Actual</t>
    </r>
    <r>
      <rPr>
        <sz val="11"/>
        <color theme="1"/>
        <rFont val="Calibri"/>
        <family val="2"/>
        <scheme val="minor"/>
      </rPr>
      <t xml:space="preserve"> signal-to-noise ratio</t>
    </r>
  </si>
  <si>
    <t>Doppler Shift</t>
  </si>
  <si>
    <t>1. Torbit (s)</t>
  </si>
  <si>
    <t>2. Satellite speed</t>
  </si>
  <si>
    <t xml:space="preserve">          Dorbit</t>
  </si>
  <si>
    <t xml:space="preserve">          vs</t>
  </si>
  <si>
    <t>3. Relative speed</t>
  </si>
  <si>
    <t>4. delta f</t>
  </si>
  <si>
    <t>Doppler Shift frequency:</t>
  </si>
  <si>
    <r>
      <t>Satellite Coverage Angle (</t>
    </r>
    <r>
      <rPr>
        <sz val="11"/>
        <color theme="1"/>
        <rFont val="Symbol"/>
        <family val="1"/>
        <charset val="2"/>
      </rPr>
      <t>y</t>
    </r>
    <r>
      <rPr>
        <sz val="11"/>
        <color theme="1"/>
        <rFont val="Calibri"/>
        <family val="2"/>
        <scheme val="minor"/>
      </rPr>
      <t>)</t>
    </r>
  </si>
  <si>
    <r>
      <t>Elevation angle (</t>
    </r>
    <r>
      <rPr>
        <sz val="11"/>
        <color theme="1"/>
        <rFont val="Symbol"/>
        <family val="1"/>
        <charset val="2"/>
      </rPr>
      <t>f</t>
    </r>
    <r>
      <rPr>
        <sz val="11"/>
        <color theme="1"/>
        <rFont val="Calibri"/>
        <family val="2"/>
        <scheme val="minor"/>
      </rPr>
      <t>)</t>
    </r>
  </si>
  <si>
    <t>degrees</t>
  </si>
  <si>
    <t>Satellite orbital velocity (Vs)</t>
  </si>
  <si>
    <t>Sat. radial velocity relative to earth</t>
  </si>
  <si>
    <t>j</t>
  </si>
  <si>
    <t>Doppler shift frequency</t>
  </si>
  <si>
    <t>C/No Modified</t>
  </si>
  <si>
    <t>Downlink Budget</t>
  </si>
  <si>
    <t>IJERT Paper Method</t>
  </si>
  <si>
    <t>Simple Method</t>
  </si>
  <si>
    <t>Torbit</t>
  </si>
  <si>
    <t>dorbit</t>
  </si>
  <si>
    <t>vs</t>
  </si>
  <si>
    <t>vr</t>
  </si>
  <si>
    <t>delta f</t>
  </si>
  <si>
    <t>coverage angle</t>
  </si>
  <si>
    <t>Dopp. Shift Freq.</t>
  </si>
  <si>
    <t>Link Margin Lookup Key</t>
  </si>
  <si>
    <t>BER</t>
  </si>
  <si>
    <t>M-levels</t>
  </si>
  <si>
    <t>Scheme</t>
  </si>
  <si>
    <t>PSK</t>
  </si>
  <si>
    <t>Lookup</t>
  </si>
  <si>
    <t>Required SNR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</si>
</sst>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
  </numFmts>
  <fonts count="29"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2"/>
      <color rgb="FFC00000"/>
      <name val="Bookman Old Style"/>
      <family val="1"/>
    </font>
    <font>
      <sz val="24"/>
      <color theme="1"/>
      <name val="Bookman Old Style"/>
      <family val="1"/>
    </font>
    <font>
      <vertAlign val="subscript"/>
      <sz val="11"/>
      <color theme="1"/>
      <name val="Calibri"/>
      <family val="2"/>
      <scheme val="minor"/>
    </font>
    <font>
      <i/>
      <sz val="11"/>
      <color theme="1"/>
      <name val="Calibri"/>
      <family val="2"/>
      <scheme val="minor"/>
    </font>
    <font>
      <sz val="11"/>
      <color theme="1"/>
      <name val="Symbol"/>
      <family val="1"/>
      <charset val="2"/>
    </font>
    <font>
      <strike/>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vertAlign val="superscript"/>
      <sz val="11"/>
      <color theme="1"/>
      <name val="Calibri"/>
      <family val="2"/>
      <scheme val="minor"/>
    </font>
    <font>
      <i/>
      <sz val="11"/>
      <color rgb="FFFF0000"/>
      <name val="Calibri"/>
      <family val="2"/>
      <scheme val="minor"/>
    </font>
    <font>
      <sz val="11"/>
      <color theme="1"/>
      <name val="Bookman Old Style"/>
      <family val="1"/>
    </font>
    <font>
      <b/>
      <i/>
      <sz val="11"/>
      <color rgb="FFC00000"/>
      <name val="Calibri"/>
      <family val="2"/>
      <scheme val="minor"/>
    </font>
    <font>
      <b/>
      <sz val="12"/>
      <color indexed="12"/>
      <name val="Arial"/>
      <family val="2"/>
    </font>
    <font>
      <sz val="10"/>
      <name val="Symbol"/>
      <family val="1"/>
      <charset val="2"/>
    </font>
    <font>
      <i/>
      <sz val="10"/>
      <name val="Arial"/>
      <family val="2"/>
    </font>
    <font>
      <b/>
      <sz val="11"/>
      <color rgb="FFFF0000"/>
      <name val="Calibri"/>
      <family val="2"/>
      <scheme val="minor"/>
    </font>
    <font>
      <b/>
      <sz val="11"/>
      <color rgb="FFFF0000"/>
      <name val="Symbol"/>
      <family val="1"/>
      <charset val="2"/>
    </font>
    <font>
      <sz val="11"/>
      <color rgb="FF3F3F76"/>
      <name val="Calibri"/>
      <family val="2"/>
      <scheme val="minor"/>
    </font>
    <font>
      <b/>
      <sz val="11"/>
      <color rgb="FF3F3F3F"/>
      <name val="Calibri"/>
      <family val="2"/>
      <scheme val="minor"/>
    </font>
    <font>
      <sz val="23"/>
      <color theme="1"/>
      <name val="Bookman Old Style"/>
      <family val="1"/>
    </font>
    <font>
      <b/>
      <i/>
      <sz val="11"/>
      <color rgb="FF3F3F3F"/>
      <name val="Calibri"/>
      <family val="2"/>
      <scheme val="minor"/>
    </font>
    <font>
      <i/>
      <sz val="11"/>
      <color theme="1" tint="0.34998626667073579"/>
      <name val="Calibri"/>
      <family val="2"/>
      <scheme val="minor"/>
    </font>
    <font>
      <b/>
      <sz val="14"/>
      <color theme="0"/>
      <name val="Calibri"/>
      <family val="2"/>
      <scheme val="minor"/>
    </font>
  </fonts>
  <fills count="24">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rgb="FFE1CDFF"/>
        <bgColor indexed="64"/>
      </patternFill>
    </fill>
    <fill>
      <patternFill patternType="solid">
        <fgColor rgb="FFCCFFCC"/>
        <bgColor indexed="64"/>
      </patternFill>
    </fill>
    <fill>
      <patternFill patternType="solid">
        <fgColor rgb="FFFFFF99"/>
        <bgColor indexed="64"/>
      </patternFill>
    </fill>
    <fill>
      <patternFill patternType="solid">
        <fgColor indexed="2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indexed="45"/>
        <bgColor indexed="64"/>
      </patternFill>
    </fill>
    <fill>
      <patternFill patternType="solid">
        <fgColor indexed="41"/>
        <bgColor indexed="64"/>
      </patternFill>
    </fill>
    <fill>
      <patternFill patternType="solid">
        <fgColor rgb="FFFFCC99"/>
      </patternFill>
    </fill>
    <fill>
      <patternFill patternType="solid">
        <fgColor rgb="FFF2F2F2"/>
      </patternFill>
    </fill>
    <fill>
      <patternFill patternType="solid">
        <fgColor rgb="FFFFF2CC"/>
        <bgColor indexed="64"/>
      </patternFill>
    </fill>
    <fill>
      <patternFill patternType="solid">
        <fgColor rgb="FFFFCC99"/>
        <bgColor indexed="64"/>
      </patternFill>
    </fill>
    <fill>
      <patternFill patternType="solid">
        <fgColor rgb="FFC0C0C0"/>
        <bgColor indexed="64"/>
      </patternFill>
    </fill>
    <fill>
      <patternFill patternType="solid">
        <fgColor theme="2"/>
        <bgColor indexed="64"/>
      </patternFill>
    </fill>
    <fill>
      <patternFill patternType="solid">
        <fgColor theme="1" tint="0.34998626667073579"/>
        <bgColor indexed="64"/>
      </patternFill>
    </fill>
    <fill>
      <patternFill patternType="solid">
        <fgColor theme="7" tint="0.59999389629810485"/>
        <bgColor indexed="64"/>
      </patternFill>
    </fill>
    <fill>
      <patternFill patternType="solid">
        <fgColor theme="0" tint="-0.14999847407452621"/>
        <bgColor indexed="64"/>
      </patternFill>
    </fill>
  </fills>
  <borders count="4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auto="1"/>
      </left>
      <right style="medium">
        <color auto="1"/>
      </right>
      <top style="thin">
        <color auto="1"/>
      </top>
      <bottom style="medium">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top/>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style="thin">
        <color rgb="FF7F7F7F"/>
      </right>
      <top/>
      <bottom/>
      <diagonal/>
    </border>
    <border>
      <left/>
      <right style="thin">
        <color rgb="FF3F3F3F"/>
      </right>
      <top/>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3F3F3F"/>
      </left>
      <right/>
      <top style="thin">
        <color rgb="FF3F3F3F"/>
      </top>
      <bottom style="thin">
        <color rgb="FF3F3F3F"/>
      </bottom>
      <diagonal/>
    </border>
    <border>
      <left/>
      <right/>
      <top style="thin">
        <color rgb="FF3F3F3F"/>
      </top>
      <bottom style="thin">
        <color rgb="FF3F3F3F"/>
      </bottom>
      <diagonal/>
    </border>
    <border>
      <left/>
      <right style="thin">
        <color rgb="FF3F3F3F"/>
      </right>
      <top style="thin">
        <color rgb="FF3F3F3F"/>
      </top>
      <bottom style="thin">
        <color rgb="FF3F3F3F"/>
      </bottom>
      <diagonal/>
    </border>
    <border>
      <left style="thin">
        <color rgb="FF3F3F3F"/>
      </left>
      <right style="thin">
        <color rgb="FF3F3F3F"/>
      </right>
      <top/>
      <bottom style="thin">
        <color rgb="FF3F3F3F"/>
      </bottom>
      <diagonal/>
    </border>
    <border>
      <left style="medium">
        <color auto="1"/>
      </left>
      <right style="thin">
        <color theme="1" tint="0.499984740745262"/>
      </right>
      <top style="medium">
        <color auto="1"/>
      </top>
      <bottom style="thin">
        <color theme="1" tint="0.499984740745262"/>
      </bottom>
      <diagonal/>
    </border>
    <border>
      <left style="thin">
        <color theme="1" tint="0.499984740745262"/>
      </left>
      <right style="thin">
        <color theme="1" tint="0.499984740745262"/>
      </right>
      <top style="medium">
        <color auto="1"/>
      </top>
      <bottom style="thin">
        <color theme="1" tint="0.499984740745262"/>
      </bottom>
      <diagonal/>
    </border>
    <border>
      <left style="thin">
        <color theme="1" tint="0.499984740745262"/>
      </left>
      <right style="medium">
        <color auto="1"/>
      </right>
      <top style="medium">
        <color auto="1"/>
      </top>
      <bottom style="thin">
        <color theme="1" tint="0.499984740745262"/>
      </bottom>
      <diagonal/>
    </border>
    <border>
      <left style="medium">
        <color auto="1"/>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medium">
        <color auto="1"/>
      </right>
      <top style="thin">
        <color theme="1" tint="0.499984740745262"/>
      </top>
      <bottom style="thin">
        <color theme="1" tint="0.499984740745262"/>
      </bottom>
      <diagonal/>
    </border>
    <border>
      <left style="medium">
        <color auto="1"/>
      </left>
      <right style="thin">
        <color theme="1" tint="0.499984740745262"/>
      </right>
      <top style="thin">
        <color theme="1" tint="0.499984740745262"/>
      </top>
      <bottom style="medium">
        <color auto="1"/>
      </bottom>
      <diagonal/>
    </border>
    <border>
      <left style="thin">
        <color theme="1" tint="0.499984740745262"/>
      </left>
      <right style="thin">
        <color theme="1" tint="0.499984740745262"/>
      </right>
      <top style="thin">
        <color theme="1" tint="0.499984740745262"/>
      </top>
      <bottom style="medium">
        <color auto="1"/>
      </bottom>
      <diagonal/>
    </border>
    <border>
      <left style="thin">
        <color theme="1" tint="0.499984740745262"/>
      </left>
      <right style="medium">
        <color auto="1"/>
      </right>
      <top style="thin">
        <color theme="1" tint="0.499984740745262"/>
      </top>
      <bottom style="medium">
        <color auto="1"/>
      </bottom>
      <diagonal/>
    </border>
  </borders>
  <cellStyleXfs count="4">
    <xf numFmtId="0" fontId="0" fillId="0" borderId="0"/>
    <xf numFmtId="9" fontId="1" fillId="0" borderId="0" applyFont="0" applyFill="0" applyBorder="0" applyAlignment="0" applyProtection="0"/>
    <xf numFmtId="0" fontId="23" fillId="15" borderId="24" applyNumberFormat="0" applyAlignment="0" applyProtection="0"/>
    <xf numFmtId="0" fontId="24" fillId="16" borderId="25" applyNumberFormat="0" applyAlignment="0" applyProtection="0"/>
  </cellStyleXfs>
  <cellXfs count="339">
    <xf numFmtId="0" fontId="0" fillId="0" borderId="0" xfId="0"/>
    <xf numFmtId="0" fontId="0" fillId="2" borderId="0" xfId="0" applyFill="1"/>
    <xf numFmtId="0" fontId="0" fillId="2" borderId="0" xfId="0" applyFill="1" applyAlignment="1">
      <alignment horizontal="center"/>
    </xf>
    <xf numFmtId="0" fontId="0" fillId="4" borderId="4" xfId="0" applyFill="1" applyBorder="1"/>
    <xf numFmtId="0" fontId="0" fillId="4" borderId="5" xfId="0" applyFill="1" applyBorder="1"/>
    <xf numFmtId="0" fontId="0" fillId="4" borderId="5" xfId="0" applyFill="1" applyBorder="1" applyAlignment="1">
      <alignment horizontal="center"/>
    </xf>
    <xf numFmtId="0" fontId="0" fillId="4" borderId="6" xfId="0" applyFill="1" applyBorder="1"/>
    <xf numFmtId="0" fontId="0" fillId="2" borderId="0" xfId="0" applyFill="1" applyBorder="1"/>
    <xf numFmtId="0" fontId="0" fillId="4" borderId="7" xfId="0" applyFill="1" applyBorder="1"/>
    <xf numFmtId="0" fontId="0" fillId="4" borderId="0" xfId="0" applyFill="1" applyBorder="1"/>
    <xf numFmtId="0" fontId="0" fillId="4" borderId="0" xfId="0" applyFill="1" applyBorder="1" applyAlignment="1">
      <alignment horizontal="center"/>
    </xf>
    <xf numFmtId="0" fontId="0" fillId="4" borderId="8" xfId="0" applyFill="1" applyBorder="1"/>
    <xf numFmtId="0" fontId="0" fillId="4" borderId="0" xfId="0" applyFill="1" applyBorder="1" applyAlignment="1">
      <alignment horizontal="left"/>
    </xf>
    <xf numFmtId="0" fontId="0" fillId="4" borderId="10" xfId="0" applyFill="1" applyBorder="1"/>
    <xf numFmtId="0" fontId="0" fillId="4" borderId="11" xfId="0" applyFill="1" applyBorder="1"/>
    <xf numFmtId="0" fontId="0" fillId="4" borderId="11" xfId="0" applyFill="1" applyBorder="1" applyAlignment="1">
      <alignment horizontal="center"/>
    </xf>
    <xf numFmtId="0" fontId="0" fillId="4" borderId="12" xfId="0" applyFill="1" applyBorder="1"/>
    <xf numFmtId="0" fontId="0" fillId="7" borderId="4" xfId="0" applyFill="1" applyBorder="1"/>
    <xf numFmtId="0" fontId="0" fillId="7" borderId="5" xfId="0" applyFill="1" applyBorder="1"/>
    <xf numFmtId="0" fontId="0" fillId="7" borderId="6" xfId="0" applyFill="1" applyBorder="1"/>
    <xf numFmtId="0" fontId="0" fillId="7" borderId="7" xfId="0" applyFill="1" applyBorder="1"/>
    <xf numFmtId="0" fontId="0" fillId="7" borderId="0" xfId="0" applyFill="1" applyBorder="1"/>
    <xf numFmtId="0" fontId="0" fillId="7" borderId="8" xfId="0" applyFill="1" applyBorder="1"/>
    <xf numFmtId="0" fontId="0" fillId="5" borderId="10" xfId="0" applyFill="1" applyBorder="1"/>
    <xf numFmtId="0" fontId="0" fillId="5" borderId="12" xfId="0" applyFill="1" applyBorder="1"/>
    <xf numFmtId="0" fontId="0" fillId="7" borderId="10" xfId="0" applyFill="1" applyBorder="1"/>
    <xf numFmtId="0" fontId="0" fillId="7" borderId="11" xfId="0" applyFill="1" applyBorder="1"/>
    <xf numFmtId="0" fontId="0" fillId="7" borderId="12" xfId="0" applyFill="1" applyBorder="1"/>
    <xf numFmtId="0" fontId="0" fillId="8" borderId="4" xfId="0" applyFill="1" applyBorder="1"/>
    <xf numFmtId="0" fontId="0" fillId="8" borderId="5" xfId="0" applyFill="1" applyBorder="1"/>
    <xf numFmtId="0" fontId="0" fillId="8" borderId="6" xfId="0" applyFill="1" applyBorder="1"/>
    <xf numFmtId="0" fontId="0" fillId="2" borderId="7" xfId="0" applyFill="1" applyBorder="1"/>
    <xf numFmtId="0" fontId="0" fillId="8" borderId="7" xfId="0" applyFill="1" applyBorder="1"/>
    <xf numFmtId="0" fontId="0" fillId="8" borderId="0" xfId="0" applyFill="1" applyBorder="1"/>
    <xf numFmtId="0" fontId="0" fillId="8" borderId="8" xfId="0" applyFill="1" applyBorder="1"/>
    <xf numFmtId="0" fontId="0" fillId="8" borderId="10" xfId="0" applyFill="1" applyBorder="1"/>
    <xf numFmtId="0" fontId="0" fillId="8" borderId="11" xfId="0" applyFill="1" applyBorder="1"/>
    <xf numFmtId="0" fontId="0" fillId="8" borderId="12" xfId="0" applyFill="1" applyBorder="1"/>
    <xf numFmtId="0" fontId="0" fillId="9" borderId="4" xfId="0" applyFill="1" applyBorder="1"/>
    <xf numFmtId="0" fontId="0" fillId="9" borderId="5" xfId="0" applyFill="1" applyBorder="1"/>
    <xf numFmtId="0" fontId="0" fillId="9" borderId="6" xfId="0" applyFill="1" applyBorder="1"/>
    <xf numFmtId="0" fontId="0" fillId="9" borderId="7" xfId="0" applyFill="1" applyBorder="1"/>
    <xf numFmtId="0" fontId="0" fillId="9" borderId="0" xfId="0" applyFill="1" applyBorder="1"/>
    <xf numFmtId="0" fontId="0" fillId="9" borderId="8" xfId="0" applyFill="1" applyBorder="1"/>
    <xf numFmtId="0" fontId="0" fillId="9" borderId="10" xfId="0" applyFill="1" applyBorder="1"/>
    <xf numFmtId="0" fontId="0" fillId="9" borderId="11" xfId="0" applyFill="1" applyBorder="1"/>
    <xf numFmtId="0" fontId="0" fillId="9" borderId="12" xfId="0" applyFill="1" applyBorder="1"/>
    <xf numFmtId="0" fontId="0" fillId="8" borderId="0" xfId="0" applyFill="1" applyBorder="1" applyAlignment="1">
      <alignment horizontal="center"/>
    </xf>
    <xf numFmtId="0" fontId="0" fillId="8" borderId="0" xfId="0" applyFont="1" applyFill="1" applyBorder="1" applyAlignment="1">
      <alignment horizontal="center"/>
    </xf>
    <xf numFmtId="0" fontId="12" fillId="8" borderId="0" xfId="0" applyFont="1" applyFill="1" applyBorder="1"/>
    <xf numFmtId="0" fontId="12" fillId="9" borderId="0" xfId="0" applyFont="1" applyFill="1" applyBorder="1"/>
    <xf numFmtId="0" fontId="7" fillId="6" borderId="9" xfId="0" applyFont="1" applyFill="1" applyBorder="1" applyAlignment="1">
      <alignment horizontal="center"/>
    </xf>
    <xf numFmtId="0" fontId="7" fillId="6" borderId="3" xfId="0" applyFont="1" applyFill="1" applyBorder="1" applyAlignment="1">
      <alignment horizontal="center"/>
    </xf>
    <xf numFmtId="0" fontId="0" fillId="8" borderId="0" xfId="0" applyFill="1" applyBorder="1" applyAlignment="1">
      <alignment vertical="center"/>
    </xf>
    <xf numFmtId="0" fontId="0" fillId="8" borderId="0" xfId="0" applyFill="1" applyBorder="1" applyAlignment="1">
      <alignment horizontal="right"/>
    </xf>
    <xf numFmtId="0" fontId="7" fillId="6" borderId="16" xfId="0" applyFont="1" applyFill="1" applyBorder="1" applyAlignment="1">
      <alignment horizontal="center"/>
    </xf>
    <xf numFmtId="0" fontId="7" fillId="6" borderId="17" xfId="0" applyFont="1" applyFill="1" applyBorder="1" applyAlignment="1">
      <alignment horizontal="center"/>
    </xf>
    <xf numFmtId="165" fontId="7" fillId="6" borderId="9" xfId="0" applyNumberFormat="1" applyFont="1" applyFill="1" applyBorder="1" applyAlignment="1">
      <alignment horizontal="center"/>
    </xf>
    <xf numFmtId="165" fontId="0" fillId="8" borderId="0" xfId="0" applyNumberFormat="1" applyFill="1" applyBorder="1" applyAlignment="1">
      <alignment horizontal="center"/>
    </xf>
    <xf numFmtId="0" fontId="7" fillId="6" borderId="18" xfId="0" applyFont="1" applyFill="1" applyBorder="1" applyAlignment="1">
      <alignment horizontal="center"/>
    </xf>
    <xf numFmtId="166" fontId="7" fillId="6" borderId="18" xfId="1" applyNumberFormat="1" applyFont="1" applyFill="1" applyBorder="1" applyAlignment="1">
      <alignment horizontal="center"/>
    </xf>
    <xf numFmtId="0" fontId="7" fillId="8" borderId="0" xfId="0" applyFont="1" applyFill="1" applyBorder="1"/>
    <xf numFmtId="0" fontId="7" fillId="4" borderId="16" xfId="0" applyFont="1" applyFill="1" applyBorder="1" applyAlignment="1">
      <alignment horizontal="center"/>
    </xf>
    <xf numFmtId="0" fontId="7" fillId="4" borderId="17" xfId="0" applyFont="1" applyFill="1" applyBorder="1" applyAlignment="1">
      <alignment horizontal="center"/>
    </xf>
    <xf numFmtId="0" fontId="7" fillId="6" borderId="19" xfId="0" applyFont="1" applyFill="1" applyBorder="1" applyAlignment="1">
      <alignment horizontal="center"/>
    </xf>
    <xf numFmtId="0" fontId="0" fillId="9" borderId="0" xfId="0" applyFill="1" applyBorder="1" applyAlignment="1">
      <alignment horizontal="center"/>
    </xf>
    <xf numFmtId="0" fontId="0" fillId="9" borderId="0" xfId="0" applyFill="1" applyBorder="1" applyAlignment="1"/>
    <xf numFmtId="0" fontId="7" fillId="5" borderId="9" xfId="0" applyFont="1" applyFill="1" applyBorder="1" applyAlignment="1">
      <alignment horizontal="center"/>
    </xf>
    <xf numFmtId="0" fontId="7" fillId="5" borderId="3" xfId="0" applyFont="1" applyFill="1" applyBorder="1" applyAlignment="1">
      <alignment horizontal="center"/>
    </xf>
    <xf numFmtId="0" fontId="0" fillId="9" borderId="0" xfId="0" applyFill="1" applyBorder="1" applyAlignment="1">
      <alignment horizontal="right"/>
    </xf>
    <xf numFmtId="0" fontId="3" fillId="7" borderId="0" xfId="0" applyFont="1" applyFill="1" applyBorder="1" applyAlignment="1"/>
    <xf numFmtId="0" fontId="0" fillId="7" borderId="0" xfId="0" applyFill="1" applyBorder="1" applyAlignment="1">
      <alignment vertical="center"/>
    </xf>
    <xf numFmtId="0" fontId="0" fillId="7" borderId="0" xfId="0" applyFill="1" applyBorder="1" applyAlignment="1"/>
    <xf numFmtId="0" fontId="3" fillId="7" borderId="11" xfId="0" applyFont="1" applyFill="1" applyBorder="1" applyAlignment="1"/>
    <xf numFmtId="0" fontId="0" fillId="7" borderId="11" xfId="0" applyFill="1" applyBorder="1" applyAlignment="1"/>
    <xf numFmtId="0" fontId="2" fillId="2" borderId="5" xfId="0" applyFont="1" applyFill="1" applyBorder="1"/>
    <xf numFmtId="0" fontId="15" fillId="2" borderId="5" xfId="0" applyFont="1" applyFill="1" applyBorder="1" applyAlignment="1"/>
    <xf numFmtId="0" fontId="2" fillId="2" borderId="0" xfId="0" applyFont="1" applyFill="1" applyBorder="1"/>
    <xf numFmtId="0" fontId="15" fillId="2" borderId="0" xfId="0" applyFont="1" applyFill="1" applyBorder="1" applyAlignment="1"/>
    <xf numFmtId="0" fontId="5" fillId="8" borderId="0" xfId="0" applyFont="1" applyFill="1" applyBorder="1" applyAlignment="1">
      <alignment vertical="center"/>
    </xf>
    <xf numFmtId="0" fontId="0" fillId="8" borderId="0" xfId="0" applyFill="1"/>
    <xf numFmtId="0" fontId="0" fillId="8" borderId="0" xfId="0" applyFill="1" applyAlignment="1">
      <alignment horizontal="right"/>
    </xf>
    <xf numFmtId="0" fontId="16" fillId="8" borderId="0" xfId="0" applyFont="1" applyFill="1" applyBorder="1" applyAlignment="1">
      <alignment vertical="center"/>
    </xf>
    <xf numFmtId="0" fontId="0" fillId="8" borderId="0" xfId="0" applyFont="1" applyFill="1" applyBorder="1" applyAlignment="1">
      <alignment vertical="center"/>
    </xf>
    <xf numFmtId="0" fontId="0" fillId="8" borderId="0" xfId="0" applyFill="1" applyAlignment="1">
      <alignment horizontal="left"/>
    </xf>
    <xf numFmtId="2" fontId="0" fillId="8" borderId="0" xfId="0" applyNumberFormat="1" applyFont="1" applyFill="1" applyBorder="1" applyAlignment="1">
      <alignment horizontal="center" vertical="center"/>
    </xf>
    <xf numFmtId="2" fontId="0" fillId="8" borderId="0" xfId="0" applyNumberFormat="1" applyFont="1" applyFill="1" applyBorder="1" applyAlignment="1">
      <alignment horizontal="left" vertical="center"/>
    </xf>
    <xf numFmtId="0" fontId="0" fillId="8" borderId="0" xfId="0" applyFill="1" applyBorder="1" applyAlignment="1"/>
    <xf numFmtId="0" fontId="3" fillId="8" borderId="11" xfId="0" applyFont="1" applyFill="1" applyBorder="1" applyAlignment="1"/>
    <xf numFmtId="0" fontId="0" fillId="8" borderId="11" xfId="0" applyFill="1" applyBorder="1" applyAlignment="1"/>
    <xf numFmtId="0" fontId="5" fillId="2" borderId="5" xfId="0" applyFont="1" applyFill="1" applyBorder="1" applyAlignment="1">
      <alignment vertical="center"/>
    </xf>
    <xf numFmtId="0" fontId="5" fillId="9" borderId="0" xfId="0" applyFont="1" applyFill="1" applyBorder="1" applyAlignment="1">
      <alignment vertical="center"/>
    </xf>
    <xf numFmtId="0" fontId="16" fillId="9" borderId="0" xfId="0" applyFont="1" applyFill="1" applyBorder="1" applyAlignment="1">
      <alignment vertical="center"/>
    </xf>
    <xf numFmtId="0" fontId="0" fillId="9" borderId="0" xfId="0" applyFont="1" applyFill="1" applyBorder="1" applyAlignment="1">
      <alignment vertical="center"/>
    </xf>
    <xf numFmtId="0" fontId="0" fillId="9" borderId="0" xfId="0" applyFill="1"/>
    <xf numFmtId="2" fontId="0" fillId="9" borderId="0" xfId="0" applyNumberFormat="1" applyFont="1" applyFill="1" applyBorder="1" applyAlignment="1">
      <alignment horizontal="center" vertical="center"/>
    </xf>
    <xf numFmtId="2" fontId="0" fillId="9" borderId="0" xfId="0" applyNumberFormat="1" applyFont="1" applyFill="1" applyBorder="1" applyAlignment="1">
      <alignment horizontal="left" vertical="center"/>
    </xf>
    <xf numFmtId="0" fontId="3" fillId="9" borderId="11" xfId="0" applyFont="1" applyFill="1" applyBorder="1" applyAlignment="1"/>
    <xf numFmtId="2" fontId="0" fillId="5" borderId="0" xfId="0" applyNumberFormat="1" applyFill="1" applyAlignment="1">
      <alignment horizontal="center"/>
    </xf>
    <xf numFmtId="0" fontId="0" fillId="5" borderId="0" xfId="0" applyFill="1" applyAlignment="1">
      <alignment horizontal="center"/>
    </xf>
    <xf numFmtId="0" fontId="3" fillId="0" borderId="0" xfId="0" applyFont="1"/>
    <xf numFmtId="0" fontId="0" fillId="12" borderId="4" xfId="0" applyFont="1" applyFill="1" applyBorder="1"/>
    <xf numFmtId="0" fontId="0" fillId="12" borderId="5" xfId="0" applyFont="1" applyFill="1" applyBorder="1"/>
    <xf numFmtId="0" fontId="0" fillId="12" borderId="6" xfId="0" applyFont="1" applyFill="1" applyBorder="1"/>
    <xf numFmtId="0" fontId="0" fillId="12" borderId="4" xfId="0" applyFill="1" applyBorder="1"/>
    <xf numFmtId="0" fontId="0" fillId="12" borderId="5" xfId="0" applyFill="1" applyBorder="1"/>
    <xf numFmtId="0" fontId="0" fillId="12" borderId="6" xfId="0" applyFill="1" applyBorder="1"/>
    <xf numFmtId="0" fontId="0" fillId="0" borderId="20" xfId="0" applyBorder="1" applyAlignment="1">
      <alignment horizontal="center" vertical="center"/>
    </xf>
    <xf numFmtId="0" fontId="18" fillId="13" borderId="1" xfId="0" applyFont="1" applyFill="1" applyBorder="1"/>
    <xf numFmtId="0" fontId="0" fillId="13" borderId="2" xfId="0" applyFill="1" applyBorder="1"/>
    <xf numFmtId="0" fontId="0" fillId="13" borderId="3" xfId="0" applyFill="1" applyBorder="1"/>
    <xf numFmtId="0" fontId="0" fillId="0" borderId="7" xfId="0" applyBorder="1" applyAlignment="1">
      <alignment horizontal="center"/>
    </xf>
    <xf numFmtId="0" fontId="0" fillId="0" borderId="0" xfId="0" applyBorder="1"/>
    <xf numFmtId="0" fontId="0" fillId="0" borderId="8" xfId="0" applyBorder="1"/>
    <xf numFmtId="165" fontId="0" fillId="0" borderId="7" xfId="0" applyNumberFormat="1" applyBorder="1"/>
    <xf numFmtId="0" fontId="0" fillId="0" borderId="21" xfId="0" applyBorder="1" applyAlignment="1">
      <alignment horizontal="center" vertical="center"/>
    </xf>
    <xf numFmtId="0" fontId="0" fillId="14" borderId="22" xfId="0" applyFill="1" applyBorder="1" applyAlignment="1">
      <alignment horizontal="left"/>
    </xf>
    <xf numFmtId="0" fontId="0" fillId="14" borderId="0" xfId="0" applyFill="1" applyBorder="1"/>
    <xf numFmtId="0" fontId="0" fillId="14" borderId="23" xfId="0" applyFill="1" applyBorder="1"/>
    <xf numFmtId="0" fontId="0" fillId="0" borderId="7" xfId="0" applyBorder="1"/>
    <xf numFmtId="0" fontId="0" fillId="0" borderId="18" xfId="0" applyBorder="1" applyAlignment="1">
      <alignment horizontal="center" vertical="center"/>
    </xf>
    <xf numFmtId="0" fontId="0" fillId="0" borderId="10" xfId="0" applyBorder="1"/>
    <xf numFmtId="0" fontId="0" fillId="0" borderId="11" xfId="0" applyBorder="1"/>
    <xf numFmtId="0" fontId="0" fillId="0" borderId="12" xfId="0" applyBorder="1"/>
    <xf numFmtId="2" fontId="0" fillId="14" borderId="22" xfId="0" applyNumberFormat="1" applyFill="1" applyBorder="1" applyAlignment="1">
      <alignment horizontal="center"/>
    </xf>
    <xf numFmtId="0" fontId="0" fillId="14" borderId="0" xfId="0" applyFill="1" applyBorder="1" applyAlignment="1">
      <alignment horizontal="center"/>
    </xf>
    <xf numFmtId="2" fontId="0" fillId="14" borderId="23" xfId="0" applyNumberFormat="1" applyFill="1"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10" xfId="0" applyBorder="1" applyAlignment="1">
      <alignment horizontal="center"/>
    </xf>
    <xf numFmtId="0" fontId="0" fillId="0" borderId="18" xfId="0" applyBorder="1" applyAlignment="1">
      <alignment horizontal="center"/>
    </xf>
    <xf numFmtId="0" fontId="0" fillId="0" borderId="4" xfId="0" applyBorder="1"/>
    <xf numFmtId="0" fontId="0" fillId="0" borderId="6" xfId="0" applyBorder="1"/>
    <xf numFmtId="0" fontId="0" fillId="10" borderId="0" xfId="0" applyFill="1"/>
    <xf numFmtId="0" fontId="0" fillId="5" borderId="0" xfId="0" applyFill="1" applyBorder="1"/>
    <xf numFmtId="0" fontId="0" fillId="5" borderId="0" xfId="0" applyFill="1" applyBorder="1" applyAlignment="1"/>
    <xf numFmtId="0" fontId="0" fillId="9" borderId="2" xfId="0" applyFill="1" applyBorder="1" applyAlignment="1">
      <alignment horizontal="center"/>
    </xf>
    <xf numFmtId="0" fontId="0" fillId="11" borderId="2" xfId="0" applyFill="1" applyBorder="1"/>
    <xf numFmtId="0" fontId="17" fillId="11" borderId="2" xfId="0" applyFont="1" applyFill="1" applyBorder="1" applyAlignment="1">
      <alignment horizontal="center"/>
    </xf>
    <xf numFmtId="2" fontId="0" fillId="11" borderId="2" xfId="0" applyNumberFormat="1" applyFill="1" applyBorder="1" applyAlignment="1">
      <alignment horizontal="center"/>
    </xf>
    <xf numFmtId="0" fontId="0" fillId="11" borderId="2" xfId="0" applyFill="1" applyBorder="1" applyAlignment="1"/>
    <xf numFmtId="0" fontId="0" fillId="11" borderId="2" xfId="0" applyFill="1" applyBorder="1" applyAlignment="1">
      <alignment horizontal="center"/>
    </xf>
    <xf numFmtId="0" fontId="0" fillId="9" borderId="1" xfId="0" applyFill="1" applyBorder="1" applyAlignment="1">
      <alignment horizontal="center"/>
    </xf>
    <xf numFmtId="0" fontId="0" fillId="9" borderId="3" xfId="0" applyFill="1" applyBorder="1" applyAlignment="1">
      <alignment horizontal="center"/>
    </xf>
    <xf numFmtId="0" fontId="0" fillId="11" borderId="1" xfId="0" applyFill="1" applyBorder="1"/>
    <xf numFmtId="0" fontId="0" fillId="11" borderId="3" xfId="0" applyFill="1" applyBorder="1"/>
    <xf numFmtId="0" fontId="0" fillId="5" borderId="7" xfId="0" applyFill="1" applyBorder="1"/>
    <xf numFmtId="0" fontId="0" fillId="5" borderId="8" xfId="0" applyFill="1" applyBorder="1"/>
    <xf numFmtId="2" fontId="0" fillId="5" borderId="0" xfId="0" applyNumberFormat="1" applyFill="1" applyBorder="1"/>
    <xf numFmtId="0" fontId="0" fillId="5" borderId="11" xfId="0" applyFill="1" applyBorder="1"/>
    <xf numFmtId="0" fontId="0" fillId="5" borderId="11" xfId="0" applyFill="1" applyBorder="1" applyAlignment="1"/>
    <xf numFmtId="0" fontId="0" fillId="9" borderId="0" xfId="0" applyFill="1" applyBorder="1" applyAlignment="1">
      <alignment horizontal="center"/>
    </xf>
    <xf numFmtId="0" fontId="0" fillId="9" borderId="0" xfId="0" applyFont="1" applyFill="1" applyBorder="1" applyAlignment="1">
      <alignment horizontal="center" vertical="center"/>
    </xf>
    <xf numFmtId="0" fontId="0" fillId="8" borderId="0" xfId="0" applyFont="1" applyFill="1" applyBorder="1" applyAlignment="1">
      <alignment horizontal="center" vertical="center"/>
    </xf>
    <xf numFmtId="0" fontId="0" fillId="8" borderId="0" xfId="0" applyFill="1" applyAlignment="1">
      <alignment horizontal="center"/>
    </xf>
    <xf numFmtId="0" fontId="0" fillId="9" borderId="4" xfId="0" applyFill="1" applyBorder="1" applyAlignment="1">
      <alignment horizontal="center"/>
    </xf>
    <xf numFmtId="0" fontId="0" fillId="9" borderId="5" xfId="0" applyFill="1" applyBorder="1" applyAlignment="1">
      <alignment horizontal="center"/>
    </xf>
    <xf numFmtId="0" fontId="0" fillId="9" borderId="6" xfId="0" applyFill="1" applyBorder="1" applyAlignment="1">
      <alignment horizontal="center"/>
    </xf>
    <xf numFmtId="2" fontId="0" fillId="5" borderId="0" xfId="0" applyNumberFormat="1" applyFill="1" applyBorder="1" applyAlignment="1">
      <alignment horizontal="center"/>
    </xf>
    <xf numFmtId="0" fontId="0" fillId="5" borderId="11" xfId="0" applyFill="1" applyBorder="1" applyAlignment="1">
      <alignment horizontal="center"/>
    </xf>
    <xf numFmtId="0" fontId="0" fillId="5" borderId="0" xfId="0" applyFill="1" applyBorder="1" applyAlignment="1">
      <alignment horizontal="center"/>
    </xf>
    <xf numFmtId="0" fontId="0" fillId="5" borderId="4" xfId="0" applyFill="1" applyBorder="1"/>
    <xf numFmtId="0" fontId="0" fillId="5" borderId="5" xfId="0" applyFill="1" applyBorder="1"/>
    <xf numFmtId="2" fontId="0" fillId="5" borderId="5" xfId="0" applyNumberFormat="1" applyFill="1" applyBorder="1" applyAlignment="1">
      <alignment horizontal="center"/>
    </xf>
    <xf numFmtId="0" fontId="0" fillId="5" borderId="5" xfId="0" applyFill="1" applyBorder="1" applyAlignment="1"/>
    <xf numFmtId="0" fontId="0" fillId="5" borderId="6" xfId="0" applyFill="1" applyBorder="1"/>
    <xf numFmtId="0" fontId="0" fillId="5" borderId="0" xfId="0" applyFill="1" applyBorder="1" applyAlignment="1">
      <alignment horizontal="center"/>
    </xf>
    <xf numFmtId="0" fontId="0" fillId="8" borderId="0" xfId="0" applyFill="1" applyBorder="1" applyAlignment="1">
      <alignment horizontal="center"/>
    </xf>
    <xf numFmtId="0" fontId="5" fillId="5" borderId="3" xfId="0" applyFont="1" applyFill="1" applyBorder="1" applyAlignment="1">
      <alignment vertical="center"/>
    </xf>
    <xf numFmtId="0" fontId="5" fillId="2" borderId="0" xfId="0" applyFont="1" applyFill="1" applyBorder="1" applyAlignment="1">
      <alignment vertical="center"/>
    </xf>
    <xf numFmtId="0" fontId="21" fillId="8" borderId="0" xfId="0" applyFont="1" applyFill="1" applyBorder="1"/>
    <xf numFmtId="0" fontId="22" fillId="8" borderId="0" xfId="0" applyFont="1" applyFill="1" applyBorder="1" applyAlignment="1">
      <alignment horizontal="center"/>
    </xf>
    <xf numFmtId="0" fontId="24" fillId="16" borderId="25" xfId="3" applyAlignment="1">
      <alignment horizontal="center"/>
    </xf>
    <xf numFmtId="2" fontId="24" fillId="16" borderId="25" xfId="3" applyNumberFormat="1" applyAlignment="1">
      <alignment horizontal="center"/>
    </xf>
    <xf numFmtId="164" fontId="23" fillId="15" borderId="24" xfId="2" applyNumberFormat="1" applyAlignment="1" applyProtection="1">
      <alignment horizontal="center"/>
      <protection locked="0"/>
    </xf>
    <xf numFmtId="2" fontId="23" fillId="15" borderId="24" xfId="2" applyNumberFormat="1" applyAlignment="1" applyProtection="1">
      <alignment horizontal="center"/>
      <protection locked="0"/>
    </xf>
    <xf numFmtId="1" fontId="23" fillId="15" borderId="24" xfId="2" applyNumberFormat="1" applyAlignment="1" applyProtection="1">
      <alignment horizontal="center"/>
      <protection locked="0"/>
    </xf>
    <xf numFmtId="2" fontId="23" fillId="15" borderId="24" xfId="2" applyNumberFormat="1" applyAlignment="1">
      <alignment horizontal="center"/>
    </xf>
    <xf numFmtId="0" fontId="23" fillId="15" borderId="24" xfId="2" applyAlignment="1">
      <alignment horizontal="center"/>
    </xf>
    <xf numFmtId="0" fontId="3" fillId="8" borderId="0" xfId="0" applyFont="1" applyFill="1" applyBorder="1" applyAlignment="1"/>
    <xf numFmtId="0" fontId="0" fillId="17" borderId="7" xfId="0" applyFill="1" applyBorder="1"/>
    <xf numFmtId="0" fontId="0" fillId="17" borderId="4" xfId="0" applyFill="1" applyBorder="1"/>
    <xf numFmtId="0" fontId="0" fillId="17" borderId="5" xfId="0" applyFill="1" applyBorder="1"/>
    <xf numFmtId="0" fontId="0" fillId="17" borderId="6" xfId="0" applyFill="1" applyBorder="1"/>
    <xf numFmtId="0" fontId="0" fillId="17" borderId="0" xfId="0" applyFill="1" applyBorder="1"/>
    <xf numFmtId="0" fontId="0" fillId="17" borderId="8" xfId="0" applyFill="1" applyBorder="1"/>
    <xf numFmtId="0" fontId="0" fillId="17" borderId="10" xfId="0" applyFill="1" applyBorder="1"/>
    <xf numFmtId="0" fontId="0" fillId="17" borderId="11" xfId="0" applyFill="1" applyBorder="1"/>
    <xf numFmtId="0" fontId="9" fillId="17" borderId="0" xfId="0" applyFont="1" applyFill="1" applyBorder="1"/>
    <xf numFmtId="0" fontId="0" fillId="17" borderId="12" xfId="0" applyFill="1" applyBorder="1"/>
    <xf numFmtId="0" fontId="0" fillId="17" borderId="0" xfId="0" applyFill="1" applyBorder="1" applyAlignment="1">
      <alignment horizontal="left"/>
    </xf>
    <xf numFmtId="0" fontId="3" fillId="9" borderId="0" xfId="0" applyFont="1" applyFill="1" applyBorder="1" applyAlignment="1"/>
    <xf numFmtId="0" fontId="0" fillId="8" borderId="0" xfId="0" applyFill="1" applyBorder="1" applyAlignment="1">
      <alignment horizontal="center"/>
    </xf>
    <xf numFmtId="2" fontId="24" fillId="16" borderId="25" xfId="3" applyNumberFormat="1" applyAlignment="1">
      <alignment horizontal="center"/>
    </xf>
    <xf numFmtId="0" fontId="24" fillId="16" borderId="25" xfId="3" applyAlignment="1">
      <alignment horizontal="center"/>
    </xf>
    <xf numFmtId="0" fontId="23" fillId="15" borderId="24" xfId="2" applyAlignment="1">
      <alignment horizontal="center"/>
    </xf>
    <xf numFmtId="164" fontId="23" fillId="15" borderId="24" xfId="2" applyNumberFormat="1" applyBorder="1" applyAlignment="1" applyProtection="1">
      <alignment horizontal="center"/>
      <protection locked="0"/>
    </xf>
    <xf numFmtId="2" fontId="7" fillId="18" borderId="24" xfId="0" applyNumberFormat="1" applyFont="1" applyFill="1" applyBorder="1" applyAlignment="1">
      <alignment horizontal="center"/>
    </xf>
    <xf numFmtId="0" fontId="7" fillId="18" borderId="24" xfId="0" applyFont="1" applyFill="1" applyBorder="1" applyAlignment="1">
      <alignment horizontal="center"/>
    </xf>
    <xf numFmtId="0" fontId="24" fillId="16" borderId="34" xfId="3" applyBorder="1" applyAlignment="1">
      <alignment horizontal="center"/>
    </xf>
    <xf numFmtId="0" fontId="23" fillId="15" borderId="24" xfId="2" applyBorder="1" applyAlignment="1">
      <alignment horizontal="center"/>
    </xf>
    <xf numFmtId="0" fontId="8" fillId="8" borderId="0" xfId="0" applyFont="1" applyFill="1" applyBorder="1" applyAlignment="1">
      <alignment horizontal="center"/>
    </xf>
    <xf numFmtId="0" fontId="13" fillId="8" borderId="0" xfId="0" applyFont="1" applyFill="1" applyBorder="1" applyAlignment="1"/>
    <xf numFmtId="0" fontId="13" fillId="9" borderId="0" xfId="0" applyFont="1" applyFill="1" applyBorder="1" applyAlignment="1"/>
    <xf numFmtId="2" fontId="24" fillId="16" borderId="25" xfId="3" applyNumberFormat="1" applyAlignment="1">
      <alignment horizontal="center"/>
    </xf>
    <xf numFmtId="0" fontId="0" fillId="9" borderId="0" xfId="0" applyFill="1" applyBorder="1" applyAlignment="1">
      <alignment horizontal="center"/>
    </xf>
    <xf numFmtId="0" fontId="23" fillId="15" borderId="24" xfId="2" applyAlignment="1">
      <alignment horizontal="center"/>
    </xf>
    <xf numFmtId="2" fontId="24" fillId="16" borderId="25" xfId="3" applyNumberFormat="1" applyAlignment="1">
      <alignment horizontal="center"/>
    </xf>
    <xf numFmtId="0" fontId="24" fillId="16" borderId="25" xfId="3" applyAlignment="1">
      <alignment horizontal="center"/>
    </xf>
    <xf numFmtId="0" fontId="8" fillId="9" borderId="0" xfId="0" applyFont="1" applyFill="1" applyBorder="1" applyAlignment="1">
      <alignment horizontal="center"/>
    </xf>
    <xf numFmtId="0" fontId="0" fillId="9" borderId="2" xfId="0" applyFill="1" applyBorder="1" applyAlignment="1">
      <alignment horizontal="left"/>
    </xf>
    <xf numFmtId="0" fontId="17" fillId="11" borderId="2" xfId="0" applyFont="1" applyFill="1" applyBorder="1" applyAlignment="1">
      <alignment horizontal="left"/>
    </xf>
    <xf numFmtId="0" fontId="0" fillId="5" borderId="0" xfId="0" applyFill="1" applyBorder="1" applyAlignment="1">
      <alignment horizontal="left"/>
    </xf>
    <xf numFmtId="0" fontId="0" fillId="5" borderId="5" xfId="0" applyFill="1" applyBorder="1" applyAlignment="1">
      <alignment horizontal="left"/>
    </xf>
    <xf numFmtId="0" fontId="0" fillId="5" borderId="11" xfId="0" applyFill="1" applyBorder="1" applyAlignment="1">
      <alignment horizontal="left"/>
    </xf>
    <xf numFmtId="0" fontId="8" fillId="7" borderId="0" xfId="0" applyFont="1" applyFill="1" applyBorder="1" applyAlignment="1">
      <alignment horizontal="center"/>
    </xf>
    <xf numFmtId="0" fontId="0" fillId="7" borderId="0" xfId="0" applyFill="1" applyBorder="1" applyAlignment="1">
      <alignment horizontal="center"/>
    </xf>
    <xf numFmtId="165" fontId="24" fillId="16" borderId="25" xfId="3" applyNumberFormat="1" applyAlignment="1">
      <alignment horizontal="center"/>
    </xf>
    <xf numFmtId="2" fontId="24" fillId="16" borderId="25" xfId="3" applyNumberFormat="1" applyAlignment="1">
      <alignment horizontal="center" vertical="center"/>
    </xf>
    <xf numFmtId="0" fontId="0" fillId="0" borderId="0" xfId="0" applyAlignment="1"/>
    <xf numFmtId="0" fontId="23" fillId="15" borderId="24" xfId="2" applyAlignment="1">
      <alignment horizontal="center"/>
    </xf>
    <xf numFmtId="0" fontId="23" fillId="15" borderId="24" xfId="2" applyAlignment="1">
      <alignment horizontal="center"/>
    </xf>
    <xf numFmtId="2" fontId="24" fillId="16" borderId="25" xfId="3" applyNumberFormat="1" applyAlignment="1">
      <alignment horizontal="center"/>
    </xf>
    <xf numFmtId="0" fontId="0" fillId="12" borderId="20" xfId="0" applyFill="1" applyBorder="1"/>
    <xf numFmtId="2" fontId="0" fillId="5" borderId="11" xfId="0" applyNumberFormat="1" applyFill="1" applyBorder="1" applyAlignment="1">
      <alignment horizontal="center"/>
    </xf>
    <xf numFmtId="2" fontId="24" fillId="16" borderId="25" xfId="3" applyNumberFormat="1" applyAlignment="1">
      <alignment horizontal="center"/>
    </xf>
    <xf numFmtId="2" fontId="0" fillId="0" borderId="0" xfId="0" applyNumberFormat="1"/>
    <xf numFmtId="0" fontId="3" fillId="19" borderId="0" xfId="0" applyFont="1" applyFill="1"/>
    <xf numFmtId="0" fontId="0" fillId="11" borderId="2" xfId="0" applyFill="1" applyBorder="1" applyAlignment="1">
      <alignment horizontal="right"/>
    </xf>
    <xf numFmtId="0" fontId="0" fillId="2" borderId="0" xfId="0" applyFill="1" applyAlignment="1">
      <alignment horizontal="right"/>
    </xf>
    <xf numFmtId="0" fontId="0" fillId="12" borderId="0" xfId="0" applyFill="1" applyAlignment="1">
      <alignment horizontal="center"/>
    </xf>
    <xf numFmtId="0" fontId="0" fillId="0" borderId="0" xfId="0" applyAlignment="1">
      <alignment horizontal="center"/>
    </xf>
    <xf numFmtId="2" fontId="26" fillId="16" borderId="25" xfId="3" applyNumberFormat="1" applyFont="1" applyAlignment="1">
      <alignment horizontal="center"/>
    </xf>
    <xf numFmtId="0" fontId="27" fillId="5" borderId="0" xfId="0" applyFont="1" applyFill="1" applyBorder="1" applyAlignment="1">
      <alignment horizontal="right"/>
    </xf>
    <xf numFmtId="0" fontId="27" fillId="11" borderId="2" xfId="0" applyFont="1" applyFill="1" applyBorder="1" applyAlignment="1">
      <alignment horizontal="right"/>
    </xf>
    <xf numFmtId="0" fontId="7" fillId="11" borderId="2" xfId="0" applyFont="1" applyFill="1" applyBorder="1" applyAlignment="1">
      <alignment horizontal="right"/>
    </xf>
    <xf numFmtId="0" fontId="27" fillId="5" borderId="5" xfId="0" applyFont="1" applyFill="1" applyBorder="1" applyAlignment="1">
      <alignment horizontal="right"/>
    </xf>
    <xf numFmtId="0" fontId="27" fillId="5" borderId="11" xfId="0" applyFont="1" applyFill="1" applyBorder="1" applyAlignment="1">
      <alignment horizontal="right"/>
    </xf>
    <xf numFmtId="0" fontId="0" fillId="19" borderId="0" xfId="0" applyFill="1"/>
    <xf numFmtId="11" fontId="23" fillId="15" borderId="24" xfId="2" applyNumberFormat="1" applyBorder="1" applyAlignment="1">
      <alignment horizontal="center"/>
    </xf>
    <xf numFmtId="2" fontId="24" fillId="16" borderId="25" xfId="3" applyNumberFormat="1" applyBorder="1" applyAlignment="1">
      <alignment horizontal="center"/>
    </xf>
    <xf numFmtId="11" fontId="0" fillId="0" borderId="20" xfId="0" applyNumberFormat="1" applyBorder="1" applyAlignment="1">
      <alignment horizontal="center"/>
    </xf>
    <xf numFmtId="11" fontId="0" fillId="0" borderId="18" xfId="0" applyNumberFormat="1" applyBorder="1" applyAlignment="1">
      <alignment horizontal="center"/>
    </xf>
    <xf numFmtId="0" fontId="8" fillId="0" borderId="0" xfId="0" applyFont="1"/>
    <xf numFmtId="11" fontId="0" fillId="20" borderId="38" xfId="0" applyNumberFormat="1" applyFill="1" applyBorder="1" applyAlignment="1">
      <alignment horizontal="center"/>
    </xf>
    <xf numFmtId="0" fontId="0" fillId="20" borderId="39" xfId="0" applyFill="1" applyBorder="1" applyAlignment="1">
      <alignment horizontal="center"/>
    </xf>
    <xf numFmtId="11" fontId="0" fillId="2" borderId="38" xfId="0" applyNumberFormat="1" applyFill="1" applyBorder="1" applyAlignment="1">
      <alignment horizontal="center"/>
    </xf>
    <xf numFmtId="0" fontId="0" fillId="2" borderId="39" xfId="0" applyFill="1" applyBorder="1" applyAlignment="1">
      <alignment horizontal="center"/>
    </xf>
    <xf numFmtId="11" fontId="0" fillId="2" borderId="41" xfId="0" applyNumberFormat="1" applyFill="1" applyBorder="1" applyAlignment="1">
      <alignment horizontal="center"/>
    </xf>
    <xf numFmtId="0" fontId="0" fillId="2" borderId="42" xfId="0" applyFill="1" applyBorder="1" applyAlignment="1">
      <alignment horizontal="center"/>
    </xf>
    <xf numFmtId="11" fontId="28" fillId="21" borderId="35" xfId="0" applyNumberFormat="1" applyFont="1" applyFill="1" applyBorder="1" applyAlignment="1">
      <alignment horizontal="center"/>
    </xf>
    <xf numFmtId="0" fontId="28" fillId="21" borderId="36" xfId="0" applyFont="1" applyFill="1" applyBorder="1" applyAlignment="1">
      <alignment horizontal="center"/>
    </xf>
    <xf numFmtId="0" fontId="0" fillId="20" borderId="39" xfId="0" applyFill="1" applyBorder="1" applyAlignment="1">
      <alignment horizontal="center"/>
    </xf>
    <xf numFmtId="0" fontId="0" fillId="0" borderId="40" xfId="0" applyBorder="1" applyAlignment="1">
      <alignment horizontal="center"/>
    </xf>
    <xf numFmtId="0" fontId="0" fillId="2" borderId="39" xfId="0" applyFill="1" applyBorder="1" applyAlignment="1">
      <alignment horizontal="center"/>
    </xf>
    <xf numFmtId="0" fontId="0" fillId="2" borderId="42" xfId="0" applyFill="1" applyBorder="1" applyAlignment="1">
      <alignment horizontal="center"/>
    </xf>
    <xf numFmtId="0" fontId="0" fillId="0" borderId="43" xfId="0" applyBorder="1" applyAlignment="1">
      <alignment horizontal="center"/>
    </xf>
    <xf numFmtId="0" fontId="28" fillId="21" borderId="36" xfId="0" applyFont="1" applyFill="1" applyBorder="1" applyAlignment="1">
      <alignment horizontal="center"/>
    </xf>
    <xf numFmtId="0" fontId="28" fillId="21" borderId="37" xfId="0" applyFont="1" applyFill="1" applyBorder="1" applyAlignment="1">
      <alignment horizontal="center"/>
    </xf>
    <xf numFmtId="0" fontId="0" fillId="23" borderId="16" xfId="0" applyFill="1" applyBorder="1"/>
    <xf numFmtId="0" fontId="0" fillId="22" borderId="19" xfId="0" applyFill="1" applyBorder="1"/>
    <xf numFmtId="0" fontId="0" fillId="4" borderId="0" xfId="0" applyFill="1" applyBorder="1" applyAlignment="1">
      <alignment horizontal="center"/>
    </xf>
    <xf numFmtId="0" fontId="0" fillId="4" borderId="26" xfId="0" applyFill="1" applyBorder="1" applyAlignment="1">
      <alignment horizontal="center"/>
    </xf>
    <xf numFmtId="0" fontId="5" fillId="5" borderId="1" xfId="0" applyFont="1" applyFill="1" applyBorder="1" applyAlignment="1">
      <alignment horizontal="center" vertical="center"/>
    </xf>
    <xf numFmtId="0" fontId="5" fillId="5" borderId="2" xfId="0" applyFont="1" applyFill="1" applyBorder="1" applyAlignment="1">
      <alignment horizontal="center" vertical="center"/>
    </xf>
    <xf numFmtId="0" fontId="5" fillId="5" borderId="3" xfId="0" applyFont="1" applyFill="1" applyBorder="1" applyAlignment="1">
      <alignment horizontal="center" vertical="center"/>
    </xf>
    <xf numFmtId="0" fontId="0" fillId="4" borderId="27" xfId="0" applyFill="1" applyBorder="1" applyAlignment="1">
      <alignment horizontal="center"/>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0" fillId="4" borderId="0" xfId="0" applyFill="1" applyBorder="1" applyAlignment="1">
      <alignment horizontal="center" vertical="center"/>
    </xf>
    <xf numFmtId="0" fontId="0" fillId="4" borderId="27" xfId="0" applyFill="1" applyBorder="1" applyAlignment="1">
      <alignment horizontal="center" vertical="center"/>
    </xf>
    <xf numFmtId="0" fontId="0" fillId="17" borderId="0" xfId="0" applyFill="1" applyBorder="1" applyAlignment="1">
      <alignment horizontal="center"/>
    </xf>
    <xf numFmtId="0" fontId="25" fillId="5" borderId="1" xfId="0" applyFont="1" applyFill="1" applyBorder="1" applyAlignment="1">
      <alignment horizontal="center" vertical="center"/>
    </xf>
    <xf numFmtId="0" fontId="25" fillId="5" borderId="2" xfId="0" applyFont="1" applyFill="1" applyBorder="1" applyAlignment="1">
      <alignment horizontal="center" vertical="center"/>
    </xf>
    <xf numFmtId="0" fontId="25" fillId="5" borderId="3" xfId="0" applyFont="1" applyFill="1" applyBorder="1" applyAlignment="1">
      <alignment horizontal="center" vertical="center"/>
    </xf>
    <xf numFmtId="0" fontId="3" fillId="9" borderId="0" xfId="0" applyFont="1" applyFill="1" applyBorder="1" applyAlignment="1">
      <alignment horizontal="center"/>
    </xf>
    <xf numFmtId="0" fontId="0" fillId="8" borderId="0" xfId="0" applyFill="1" applyBorder="1" applyAlignment="1">
      <alignment horizontal="center"/>
    </xf>
    <xf numFmtId="0" fontId="0" fillId="8" borderId="26" xfId="0" applyFill="1" applyBorder="1" applyAlignment="1">
      <alignment horizontal="center"/>
    </xf>
    <xf numFmtId="0" fontId="3" fillId="8" borderId="0" xfId="0" applyFont="1" applyFill="1" applyBorder="1" applyAlignment="1">
      <alignment horizontal="center"/>
    </xf>
    <xf numFmtId="0" fontId="23" fillId="15" borderId="24" xfId="2" applyAlignment="1">
      <alignment horizontal="center"/>
    </xf>
    <xf numFmtId="0" fontId="0" fillId="8" borderId="27" xfId="0" applyFill="1" applyBorder="1" applyAlignment="1">
      <alignment horizontal="center"/>
    </xf>
    <xf numFmtId="2" fontId="24" fillId="16" borderId="25" xfId="3" applyNumberFormat="1" applyAlignment="1">
      <alignment horizontal="center"/>
    </xf>
    <xf numFmtId="0" fontId="0" fillId="9" borderId="0" xfId="0" applyFill="1" applyBorder="1" applyAlignment="1">
      <alignment horizontal="center"/>
    </xf>
    <xf numFmtId="2" fontId="24" fillId="16" borderId="31" xfId="3" applyNumberFormat="1" applyBorder="1" applyAlignment="1">
      <alignment horizontal="center"/>
    </xf>
    <xf numFmtId="2" fontId="24" fillId="16" borderId="33" xfId="3" applyNumberFormat="1" applyBorder="1" applyAlignment="1">
      <alignment horizontal="center"/>
    </xf>
    <xf numFmtId="0" fontId="7" fillId="18" borderId="28" xfId="0" applyFont="1" applyFill="1" applyBorder="1" applyAlignment="1">
      <alignment horizontal="center"/>
    </xf>
    <xf numFmtId="0" fontId="7" fillId="18" borderId="29" xfId="0" applyFont="1" applyFill="1" applyBorder="1" applyAlignment="1">
      <alignment horizontal="center"/>
    </xf>
    <xf numFmtId="0" fontId="7" fillId="18" borderId="30" xfId="0" applyFont="1" applyFill="1" applyBorder="1" applyAlignment="1">
      <alignment horizontal="center"/>
    </xf>
    <xf numFmtId="0" fontId="24" fillId="16" borderId="31" xfId="3" applyBorder="1" applyAlignment="1">
      <alignment horizontal="center"/>
    </xf>
    <xf numFmtId="0" fontId="24" fillId="16" borderId="32" xfId="3" applyBorder="1" applyAlignment="1">
      <alignment horizontal="center"/>
    </xf>
    <xf numFmtId="0" fontId="24" fillId="16" borderId="33" xfId="3" applyBorder="1" applyAlignment="1">
      <alignment horizontal="center"/>
    </xf>
    <xf numFmtId="0" fontId="24" fillId="16" borderId="25" xfId="3" applyAlignment="1">
      <alignment horizontal="center"/>
    </xf>
    <xf numFmtId="0" fontId="0" fillId="9" borderId="0" xfId="0" applyFill="1" applyBorder="1" applyAlignment="1">
      <alignment horizontal="center" vertical="center"/>
    </xf>
    <xf numFmtId="0" fontId="0" fillId="8" borderId="0" xfId="0" applyFill="1" applyBorder="1" applyAlignment="1">
      <alignment horizontal="center" vertical="center"/>
    </xf>
    <xf numFmtId="2" fontId="24" fillId="16" borderId="32" xfId="3" applyNumberFormat="1" applyBorder="1" applyAlignment="1">
      <alignment horizontal="center"/>
    </xf>
    <xf numFmtId="0" fontId="13" fillId="9" borderId="0" xfId="0" applyFont="1" applyFill="1" applyBorder="1" applyAlignment="1">
      <alignment horizontal="center"/>
    </xf>
    <xf numFmtId="0" fontId="13" fillId="8" borderId="0" xfId="0" applyFont="1" applyFill="1" applyBorder="1" applyAlignment="1">
      <alignment horizontal="center"/>
    </xf>
    <xf numFmtId="0" fontId="12" fillId="8" borderId="0" xfId="0" applyFont="1" applyFill="1" applyBorder="1" applyAlignment="1">
      <alignment horizontal="center"/>
    </xf>
    <xf numFmtId="0" fontId="12" fillId="8" borderId="27" xfId="0" applyFont="1" applyFill="1" applyBorder="1" applyAlignment="1">
      <alignment horizontal="center"/>
    </xf>
    <xf numFmtId="0" fontId="0" fillId="0" borderId="0" xfId="0"/>
    <xf numFmtId="0" fontId="0" fillId="0" borderId="0" xfId="0" applyAlignment="1">
      <alignment horizontal="center"/>
    </xf>
    <xf numFmtId="0" fontId="8" fillId="0" borderId="0" xfId="0" applyFont="1" applyAlignment="1">
      <alignment horizontal="center"/>
    </xf>
    <xf numFmtId="0" fontId="0" fillId="9" borderId="4" xfId="0" applyFill="1" applyBorder="1" applyAlignment="1">
      <alignment horizontal="center" vertical="center"/>
    </xf>
    <xf numFmtId="0" fontId="0" fillId="9" borderId="5" xfId="0" applyFill="1" applyBorder="1" applyAlignment="1">
      <alignment horizontal="center" vertical="center"/>
    </xf>
    <xf numFmtId="0" fontId="0" fillId="9" borderId="6" xfId="0" applyFill="1" applyBorder="1" applyAlignment="1">
      <alignment horizontal="center" vertical="center"/>
    </xf>
    <xf numFmtId="0" fontId="0" fillId="9" borderId="13" xfId="0" applyFill="1" applyBorder="1" applyAlignment="1">
      <alignment horizontal="center" vertical="center"/>
    </xf>
    <xf numFmtId="0" fontId="0" fillId="9" borderId="14" xfId="0" applyFill="1" applyBorder="1" applyAlignment="1">
      <alignment horizontal="center" vertical="center"/>
    </xf>
    <xf numFmtId="0" fontId="0" fillId="9" borderId="15" xfId="0" applyFill="1" applyBorder="1" applyAlignment="1">
      <alignment horizontal="center" vertical="center"/>
    </xf>
    <xf numFmtId="0" fontId="0" fillId="9" borderId="0" xfId="0" applyFill="1" applyBorder="1" applyAlignment="1">
      <alignment horizontal="left"/>
    </xf>
    <xf numFmtId="0" fontId="0" fillId="8" borderId="0" xfId="0" applyFill="1" applyBorder="1" applyAlignment="1">
      <alignment horizontal="left"/>
    </xf>
    <xf numFmtId="0" fontId="0" fillId="8" borderId="4" xfId="0" applyFill="1" applyBorder="1" applyAlignment="1">
      <alignment horizontal="center" vertical="center"/>
    </xf>
    <xf numFmtId="0" fontId="0" fillId="8" borderId="5" xfId="0" applyFill="1" applyBorder="1" applyAlignment="1">
      <alignment horizontal="center" vertical="center"/>
    </xf>
    <xf numFmtId="0" fontId="0" fillId="8" borderId="6" xfId="0" applyFill="1" applyBorder="1" applyAlignment="1">
      <alignment horizontal="center" vertical="center"/>
    </xf>
    <xf numFmtId="0" fontId="0" fillId="8" borderId="13" xfId="0" applyFill="1" applyBorder="1" applyAlignment="1">
      <alignment horizontal="center" vertical="center"/>
    </xf>
    <xf numFmtId="0" fontId="0" fillId="8" borderId="14" xfId="0" applyFill="1" applyBorder="1" applyAlignment="1">
      <alignment horizontal="center" vertical="center"/>
    </xf>
    <xf numFmtId="0" fontId="0" fillId="8" borderId="15" xfId="0" applyFill="1" applyBorder="1" applyAlignment="1">
      <alignment horizontal="center" vertical="center"/>
    </xf>
    <xf numFmtId="0" fontId="3" fillId="9" borderId="0" xfId="0" applyFont="1" applyFill="1" applyAlignment="1">
      <alignment horizontal="center"/>
    </xf>
    <xf numFmtId="0" fontId="0" fillId="9" borderId="0" xfId="0" applyFill="1" applyAlignment="1">
      <alignment horizontal="center"/>
    </xf>
    <xf numFmtId="0" fontId="3" fillId="9" borderId="0" xfId="0" applyFont="1" applyFill="1" applyBorder="1" applyAlignment="1">
      <alignment horizontal="center" vertical="center"/>
    </xf>
    <xf numFmtId="0" fontId="0" fillId="9" borderId="0" xfId="0" applyFont="1" applyFill="1" applyBorder="1" applyAlignment="1">
      <alignment horizontal="center" vertical="center"/>
    </xf>
    <xf numFmtId="0" fontId="0" fillId="8" borderId="0" xfId="0" applyFont="1" applyFill="1" applyBorder="1" applyAlignment="1">
      <alignment horizontal="center" vertical="center"/>
    </xf>
    <xf numFmtId="0" fontId="3" fillId="8" borderId="0" xfId="0" applyFont="1" applyFill="1" applyAlignment="1">
      <alignment horizontal="center"/>
    </xf>
    <xf numFmtId="0" fontId="0" fillId="8" borderId="0" xfId="0" applyFill="1" applyAlignment="1">
      <alignment horizontal="center"/>
    </xf>
    <xf numFmtId="0" fontId="0" fillId="7" borderId="0" xfId="0" applyFill="1" applyBorder="1" applyAlignment="1">
      <alignment horizontal="center"/>
    </xf>
    <xf numFmtId="0" fontId="3" fillId="8" borderId="0" xfId="0" applyFont="1" applyFill="1" applyBorder="1" applyAlignment="1">
      <alignment horizontal="center" vertical="center"/>
    </xf>
    <xf numFmtId="0" fontId="3" fillId="7" borderId="0" xfId="0" applyFont="1" applyFill="1" applyBorder="1" applyAlignment="1">
      <alignment horizontal="center"/>
    </xf>
    <xf numFmtId="0" fontId="0" fillId="5" borderId="0" xfId="0" applyFill="1" applyBorder="1" applyAlignment="1">
      <alignment horizontal="left" vertical="center"/>
    </xf>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12" borderId="0" xfId="0" applyFill="1" applyAlignment="1">
      <alignment horizontal="center"/>
    </xf>
    <xf numFmtId="0" fontId="0" fillId="0" borderId="8" xfId="0" applyBorder="1" applyAlignment="1">
      <alignment horizontal="center"/>
    </xf>
    <xf numFmtId="0" fontId="0" fillId="0" borderId="12" xfId="0" applyBorder="1" applyAlignment="1">
      <alignment horizontal="center"/>
    </xf>
    <xf numFmtId="0" fontId="3" fillId="0" borderId="0" xfId="0" applyFont="1" applyAlignment="1">
      <alignment horizontal="center"/>
    </xf>
  </cellXfs>
  <cellStyles count="4">
    <cellStyle name="Input" xfId="2" builtinId="20"/>
    <cellStyle name="Normal" xfId="0" builtinId="0"/>
    <cellStyle name="Output" xfId="3" builtinId="21"/>
    <cellStyle name="Percent" xfId="1" builtinId="5"/>
  </cellStyles>
  <dxfs count="60">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Light16"/>
  <colors>
    <mruColors>
      <color rgb="FFC0C0C0"/>
      <color rgb="FFFFF2CC"/>
      <color rgb="FF7F7F7F"/>
      <color rgb="FFCCFFCC"/>
      <color rgb="FFE1CDFF"/>
      <color rgb="FFFFFF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oneCellAnchor>
    <xdr:from>
      <xdr:col>10</xdr:col>
      <xdr:colOff>0</xdr:colOff>
      <xdr:row>3</xdr:row>
      <xdr:rowOff>0</xdr:rowOff>
    </xdr:from>
    <xdr:ext cx="7839075" cy="3184525"/>
    <xdr:pic>
      <xdr:nvPicPr>
        <xdr:cNvPr id="2" name="Picture 1">
          <a:extLst>
            <a:ext uri="{FF2B5EF4-FFF2-40B4-BE49-F238E27FC236}">
              <a16:creationId xmlns:a16="http://schemas.microsoft.com/office/drawing/2014/main" id="{EED46F85-5DFC-4183-9A18-135E4C77E794}"/>
            </a:ext>
          </a:extLst>
        </xdr:cNvPr>
        <xdr:cNvPicPr>
          <a:picLocks noChangeAspect="1"/>
        </xdr:cNvPicPr>
      </xdr:nvPicPr>
      <xdr:blipFill>
        <a:blip xmlns:r="http://schemas.openxmlformats.org/officeDocument/2006/relationships" r:embed="rId1"/>
        <a:stretch>
          <a:fillRect/>
        </a:stretch>
      </xdr:blipFill>
      <xdr:spPr>
        <a:xfrm>
          <a:off x="2254250" y="561975"/>
          <a:ext cx="7839075" cy="3184525"/>
        </a:xfrm>
        <a:prstGeom prst="rect">
          <a:avLst/>
        </a:prstGeom>
        <a:ln>
          <a:noFill/>
        </a:ln>
        <a:effectLst>
          <a:outerShdw blurRad="292100" dist="139700" dir="2700000" algn="tl" rotWithShape="0">
            <a:srgbClr val="333333">
              <a:alpha val="65000"/>
            </a:srgbClr>
          </a:outerShdw>
        </a:effectLst>
      </xdr:spPr>
    </xdr:pic>
    <xdr:clientData/>
  </xdr:oneCellAnchor>
  <xdr:twoCellAnchor>
    <xdr:from>
      <xdr:col>19</xdr:col>
      <xdr:colOff>590550</xdr:colOff>
      <xdr:row>16</xdr:row>
      <xdr:rowOff>19050</xdr:rowOff>
    </xdr:from>
    <xdr:to>
      <xdr:col>24</xdr:col>
      <xdr:colOff>88900</xdr:colOff>
      <xdr:row>18</xdr:row>
      <xdr:rowOff>19050</xdr:rowOff>
    </xdr:to>
    <xdr:sp macro="" textlink="">
      <xdr:nvSpPr>
        <xdr:cNvPr id="3" name="Rectangle 2">
          <a:extLst>
            <a:ext uri="{FF2B5EF4-FFF2-40B4-BE49-F238E27FC236}">
              <a16:creationId xmlns:a16="http://schemas.microsoft.com/office/drawing/2014/main" id="{637FB990-8BE6-4F15-B2D9-5825B2992CA5}"/>
            </a:ext>
          </a:extLst>
        </xdr:cNvPr>
        <xdr:cNvSpPr/>
      </xdr:nvSpPr>
      <xdr:spPr>
        <a:xfrm>
          <a:off x="6902450" y="3092450"/>
          <a:ext cx="2184400" cy="381000"/>
        </a:xfrm>
        <a:prstGeom prst="rect">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18</xdr:col>
      <xdr:colOff>995847</xdr:colOff>
      <xdr:row>14</xdr:row>
      <xdr:rowOff>63502</xdr:rowOff>
    </xdr:from>
    <xdr:to>
      <xdr:col>22</xdr:col>
      <xdr:colOff>118719</xdr:colOff>
      <xdr:row>16</xdr:row>
      <xdr:rowOff>63502</xdr:rowOff>
    </xdr:to>
    <xdr:sp macro="" textlink="">
      <xdr:nvSpPr>
        <xdr:cNvPr id="4" name="Rectangle 3">
          <a:extLst>
            <a:ext uri="{FF2B5EF4-FFF2-40B4-BE49-F238E27FC236}">
              <a16:creationId xmlns:a16="http://schemas.microsoft.com/office/drawing/2014/main" id="{F56AACE7-13B1-4542-B5F0-121456FCCAFE}"/>
            </a:ext>
          </a:extLst>
        </xdr:cNvPr>
        <xdr:cNvSpPr/>
      </xdr:nvSpPr>
      <xdr:spPr>
        <a:xfrm>
          <a:off x="6056521" y="2719459"/>
          <a:ext cx="2181915" cy="375478"/>
        </a:xfrm>
        <a:prstGeom prst="rect">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17</xdr:col>
      <xdr:colOff>0</xdr:colOff>
      <xdr:row>7</xdr:row>
      <xdr:rowOff>560</xdr:rowOff>
    </xdr:from>
    <xdr:ext cx="5970701" cy="946692"/>
    <xdr:pic>
      <xdr:nvPicPr>
        <xdr:cNvPr id="2" name="Picture 1">
          <a:extLst>
            <a:ext uri="{FF2B5EF4-FFF2-40B4-BE49-F238E27FC236}">
              <a16:creationId xmlns:a16="http://schemas.microsoft.com/office/drawing/2014/main" id="{ED5BC8BF-B7D8-495F-9FDD-20221D1CEFCB}"/>
            </a:ext>
          </a:extLst>
        </xdr:cNvPr>
        <xdr:cNvPicPr>
          <a:picLocks noChangeAspect="1"/>
        </xdr:cNvPicPr>
      </xdr:nvPicPr>
      <xdr:blipFill>
        <a:blip xmlns:r="http://schemas.openxmlformats.org/officeDocument/2006/relationships" r:embed="rId1"/>
        <a:stretch>
          <a:fillRect/>
        </a:stretch>
      </xdr:blipFill>
      <xdr:spPr>
        <a:xfrm>
          <a:off x="3832225" y="1162610"/>
          <a:ext cx="5970701" cy="946692"/>
        </a:xfrm>
        <a:prstGeom prst="rect">
          <a:avLst/>
        </a:prstGeom>
      </xdr:spPr>
    </xdr:pic>
    <xdr:clientData/>
  </xdr:oneCellAnchor>
  <xdr:oneCellAnchor>
    <xdr:from>
      <xdr:col>17</xdr:col>
      <xdr:colOff>1</xdr:colOff>
      <xdr:row>40</xdr:row>
      <xdr:rowOff>0</xdr:rowOff>
    </xdr:from>
    <xdr:ext cx="5970700" cy="1064033"/>
    <xdr:pic>
      <xdr:nvPicPr>
        <xdr:cNvPr id="3" name="Picture 2">
          <a:extLst>
            <a:ext uri="{FF2B5EF4-FFF2-40B4-BE49-F238E27FC236}">
              <a16:creationId xmlns:a16="http://schemas.microsoft.com/office/drawing/2014/main" id="{D150B2A8-0755-4A17-8163-5999677BA3B5}"/>
            </a:ext>
          </a:extLst>
        </xdr:cNvPr>
        <xdr:cNvPicPr>
          <a:picLocks noChangeAspect="1"/>
        </xdr:cNvPicPr>
      </xdr:nvPicPr>
      <xdr:blipFill>
        <a:blip xmlns:r="http://schemas.openxmlformats.org/officeDocument/2006/relationships" r:embed="rId2"/>
        <a:stretch>
          <a:fillRect/>
        </a:stretch>
      </xdr:blipFill>
      <xdr:spPr>
        <a:xfrm>
          <a:off x="3832226" y="8048625"/>
          <a:ext cx="5970700" cy="1064033"/>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xdr:from>
      <xdr:col>17</xdr:col>
      <xdr:colOff>1</xdr:colOff>
      <xdr:row>7</xdr:row>
      <xdr:rowOff>0</xdr:rowOff>
    </xdr:from>
    <xdr:to>
      <xdr:col>25</xdr:col>
      <xdr:colOff>601786</xdr:colOff>
      <xdr:row>17</xdr:row>
      <xdr:rowOff>117154</xdr:rowOff>
    </xdr:to>
    <xdr:pic>
      <xdr:nvPicPr>
        <xdr:cNvPr id="2" name="Picture 1">
          <a:extLst>
            <a:ext uri="{FF2B5EF4-FFF2-40B4-BE49-F238E27FC236}">
              <a16:creationId xmlns:a16="http://schemas.microsoft.com/office/drawing/2014/main" id="{56EA7532-F221-48DE-A714-D4B22170338C}"/>
            </a:ext>
          </a:extLst>
        </xdr:cNvPr>
        <xdr:cNvPicPr>
          <a:picLocks noChangeAspect="1"/>
        </xdr:cNvPicPr>
      </xdr:nvPicPr>
      <xdr:blipFill>
        <a:blip xmlns:r="http://schemas.openxmlformats.org/officeDocument/2006/relationships" r:embed="rId1"/>
        <a:stretch>
          <a:fillRect/>
        </a:stretch>
      </xdr:blipFill>
      <xdr:spPr>
        <a:xfrm>
          <a:off x="3832226" y="1162050"/>
          <a:ext cx="5478585" cy="1990404"/>
        </a:xfrm>
        <a:prstGeom prst="rect">
          <a:avLst/>
        </a:prstGeom>
      </xdr:spPr>
    </xdr:pic>
    <xdr:clientData/>
  </xdr:twoCellAnchor>
  <xdr:oneCellAnchor>
    <xdr:from>
      <xdr:col>17</xdr:col>
      <xdr:colOff>965</xdr:colOff>
      <xdr:row>50</xdr:row>
      <xdr:rowOff>0</xdr:rowOff>
    </xdr:from>
    <xdr:ext cx="5485435" cy="1818537"/>
    <xdr:pic>
      <xdr:nvPicPr>
        <xdr:cNvPr id="3" name="Picture 2">
          <a:extLst>
            <a:ext uri="{FF2B5EF4-FFF2-40B4-BE49-F238E27FC236}">
              <a16:creationId xmlns:a16="http://schemas.microsoft.com/office/drawing/2014/main" id="{C1C5A451-5C2D-4700-B16E-C983CE4FC151}"/>
            </a:ext>
          </a:extLst>
        </xdr:cNvPr>
        <xdr:cNvPicPr>
          <a:picLocks noChangeAspect="1"/>
        </xdr:cNvPicPr>
      </xdr:nvPicPr>
      <xdr:blipFill>
        <a:blip xmlns:r="http://schemas.openxmlformats.org/officeDocument/2006/relationships" r:embed="rId2"/>
        <a:stretch>
          <a:fillRect/>
        </a:stretch>
      </xdr:blipFill>
      <xdr:spPr>
        <a:xfrm>
          <a:off x="3833190" y="9677400"/>
          <a:ext cx="5485435" cy="1818537"/>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10</xdr:col>
      <xdr:colOff>541337</xdr:colOff>
      <xdr:row>27</xdr:row>
      <xdr:rowOff>74930</xdr:rowOff>
    </xdr:to>
    <xdr:pic>
      <xdr:nvPicPr>
        <xdr:cNvPr id="3" name="Picture 2">
          <a:extLst>
            <a:ext uri="{FF2B5EF4-FFF2-40B4-BE49-F238E27FC236}">
              <a16:creationId xmlns:a16="http://schemas.microsoft.com/office/drawing/2014/main" id="{47F031C5-389C-42BF-8BB2-A097B85CD835}"/>
            </a:ext>
          </a:extLst>
        </xdr:cNvPr>
        <xdr:cNvPicPr>
          <a:picLocks noChangeAspect="1"/>
        </xdr:cNvPicPr>
      </xdr:nvPicPr>
      <xdr:blipFill>
        <a:blip xmlns:r="http://schemas.openxmlformats.org/officeDocument/2006/relationships" r:embed="rId1"/>
        <a:stretch>
          <a:fillRect/>
        </a:stretch>
      </xdr:blipFill>
      <xdr:spPr>
        <a:xfrm>
          <a:off x="609600" y="187325"/>
          <a:ext cx="7315200" cy="494538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18</xdr:col>
      <xdr:colOff>133350</xdr:colOff>
      <xdr:row>28</xdr:row>
      <xdr:rowOff>98425</xdr:rowOff>
    </xdr:from>
    <xdr:to>
      <xdr:col>18</xdr:col>
      <xdr:colOff>409575</xdr:colOff>
      <xdr:row>30</xdr:row>
      <xdr:rowOff>0</xdr:rowOff>
    </xdr:to>
    <xdr:sp macro="" textlink="">
      <xdr:nvSpPr>
        <xdr:cNvPr id="19" name="Rectangle 18">
          <a:extLst>
            <a:ext uri="{FF2B5EF4-FFF2-40B4-BE49-F238E27FC236}">
              <a16:creationId xmlns:a16="http://schemas.microsoft.com/office/drawing/2014/main" id="{8A854AAA-B968-4303-B311-D028B5E41043}"/>
            </a:ext>
          </a:extLst>
        </xdr:cNvPr>
        <xdr:cNvSpPr>
          <a:spLocks noChangeArrowheads="1"/>
        </xdr:cNvSpPr>
      </xdr:nvSpPr>
      <xdr:spPr bwMode="auto">
        <a:xfrm rot="-1662453">
          <a:off x="4695825" y="5797550"/>
          <a:ext cx="276225" cy="295275"/>
        </a:xfrm>
        <a:prstGeom prst="rect">
          <a:avLst/>
        </a:prstGeom>
        <a:solidFill>
          <a:srgbClr val="3366FF"/>
        </a:solidFill>
        <a:ln w="9525">
          <a:solidFill>
            <a:srgbClr val="000000"/>
          </a:solidFill>
          <a:miter lim="800000"/>
          <a:headEnd/>
          <a:tailEnd/>
        </a:ln>
      </xdr:spPr>
    </xdr:sp>
    <xdr:clientData/>
  </xdr:twoCellAnchor>
  <xdr:twoCellAnchor>
    <xdr:from>
      <xdr:col>18</xdr:col>
      <xdr:colOff>171450</xdr:colOff>
      <xdr:row>27</xdr:row>
      <xdr:rowOff>107950</xdr:rowOff>
    </xdr:from>
    <xdr:to>
      <xdr:col>18</xdr:col>
      <xdr:colOff>171450</xdr:colOff>
      <xdr:row>28</xdr:row>
      <xdr:rowOff>117475</xdr:rowOff>
    </xdr:to>
    <xdr:sp macro="" textlink="">
      <xdr:nvSpPr>
        <xdr:cNvPr id="20" name="Line 2">
          <a:extLst>
            <a:ext uri="{FF2B5EF4-FFF2-40B4-BE49-F238E27FC236}">
              <a16:creationId xmlns:a16="http://schemas.microsoft.com/office/drawing/2014/main" id="{663741D6-0950-4A94-86DD-E421CF1D5396}"/>
            </a:ext>
          </a:extLst>
        </xdr:cNvPr>
        <xdr:cNvSpPr>
          <a:spLocks noChangeShapeType="1"/>
        </xdr:cNvSpPr>
      </xdr:nvSpPr>
      <xdr:spPr bwMode="auto">
        <a:xfrm rot="-1651313">
          <a:off x="4733925" y="5610225"/>
          <a:ext cx="0" cy="20637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9525</xdr:colOff>
      <xdr:row>44</xdr:row>
      <xdr:rowOff>47625</xdr:rowOff>
    </xdr:from>
    <xdr:to>
      <xdr:col>18</xdr:col>
      <xdr:colOff>533400</xdr:colOff>
      <xdr:row>44</xdr:row>
      <xdr:rowOff>136525</xdr:rowOff>
    </xdr:to>
    <xdr:sp macro="" textlink="">
      <xdr:nvSpPr>
        <xdr:cNvPr id="21" name="AutoShape 5">
          <a:extLst>
            <a:ext uri="{FF2B5EF4-FFF2-40B4-BE49-F238E27FC236}">
              <a16:creationId xmlns:a16="http://schemas.microsoft.com/office/drawing/2014/main" id="{41B4336E-3EAD-4D3E-96F3-F1763B86BE76}"/>
            </a:ext>
          </a:extLst>
        </xdr:cNvPr>
        <xdr:cNvSpPr>
          <a:spLocks noChangeArrowheads="1"/>
        </xdr:cNvSpPr>
      </xdr:nvSpPr>
      <xdr:spPr bwMode="auto">
        <a:xfrm rot="-6288120">
          <a:off x="4789488" y="8678862"/>
          <a:ext cx="88900" cy="523875"/>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18</xdr:col>
      <xdr:colOff>257175</xdr:colOff>
      <xdr:row>29</xdr:row>
      <xdr:rowOff>38100</xdr:rowOff>
    </xdr:from>
    <xdr:to>
      <xdr:col>18</xdr:col>
      <xdr:colOff>266700</xdr:colOff>
      <xdr:row>44</xdr:row>
      <xdr:rowOff>76200</xdr:rowOff>
    </xdr:to>
    <xdr:sp macro="" textlink="">
      <xdr:nvSpPr>
        <xdr:cNvPr id="22" name="Line 6">
          <a:extLst>
            <a:ext uri="{FF2B5EF4-FFF2-40B4-BE49-F238E27FC236}">
              <a16:creationId xmlns:a16="http://schemas.microsoft.com/office/drawing/2014/main" id="{C0F45BB0-C5A1-401E-8A5C-160A68852FA1}"/>
            </a:ext>
          </a:extLst>
        </xdr:cNvPr>
        <xdr:cNvSpPr>
          <a:spLocks noChangeShapeType="1"/>
        </xdr:cNvSpPr>
      </xdr:nvSpPr>
      <xdr:spPr bwMode="auto">
        <a:xfrm flipH="1">
          <a:off x="4819650" y="5934075"/>
          <a:ext cx="9525" cy="299085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18</xdr:col>
      <xdr:colOff>266700</xdr:colOff>
      <xdr:row>29</xdr:row>
      <xdr:rowOff>38100</xdr:rowOff>
    </xdr:from>
    <xdr:to>
      <xdr:col>19</xdr:col>
      <xdr:colOff>304800</xdr:colOff>
      <xdr:row>37</xdr:row>
      <xdr:rowOff>127000</xdr:rowOff>
    </xdr:to>
    <xdr:sp macro="" textlink="">
      <xdr:nvSpPr>
        <xdr:cNvPr id="23" name="Line 7">
          <a:extLst>
            <a:ext uri="{FF2B5EF4-FFF2-40B4-BE49-F238E27FC236}">
              <a16:creationId xmlns:a16="http://schemas.microsoft.com/office/drawing/2014/main" id="{1B61E22E-BBA9-4A6F-B839-109C91BF0D11}"/>
            </a:ext>
          </a:extLst>
        </xdr:cNvPr>
        <xdr:cNvSpPr>
          <a:spLocks noChangeShapeType="1"/>
        </xdr:cNvSpPr>
      </xdr:nvSpPr>
      <xdr:spPr bwMode="auto">
        <a:xfrm>
          <a:off x="4829175" y="5934075"/>
          <a:ext cx="660400" cy="16637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561975</xdr:colOff>
      <xdr:row>35</xdr:row>
      <xdr:rowOff>66675</xdr:rowOff>
    </xdr:from>
    <xdr:to>
      <xdr:col>18</xdr:col>
      <xdr:colOff>238125</xdr:colOff>
      <xdr:row>44</xdr:row>
      <xdr:rowOff>66675</xdr:rowOff>
    </xdr:to>
    <xdr:sp macro="" textlink="">
      <xdr:nvSpPr>
        <xdr:cNvPr id="24" name="Line 8">
          <a:extLst>
            <a:ext uri="{FF2B5EF4-FFF2-40B4-BE49-F238E27FC236}">
              <a16:creationId xmlns:a16="http://schemas.microsoft.com/office/drawing/2014/main" id="{0571ECAC-1D0F-436C-9A86-E8CA6190C9B6}"/>
            </a:ext>
          </a:extLst>
        </xdr:cNvPr>
        <xdr:cNvSpPr>
          <a:spLocks noChangeShapeType="1"/>
        </xdr:cNvSpPr>
      </xdr:nvSpPr>
      <xdr:spPr bwMode="auto">
        <a:xfrm flipH="1" flipV="1">
          <a:off x="4394200" y="7143750"/>
          <a:ext cx="406400" cy="1771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18</xdr:col>
      <xdr:colOff>517525</xdr:colOff>
      <xdr:row>36</xdr:row>
      <xdr:rowOff>101600</xdr:rowOff>
    </xdr:from>
    <xdr:ext cx="144917" cy="186119"/>
    <xdr:sp macro="" textlink="">
      <xdr:nvSpPr>
        <xdr:cNvPr id="25" name="Text Box 9">
          <a:extLst>
            <a:ext uri="{FF2B5EF4-FFF2-40B4-BE49-F238E27FC236}">
              <a16:creationId xmlns:a16="http://schemas.microsoft.com/office/drawing/2014/main" id="{6E5B42FA-CEBE-487D-8B87-C6BAE0C1EBB3}"/>
            </a:ext>
          </a:extLst>
        </xdr:cNvPr>
        <xdr:cNvSpPr txBox="1">
          <a:spLocks noChangeArrowheads="1"/>
        </xdr:cNvSpPr>
      </xdr:nvSpPr>
      <xdr:spPr bwMode="auto">
        <a:xfrm>
          <a:off x="5080000" y="7375525"/>
          <a:ext cx="144917" cy="186119"/>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18</xdr:col>
      <xdr:colOff>285750</xdr:colOff>
      <xdr:row>37</xdr:row>
      <xdr:rowOff>57150</xdr:rowOff>
    </xdr:from>
    <xdr:to>
      <xdr:col>18</xdr:col>
      <xdr:colOff>476250</xdr:colOff>
      <xdr:row>37</xdr:row>
      <xdr:rowOff>114300</xdr:rowOff>
    </xdr:to>
    <xdr:sp macro="" textlink="">
      <xdr:nvSpPr>
        <xdr:cNvPr id="26" name="Line 10">
          <a:extLst>
            <a:ext uri="{FF2B5EF4-FFF2-40B4-BE49-F238E27FC236}">
              <a16:creationId xmlns:a16="http://schemas.microsoft.com/office/drawing/2014/main" id="{A2F3B5ED-4B01-4216-A52B-FFE94F5C04F7}"/>
            </a:ext>
          </a:extLst>
        </xdr:cNvPr>
        <xdr:cNvSpPr>
          <a:spLocks noChangeShapeType="1"/>
        </xdr:cNvSpPr>
      </xdr:nvSpPr>
      <xdr:spPr bwMode="auto">
        <a:xfrm flipH="1">
          <a:off x="4848225" y="7527925"/>
          <a:ext cx="1905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19</xdr:col>
      <xdr:colOff>38100</xdr:colOff>
      <xdr:row>36</xdr:row>
      <xdr:rowOff>57150</xdr:rowOff>
    </xdr:from>
    <xdr:to>
      <xdr:col>19</xdr:col>
      <xdr:colOff>180975</xdr:colOff>
      <xdr:row>36</xdr:row>
      <xdr:rowOff>133350</xdr:rowOff>
    </xdr:to>
    <xdr:sp macro="" textlink="">
      <xdr:nvSpPr>
        <xdr:cNvPr id="27" name="Line 11">
          <a:extLst>
            <a:ext uri="{FF2B5EF4-FFF2-40B4-BE49-F238E27FC236}">
              <a16:creationId xmlns:a16="http://schemas.microsoft.com/office/drawing/2014/main" id="{C00634E8-3B44-43B7-8F3B-62F89A71BD38}"/>
            </a:ext>
          </a:extLst>
        </xdr:cNvPr>
        <xdr:cNvSpPr>
          <a:spLocks noChangeShapeType="1"/>
        </xdr:cNvSpPr>
      </xdr:nvSpPr>
      <xdr:spPr bwMode="auto">
        <a:xfrm flipV="1">
          <a:off x="5222875" y="7331075"/>
          <a:ext cx="142875"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18</xdr:col>
      <xdr:colOff>41275</xdr:colOff>
      <xdr:row>35</xdr:row>
      <xdr:rowOff>88900</xdr:rowOff>
    </xdr:from>
    <xdr:ext cx="144917" cy="186119"/>
    <xdr:sp macro="" textlink="">
      <xdr:nvSpPr>
        <xdr:cNvPr id="28" name="Text Box 12">
          <a:extLst>
            <a:ext uri="{FF2B5EF4-FFF2-40B4-BE49-F238E27FC236}">
              <a16:creationId xmlns:a16="http://schemas.microsoft.com/office/drawing/2014/main" id="{58CF9190-C6B4-4933-BD36-6AF5870EAC00}"/>
            </a:ext>
          </a:extLst>
        </xdr:cNvPr>
        <xdr:cNvSpPr txBox="1">
          <a:spLocks noChangeArrowheads="1"/>
        </xdr:cNvSpPr>
      </xdr:nvSpPr>
      <xdr:spPr bwMode="auto">
        <a:xfrm>
          <a:off x="4603750" y="7165975"/>
          <a:ext cx="144917" cy="186119"/>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18</xdr:col>
      <xdr:colOff>180975</xdr:colOff>
      <xdr:row>35</xdr:row>
      <xdr:rowOff>76200</xdr:rowOff>
    </xdr:from>
    <xdr:to>
      <xdr:col>18</xdr:col>
      <xdr:colOff>276225</xdr:colOff>
      <xdr:row>35</xdr:row>
      <xdr:rowOff>104775</xdr:rowOff>
    </xdr:to>
    <xdr:sp macro="" textlink="">
      <xdr:nvSpPr>
        <xdr:cNvPr id="29" name="Line 13">
          <a:extLst>
            <a:ext uri="{FF2B5EF4-FFF2-40B4-BE49-F238E27FC236}">
              <a16:creationId xmlns:a16="http://schemas.microsoft.com/office/drawing/2014/main" id="{5F5C167F-3EC8-4709-95A5-E090CE4EBC25}"/>
            </a:ext>
          </a:extLst>
        </xdr:cNvPr>
        <xdr:cNvSpPr>
          <a:spLocks noChangeShapeType="1"/>
        </xdr:cNvSpPr>
      </xdr:nvSpPr>
      <xdr:spPr bwMode="auto">
        <a:xfrm flipV="1">
          <a:off x="4743450" y="7153275"/>
          <a:ext cx="95250" cy="2857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581025</xdr:colOff>
      <xdr:row>36</xdr:row>
      <xdr:rowOff>0</xdr:rowOff>
    </xdr:from>
    <xdr:to>
      <xdr:col>18</xdr:col>
      <xdr:colOff>38100</xdr:colOff>
      <xdr:row>36</xdr:row>
      <xdr:rowOff>28575</xdr:rowOff>
    </xdr:to>
    <xdr:sp macro="" textlink="">
      <xdr:nvSpPr>
        <xdr:cNvPr id="30" name="Line 14">
          <a:extLst>
            <a:ext uri="{FF2B5EF4-FFF2-40B4-BE49-F238E27FC236}">
              <a16:creationId xmlns:a16="http://schemas.microsoft.com/office/drawing/2014/main" id="{EB2B586B-AC3B-44CD-856C-5DB0A1372B24}"/>
            </a:ext>
          </a:extLst>
        </xdr:cNvPr>
        <xdr:cNvSpPr>
          <a:spLocks noChangeShapeType="1"/>
        </xdr:cNvSpPr>
      </xdr:nvSpPr>
      <xdr:spPr bwMode="auto">
        <a:xfrm flipH="1">
          <a:off x="4413250" y="7273925"/>
          <a:ext cx="187325" cy="2857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152400</xdr:colOff>
      <xdr:row>44</xdr:row>
      <xdr:rowOff>155575</xdr:rowOff>
    </xdr:from>
    <xdr:to>
      <xdr:col>18</xdr:col>
      <xdr:colOff>342900</xdr:colOff>
      <xdr:row>46</xdr:row>
      <xdr:rowOff>57150</xdr:rowOff>
    </xdr:to>
    <xdr:sp macro="" textlink="">
      <xdr:nvSpPr>
        <xdr:cNvPr id="31" name="AutoShape 15">
          <a:extLst>
            <a:ext uri="{FF2B5EF4-FFF2-40B4-BE49-F238E27FC236}">
              <a16:creationId xmlns:a16="http://schemas.microsoft.com/office/drawing/2014/main" id="{2CE01E67-BCC7-458C-A475-2E1FC0EE40F4}"/>
            </a:ext>
          </a:extLst>
        </xdr:cNvPr>
        <xdr:cNvSpPr>
          <a:spLocks noChangeArrowheads="1"/>
        </xdr:cNvSpPr>
      </xdr:nvSpPr>
      <xdr:spPr bwMode="auto">
        <a:xfrm>
          <a:off x="4714875" y="9004300"/>
          <a:ext cx="190500" cy="295275"/>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17</xdr:col>
      <xdr:colOff>457200</xdr:colOff>
      <xdr:row>29</xdr:row>
      <xdr:rowOff>117475</xdr:rowOff>
    </xdr:from>
    <xdr:to>
      <xdr:col>18</xdr:col>
      <xdr:colOff>133350</xdr:colOff>
      <xdr:row>30</xdr:row>
      <xdr:rowOff>107950</xdr:rowOff>
    </xdr:to>
    <xdr:sp macro="" textlink="">
      <xdr:nvSpPr>
        <xdr:cNvPr id="32" name="Line 16">
          <a:extLst>
            <a:ext uri="{FF2B5EF4-FFF2-40B4-BE49-F238E27FC236}">
              <a16:creationId xmlns:a16="http://schemas.microsoft.com/office/drawing/2014/main" id="{A4837E72-9540-46CD-A906-C601319B049D}"/>
            </a:ext>
          </a:extLst>
        </xdr:cNvPr>
        <xdr:cNvSpPr>
          <a:spLocks noChangeShapeType="1"/>
        </xdr:cNvSpPr>
      </xdr:nvSpPr>
      <xdr:spPr bwMode="auto">
        <a:xfrm flipH="1">
          <a:off x="4289425" y="6013450"/>
          <a:ext cx="406400" cy="1873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400050</xdr:colOff>
      <xdr:row>27</xdr:row>
      <xdr:rowOff>146050</xdr:rowOff>
    </xdr:from>
    <xdr:to>
      <xdr:col>19</xdr:col>
      <xdr:colOff>76200</xdr:colOff>
      <xdr:row>28</xdr:row>
      <xdr:rowOff>136525</xdr:rowOff>
    </xdr:to>
    <xdr:sp macro="" textlink="">
      <xdr:nvSpPr>
        <xdr:cNvPr id="33" name="Line 17">
          <a:extLst>
            <a:ext uri="{FF2B5EF4-FFF2-40B4-BE49-F238E27FC236}">
              <a16:creationId xmlns:a16="http://schemas.microsoft.com/office/drawing/2014/main" id="{60370E4C-D82C-4290-8003-0F65997E7E50}"/>
            </a:ext>
          </a:extLst>
        </xdr:cNvPr>
        <xdr:cNvSpPr>
          <a:spLocks noChangeShapeType="1"/>
        </xdr:cNvSpPr>
      </xdr:nvSpPr>
      <xdr:spPr bwMode="auto">
        <a:xfrm flipH="1">
          <a:off x="4962525" y="5648325"/>
          <a:ext cx="298450" cy="1873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257175</xdr:colOff>
      <xdr:row>29</xdr:row>
      <xdr:rowOff>155575</xdr:rowOff>
    </xdr:from>
    <xdr:to>
      <xdr:col>18</xdr:col>
      <xdr:colOff>457200</xdr:colOff>
      <xdr:row>30</xdr:row>
      <xdr:rowOff>66675</xdr:rowOff>
    </xdr:to>
    <xdr:sp macro="" textlink="">
      <xdr:nvSpPr>
        <xdr:cNvPr id="34" name="AutoShape 18">
          <a:extLst>
            <a:ext uri="{FF2B5EF4-FFF2-40B4-BE49-F238E27FC236}">
              <a16:creationId xmlns:a16="http://schemas.microsoft.com/office/drawing/2014/main" id="{BCED2B5D-B682-4BAC-B958-9919269161B9}"/>
            </a:ext>
          </a:extLst>
        </xdr:cNvPr>
        <xdr:cNvSpPr>
          <a:spLocks noChangeArrowheads="1"/>
        </xdr:cNvSpPr>
      </xdr:nvSpPr>
      <xdr:spPr bwMode="auto">
        <a:xfrm rot="3473625">
          <a:off x="4865688" y="6005512"/>
          <a:ext cx="107950" cy="200025"/>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17</xdr:col>
      <xdr:colOff>676275</xdr:colOff>
      <xdr:row>27</xdr:row>
      <xdr:rowOff>88900</xdr:rowOff>
    </xdr:from>
    <xdr:ext cx="201356" cy="141001"/>
    <xdr:sp macro="" textlink="">
      <xdr:nvSpPr>
        <xdr:cNvPr id="35" name="Text Box 35">
          <a:extLst>
            <a:ext uri="{FF2B5EF4-FFF2-40B4-BE49-F238E27FC236}">
              <a16:creationId xmlns:a16="http://schemas.microsoft.com/office/drawing/2014/main" id="{E23B8336-E0C5-4CEB-889D-1AB4CB9A7BA1}"/>
            </a:ext>
          </a:extLst>
        </xdr:cNvPr>
        <xdr:cNvSpPr txBox="1">
          <a:spLocks noChangeArrowheads="1"/>
        </xdr:cNvSpPr>
      </xdr:nvSpPr>
      <xdr:spPr bwMode="auto">
        <a:xfrm>
          <a:off x="4508500" y="5591175"/>
          <a:ext cx="201356" cy="141001"/>
        </a:xfrm>
        <a:prstGeom prst="rect">
          <a:avLst/>
        </a:prstGeom>
        <a:noFill/>
        <a:ln w="9525">
          <a:noFill/>
          <a:miter lim="800000"/>
          <a:headEnd/>
          <a:tailEnd/>
        </a:ln>
      </xdr:spPr>
      <xdr:txBody>
        <a:bodyPr wrap="squar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18</xdr:col>
      <xdr:colOff>463550</xdr:colOff>
      <xdr:row>30</xdr:row>
      <xdr:rowOff>155575</xdr:rowOff>
    </xdr:from>
    <xdr:ext cx="118490" cy="156588"/>
    <xdr:sp macro="" textlink="">
      <xdr:nvSpPr>
        <xdr:cNvPr id="36" name="Text Box 37">
          <a:extLst>
            <a:ext uri="{FF2B5EF4-FFF2-40B4-BE49-F238E27FC236}">
              <a16:creationId xmlns:a16="http://schemas.microsoft.com/office/drawing/2014/main" id="{72B63319-8253-4F37-B789-2E9D3B101346}"/>
            </a:ext>
          </a:extLst>
        </xdr:cNvPr>
        <xdr:cNvSpPr txBox="1">
          <a:spLocks noChangeArrowheads="1"/>
        </xdr:cNvSpPr>
      </xdr:nvSpPr>
      <xdr:spPr bwMode="auto">
        <a:xfrm>
          <a:off x="5026025" y="6248400"/>
          <a:ext cx="118490" cy="15658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19</xdr:col>
      <xdr:colOff>447675</xdr:colOff>
      <xdr:row>32</xdr:row>
      <xdr:rowOff>146050</xdr:rowOff>
    </xdr:from>
    <xdr:ext cx="1278620" cy="141001"/>
    <xdr:sp macro="" textlink="">
      <xdr:nvSpPr>
        <xdr:cNvPr id="37" name="Text Box 47">
          <a:extLst>
            <a:ext uri="{FF2B5EF4-FFF2-40B4-BE49-F238E27FC236}">
              <a16:creationId xmlns:a16="http://schemas.microsoft.com/office/drawing/2014/main" id="{C316A44C-906C-4FB3-A2F5-1AA8BDD773EA}"/>
            </a:ext>
          </a:extLst>
        </xdr:cNvPr>
        <xdr:cNvSpPr txBox="1">
          <a:spLocks noChangeArrowheads="1"/>
        </xdr:cNvSpPr>
      </xdr:nvSpPr>
      <xdr:spPr bwMode="auto">
        <a:xfrm>
          <a:off x="5632450" y="6632575"/>
          <a:ext cx="1278620"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18</xdr:col>
      <xdr:colOff>600075</xdr:colOff>
      <xdr:row>33</xdr:row>
      <xdr:rowOff>28575</xdr:rowOff>
    </xdr:from>
    <xdr:to>
      <xdr:col>19</xdr:col>
      <xdr:colOff>400050</xdr:colOff>
      <xdr:row>33</xdr:row>
      <xdr:rowOff>76200</xdr:rowOff>
    </xdr:to>
    <xdr:sp macro="" textlink="">
      <xdr:nvSpPr>
        <xdr:cNvPr id="38" name="Line 49">
          <a:extLst>
            <a:ext uri="{FF2B5EF4-FFF2-40B4-BE49-F238E27FC236}">
              <a16:creationId xmlns:a16="http://schemas.microsoft.com/office/drawing/2014/main" id="{E5E5F2BB-4185-444A-812B-6E785A2AF907}"/>
            </a:ext>
          </a:extLst>
        </xdr:cNvPr>
        <xdr:cNvSpPr>
          <a:spLocks noChangeShapeType="1"/>
        </xdr:cNvSpPr>
      </xdr:nvSpPr>
      <xdr:spPr bwMode="auto">
        <a:xfrm flipH="1">
          <a:off x="5162550" y="6711950"/>
          <a:ext cx="422275" cy="4762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17</xdr:col>
      <xdr:colOff>276225</xdr:colOff>
      <xdr:row>30</xdr:row>
      <xdr:rowOff>38100</xdr:rowOff>
    </xdr:from>
    <xdr:ext cx="146841" cy="156588"/>
    <xdr:sp macro="" textlink="">
      <xdr:nvSpPr>
        <xdr:cNvPr id="39" name="Text Box 36">
          <a:extLst>
            <a:ext uri="{FF2B5EF4-FFF2-40B4-BE49-F238E27FC236}">
              <a16:creationId xmlns:a16="http://schemas.microsoft.com/office/drawing/2014/main" id="{B7DB089F-9AE5-4949-A643-A61EE8313824}"/>
            </a:ext>
          </a:extLst>
        </xdr:cNvPr>
        <xdr:cNvSpPr txBox="1">
          <a:spLocks noChangeArrowheads="1"/>
        </xdr:cNvSpPr>
      </xdr:nvSpPr>
      <xdr:spPr bwMode="auto">
        <a:xfrm>
          <a:off x="4108450" y="6130925"/>
          <a:ext cx="146841" cy="15658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22</xdr:col>
      <xdr:colOff>0</xdr:colOff>
      <xdr:row>53</xdr:row>
      <xdr:rowOff>30720</xdr:rowOff>
    </xdr:from>
    <xdr:ext cx="2690812" cy="1461530"/>
    <xdr:pic>
      <xdr:nvPicPr>
        <xdr:cNvPr id="40" name="Picture 39">
          <a:extLst>
            <a:ext uri="{FF2B5EF4-FFF2-40B4-BE49-F238E27FC236}">
              <a16:creationId xmlns:a16="http://schemas.microsoft.com/office/drawing/2014/main" id="{8B5E349E-8F9C-4D9F-8DD5-5AB24A7547F3}"/>
            </a:ext>
          </a:extLst>
        </xdr:cNvPr>
        <xdr:cNvPicPr>
          <a:picLocks noChangeAspect="1"/>
        </xdr:cNvPicPr>
      </xdr:nvPicPr>
      <xdr:blipFill>
        <a:blip xmlns:r="http://schemas.openxmlformats.org/officeDocument/2006/relationships" r:embed="rId1"/>
        <a:stretch>
          <a:fillRect/>
        </a:stretch>
      </xdr:blipFill>
      <xdr:spPr>
        <a:xfrm>
          <a:off x="7671594" y="11250376"/>
          <a:ext cx="2690812" cy="1461530"/>
        </a:xfrm>
        <a:prstGeom prst="rect">
          <a:avLst/>
        </a:prstGeom>
      </xdr:spPr>
    </xdr:pic>
    <xdr:clientData/>
  </xdr:oneCellAnchor>
  <xdr:twoCellAnchor>
    <xdr:from>
      <xdr:col>19</xdr:col>
      <xdr:colOff>114300</xdr:colOff>
      <xdr:row>71</xdr:row>
      <xdr:rowOff>88900</xdr:rowOff>
    </xdr:from>
    <xdr:to>
      <xdr:col>19</xdr:col>
      <xdr:colOff>390525</xdr:colOff>
      <xdr:row>72</xdr:row>
      <xdr:rowOff>155575</xdr:rowOff>
    </xdr:to>
    <xdr:sp macro="" textlink="">
      <xdr:nvSpPr>
        <xdr:cNvPr id="41" name="Rectangle 19">
          <a:extLst>
            <a:ext uri="{FF2B5EF4-FFF2-40B4-BE49-F238E27FC236}">
              <a16:creationId xmlns:a16="http://schemas.microsoft.com/office/drawing/2014/main" id="{49BBC6A4-E209-4020-8F02-9FFA173E2960}"/>
            </a:ext>
          </a:extLst>
        </xdr:cNvPr>
        <xdr:cNvSpPr>
          <a:spLocks noChangeArrowheads="1"/>
        </xdr:cNvSpPr>
      </xdr:nvSpPr>
      <xdr:spPr bwMode="auto">
        <a:xfrm rot="-1662453">
          <a:off x="5299075" y="14090650"/>
          <a:ext cx="276225" cy="254000"/>
        </a:xfrm>
        <a:prstGeom prst="rect">
          <a:avLst/>
        </a:prstGeom>
        <a:solidFill>
          <a:srgbClr val="3366FF"/>
        </a:solidFill>
        <a:ln w="9525">
          <a:solidFill>
            <a:srgbClr val="000000"/>
          </a:solidFill>
          <a:miter lim="800000"/>
          <a:headEnd/>
          <a:tailEnd/>
        </a:ln>
      </xdr:spPr>
    </xdr:sp>
    <xdr:clientData/>
  </xdr:twoCellAnchor>
  <xdr:twoCellAnchor>
    <xdr:from>
      <xdr:col>19</xdr:col>
      <xdr:colOff>152400</xdr:colOff>
      <xdr:row>70</xdr:row>
      <xdr:rowOff>98425</xdr:rowOff>
    </xdr:from>
    <xdr:to>
      <xdr:col>19</xdr:col>
      <xdr:colOff>152400</xdr:colOff>
      <xdr:row>71</xdr:row>
      <xdr:rowOff>107950</xdr:rowOff>
    </xdr:to>
    <xdr:sp macro="" textlink="">
      <xdr:nvSpPr>
        <xdr:cNvPr id="42" name="Line 20">
          <a:extLst>
            <a:ext uri="{FF2B5EF4-FFF2-40B4-BE49-F238E27FC236}">
              <a16:creationId xmlns:a16="http://schemas.microsoft.com/office/drawing/2014/main" id="{27388106-72B0-4E66-A06D-0F10E10A55DE}"/>
            </a:ext>
          </a:extLst>
        </xdr:cNvPr>
        <xdr:cNvSpPr>
          <a:spLocks noChangeShapeType="1"/>
        </xdr:cNvSpPr>
      </xdr:nvSpPr>
      <xdr:spPr bwMode="auto">
        <a:xfrm rot="-1651313">
          <a:off x="5337175" y="13912850"/>
          <a:ext cx="0" cy="1968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600075</xdr:colOff>
      <xdr:row>87</xdr:row>
      <xdr:rowOff>38100</xdr:rowOff>
    </xdr:from>
    <xdr:to>
      <xdr:col>19</xdr:col>
      <xdr:colOff>514350</xdr:colOff>
      <xdr:row>87</xdr:row>
      <xdr:rowOff>127000</xdr:rowOff>
    </xdr:to>
    <xdr:sp macro="" textlink="">
      <xdr:nvSpPr>
        <xdr:cNvPr id="43" name="AutoShape 21">
          <a:extLst>
            <a:ext uri="{FF2B5EF4-FFF2-40B4-BE49-F238E27FC236}">
              <a16:creationId xmlns:a16="http://schemas.microsoft.com/office/drawing/2014/main" id="{AF717E96-1DC7-4A56-BD21-7E6A7F39D2F7}"/>
            </a:ext>
          </a:extLst>
        </xdr:cNvPr>
        <xdr:cNvSpPr>
          <a:spLocks noChangeArrowheads="1"/>
        </xdr:cNvSpPr>
      </xdr:nvSpPr>
      <xdr:spPr bwMode="auto">
        <a:xfrm rot="-6288120">
          <a:off x="5386388" y="16813212"/>
          <a:ext cx="88900" cy="536575"/>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19</xdr:col>
      <xdr:colOff>238125</xdr:colOff>
      <xdr:row>72</xdr:row>
      <xdr:rowOff>28575</xdr:rowOff>
    </xdr:from>
    <xdr:to>
      <xdr:col>19</xdr:col>
      <xdr:colOff>247650</xdr:colOff>
      <xdr:row>87</xdr:row>
      <xdr:rowOff>66675</xdr:rowOff>
    </xdr:to>
    <xdr:sp macro="" textlink="">
      <xdr:nvSpPr>
        <xdr:cNvPr id="44" name="Line 22">
          <a:extLst>
            <a:ext uri="{FF2B5EF4-FFF2-40B4-BE49-F238E27FC236}">
              <a16:creationId xmlns:a16="http://schemas.microsoft.com/office/drawing/2014/main" id="{0B5ACB2A-0533-4C73-9A23-D4D814E6A2C9}"/>
            </a:ext>
          </a:extLst>
        </xdr:cNvPr>
        <xdr:cNvSpPr>
          <a:spLocks noChangeShapeType="1"/>
        </xdr:cNvSpPr>
      </xdr:nvSpPr>
      <xdr:spPr bwMode="auto">
        <a:xfrm flipH="1">
          <a:off x="5422900" y="14217650"/>
          <a:ext cx="9525" cy="2847975"/>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19</xdr:col>
      <xdr:colOff>247650</xdr:colOff>
      <xdr:row>72</xdr:row>
      <xdr:rowOff>28575</xdr:rowOff>
    </xdr:from>
    <xdr:to>
      <xdr:col>20</xdr:col>
      <xdr:colOff>285750</xdr:colOff>
      <xdr:row>80</xdr:row>
      <xdr:rowOff>117475</xdr:rowOff>
    </xdr:to>
    <xdr:sp macro="" textlink="">
      <xdr:nvSpPr>
        <xdr:cNvPr id="45" name="Line 23">
          <a:extLst>
            <a:ext uri="{FF2B5EF4-FFF2-40B4-BE49-F238E27FC236}">
              <a16:creationId xmlns:a16="http://schemas.microsoft.com/office/drawing/2014/main" id="{85624E0C-286E-4302-ADFB-E16051F07942}"/>
            </a:ext>
          </a:extLst>
        </xdr:cNvPr>
        <xdr:cNvSpPr>
          <a:spLocks noChangeShapeType="1"/>
        </xdr:cNvSpPr>
      </xdr:nvSpPr>
      <xdr:spPr bwMode="auto">
        <a:xfrm>
          <a:off x="5432425" y="14217650"/>
          <a:ext cx="962025" cy="1587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542925</xdr:colOff>
      <xdr:row>78</xdr:row>
      <xdr:rowOff>57150</xdr:rowOff>
    </xdr:from>
    <xdr:to>
      <xdr:col>19</xdr:col>
      <xdr:colOff>219075</xdr:colOff>
      <xdr:row>87</xdr:row>
      <xdr:rowOff>57150</xdr:rowOff>
    </xdr:to>
    <xdr:sp macro="" textlink="">
      <xdr:nvSpPr>
        <xdr:cNvPr id="46" name="Line 24">
          <a:extLst>
            <a:ext uri="{FF2B5EF4-FFF2-40B4-BE49-F238E27FC236}">
              <a16:creationId xmlns:a16="http://schemas.microsoft.com/office/drawing/2014/main" id="{BCF7A957-75DD-491C-AB18-AF040C0F55FA}"/>
            </a:ext>
          </a:extLst>
        </xdr:cNvPr>
        <xdr:cNvSpPr>
          <a:spLocks noChangeShapeType="1"/>
        </xdr:cNvSpPr>
      </xdr:nvSpPr>
      <xdr:spPr bwMode="auto">
        <a:xfrm flipH="1" flipV="1">
          <a:off x="5105400" y="15370175"/>
          <a:ext cx="298450" cy="1685925"/>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19</xdr:col>
      <xdr:colOff>498475</xdr:colOff>
      <xdr:row>79</xdr:row>
      <xdr:rowOff>88900</xdr:rowOff>
    </xdr:from>
    <xdr:ext cx="144917" cy="186119"/>
    <xdr:sp macro="" textlink="">
      <xdr:nvSpPr>
        <xdr:cNvPr id="47" name="Text Box 25">
          <a:extLst>
            <a:ext uri="{FF2B5EF4-FFF2-40B4-BE49-F238E27FC236}">
              <a16:creationId xmlns:a16="http://schemas.microsoft.com/office/drawing/2014/main" id="{25EF0698-7ACB-454A-ACD6-C3378B7EEF97}"/>
            </a:ext>
          </a:extLst>
        </xdr:cNvPr>
        <xdr:cNvSpPr txBox="1">
          <a:spLocks noChangeArrowheads="1"/>
        </xdr:cNvSpPr>
      </xdr:nvSpPr>
      <xdr:spPr bwMode="auto">
        <a:xfrm>
          <a:off x="5683250" y="15589250"/>
          <a:ext cx="144917" cy="186119"/>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19</xdr:col>
      <xdr:colOff>266700</xdr:colOff>
      <xdr:row>80</xdr:row>
      <xdr:rowOff>47625</xdr:rowOff>
    </xdr:from>
    <xdr:to>
      <xdr:col>19</xdr:col>
      <xdr:colOff>457200</xdr:colOff>
      <xdr:row>80</xdr:row>
      <xdr:rowOff>104775</xdr:rowOff>
    </xdr:to>
    <xdr:sp macro="" textlink="">
      <xdr:nvSpPr>
        <xdr:cNvPr id="48" name="Line 26">
          <a:extLst>
            <a:ext uri="{FF2B5EF4-FFF2-40B4-BE49-F238E27FC236}">
              <a16:creationId xmlns:a16="http://schemas.microsoft.com/office/drawing/2014/main" id="{43B3A13F-4FD3-46BF-8564-7B9E5D81E9B9}"/>
            </a:ext>
          </a:extLst>
        </xdr:cNvPr>
        <xdr:cNvSpPr>
          <a:spLocks noChangeShapeType="1"/>
        </xdr:cNvSpPr>
      </xdr:nvSpPr>
      <xdr:spPr bwMode="auto">
        <a:xfrm flipH="1">
          <a:off x="5451475" y="15735300"/>
          <a:ext cx="1905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19050</xdr:colOff>
      <xdr:row>79</xdr:row>
      <xdr:rowOff>47625</xdr:rowOff>
    </xdr:from>
    <xdr:to>
      <xdr:col>20</xdr:col>
      <xdr:colOff>161925</xdr:colOff>
      <xdr:row>79</xdr:row>
      <xdr:rowOff>123825</xdr:rowOff>
    </xdr:to>
    <xdr:sp macro="" textlink="">
      <xdr:nvSpPr>
        <xdr:cNvPr id="49" name="Line 27">
          <a:extLst>
            <a:ext uri="{FF2B5EF4-FFF2-40B4-BE49-F238E27FC236}">
              <a16:creationId xmlns:a16="http://schemas.microsoft.com/office/drawing/2014/main" id="{38FCEF18-FFE9-4F87-915E-75A8295BB418}"/>
            </a:ext>
          </a:extLst>
        </xdr:cNvPr>
        <xdr:cNvSpPr>
          <a:spLocks noChangeShapeType="1"/>
        </xdr:cNvSpPr>
      </xdr:nvSpPr>
      <xdr:spPr bwMode="auto">
        <a:xfrm flipV="1">
          <a:off x="6127750" y="15547975"/>
          <a:ext cx="142875"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19</xdr:col>
      <xdr:colOff>22225</xdr:colOff>
      <xdr:row>78</xdr:row>
      <xdr:rowOff>60325</xdr:rowOff>
    </xdr:from>
    <xdr:ext cx="144917" cy="186119"/>
    <xdr:sp macro="" textlink="">
      <xdr:nvSpPr>
        <xdr:cNvPr id="50" name="Text Box 28">
          <a:extLst>
            <a:ext uri="{FF2B5EF4-FFF2-40B4-BE49-F238E27FC236}">
              <a16:creationId xmlns:a16="http://schemas.microsoft.com/office/drawing/2014/main" id="{4B049B5E-76D5-4405-9B43-2F408584DEB3}"/>
            </a:ext>
          </a:extLst>
        </xdr:cNvPr>
        <xdr:cNvSpPr txBox="1">
          <a:spLocks noChangeArrowheads="1"/>
        </xdr:cNvSpPr>
      </xdr:nvSpPr>
      <xdr:spPr bwMode="auto">
        <a:xfrm>
          <a:off x="5207000" y="15373350"/>
          <a:ext cx="144917" cy="186119"/>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19</xdr:col>
      <xdr:colOff>161925</xdr:colOff>
      <xdr:row>78</xdr:row>
      <xdr:rowOff>66675</xdr:rowOff>
    </xdr:from>
    <xdr:to>
      <xdr:col>19</xdr:col>
      <xdr:colOff>257175</xdr:colOff>
      <xdr:row>78</xdr:row>
      <xdr:rowOff>95250</xdr:rowOff>
    </xdr:to>
    <xdr:sp macro="" textlink="">
      <xdr:nvSpPr>
        <xdr:cNvPr id="51" name="Line 29">
          <a:extLst>
            <a:ext uri="{FF2B5EF4-FFF2-40B4-BE49-F238E27FC236}">
              <a16:creationId xmlns:a16="http://schemas.microsoft.com/office/drawing/2014/main" id="{796550DD-3611-460B-B41E-45FB1504EE8D}"/>
            </a:ext>
          </a:extLst>
        </xdr:cNvPr>
        <xdr:cNvSpPr>
          <a:spLocks noChangeShapeType="1"/>
        </xdr:cNvSpPr>
      </xdr:nvSpPr>
      <xdr:spPr bwMode="auto">
        <a:xfrm flipV="1">
          <a:off x="5346700" y="15379700"/>
          <a:ext cx="95250" cy="2857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561975</xdr:colOff>
      <xdr:row>78</xdr:row>
      <xdr:rowOff>155575</xdr:rowOff>
    </xdr:from>
    <xdr:to>
      <xdr:col>19</xdr:col>
      <xdr:colOff>19050</xdr:colOff>
      <xdr:row>79</xdr:row>
      <xdr:rowOff>19050</xdr:rowOff>
    </xdr:to>
    <xdr:sp macro="" textlink="">
      <xdr:nvSpPr>
        <xdr:cNvPr id="52" name="Line 30">
          <a:extLst>
            <a:ext uri="{FF2B5EF4-FFF2-40B4-BE49-F238E27FC236}">
              <a16:creationId xmlns:a16="http://schemas.microsoft.com/office/drawing/2014/main" id="{BCCEF127-BE60-4892-ACC6-B86E8FB52ED9}"/>
            </a:ext>
          </a:extLst>
        </xdr:cNvPr>
        <xdr:cNvSpPr>
          <a:spLocks noChangeShapeType="1"/>
        </xdr:cNvSpPr>
      </xdr:nvSpPr>
      <xdr:spPr bwMode="auto">
        <a:xfrm flipH="1">
          <a:off x="5124450" y="15468600"/>
          <a:ext cx="79375"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19</xdr:col>
      <xdr:colOff>133350</xdr:colOff>
      <xdr:row>87</xdr:row>
      <xdr:rowOff>146050</xdr:rowOff>
    </xdr:from>
    <xdr:to>
      <xdr:col>19</xdr:col>
      <xdr:colOff>323850</xdr:colOff>
      <xdr:row>89</xdr:row>
      <xdr:rowOff>47625</xdr:rowOff>
    </xdr:to>
    <xdr:sp macro="" textlink="">
      <xdr:nvSpPr>
        <xdr:cNvPr id="53" name="AutoShape 31">
          <a:extLst>
            <a:ext uri="{FF2B5EF4-FFF2-40B4-BE49-F238E27FC236}">
              <a16:creationId xmlns:a16="http://schemas.microsoft.com/office/drawing/2014/main" id="{D4A0B1C4-7814-4984-8B9A-D444B13D68AD}"/>
            </a:ext>
          </a:extLst>
        </xdr:cNvPr>
        <xdr:cNvSpPr>
          <a:spLocks noChangeArrowheads="1"/>
        </xdr:cNvSpPr>
      </xdr:nvSpPr>
      <xdr:spPr bwMode="auto">
        <a:xfrm>
          <a:off x="5318125" y="17145000"/>
          <a:ext cx="190500" cy="276225"/>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18</xdr:col>
      <xdr:colOff>438150</xdr:colOff>
      <xdr:row>72</xdr:row>
      <xdr:rowOff>107950</xdr:rowOff>
    </xdr:from>
    <xdr:to>
      <xdr:col>19</xdr:col>
      <xdr:colOff>114300</xdr:colOff>
      <xdr:row>73</xdr:row>
      <xdr:rowOff>98425</xdr:rowOff>
    </xdr:to>
    <xdr:sp macro="" textlink="">
      <xdr:nvSpPr>
        <xdr:cNvPr id="54" name="Line 32">
          <a:extLst>
            <a:ext uri="{FF2B5EF4-FFF2-40B4-BE49-F238E27FC236}">
              <a16:creationId xmlns:a16="http://schemas.microsoft.com/office/drawing/2014/main" id="{787E1C7A-C25A-4823-B57D-2550401A9D7D}"/>
            </a:ext>
          </a:extLst>
        </xdr:cNvPr>
        <xdr:cNvSpPr>
          <a:spLocks noChangeShapeType="1"/>
        </xdr:cNvSpPr>
      </xdr:nvSpPr>
      <xdr:spPr bwMode="auto">
        <a:xfrm flipH="1">
          <a:off x="5000625" y="14297025"/>
          <a:ext cx="298450" cy="1778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381000</xdr:colOff>
      <xdr:row>70</xdr:row>
      <xdr:rowOff>136525</xdr:rowOff>
    </xdr:from>
    <xdr:to>
      <xdr:col>20</xdr:col>
      <xdr:colOff>57150</xdr:colOff>
      <xdr:row>71</xdr:row>
      <xdr:rowOff>127000</xdr:rowOff>
    </xdr:to>
    <xdr:sp macro="" textlink="">
      <xdr:nvSpPr>
        <xdr:cNvPr id="55" name="Line 33">
          <a:extLst>
            <a:ext uri="{FF2B5EF4-FFF2-40B4-BE49-F238E27FC236}">
              <a16:creationId xmlns:a16="http://schemas.microsoft.com/office/drawing/2014/main" id="{95ED5291-E21C-4243-ABBD-4C0C920236B8}"/>
            </a:ext>
          </a:extLst>
        </xdr:cNvPr>
        <xdr:cNvSpPr>
          <a:spLocks noChangeShapeType="1"/>
        </xdr:cNvSpPr>
      </xdr:nvSpPr>
      <xdr:spPr bwMode="auto">
        <a:xfrm flipH="1">
          <a:off x="5565775" y="13950950"/>
          <a:ext cx="600075" cy="1778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238125</xdr:colOff>
      <xdr:row>72</xdr:row>
      <xdr:rowOff>146050</xdr:rowOff>
    </xdr:from>
    <xdr:to>
      <xdr:col>19</xdr:col>
      <xdr:colOff>438150</xdr:colOff>
      <xdr:row>73</xdr:row>
      <xdr:rowOff>57150</xdr:rowOff>
    </xdr:to>
    <xdr:sp macro="" textlink="">
      <xdr:nvSpPr>
        <xdr:cNvPr id="56" name="AutoShape 34">
          <a:extLst>
            <a:ext uri="{FF2B5EF4-FFF2-40B4-BE49-F238E27FC236}">
              <a16:creationId xmlns:a16="http://schemas.microsoft.com/office/drawing/2014/main" id="{0C4E193A-FF27-45AE-B2CD-093FF5C8F4C8}"/>
            </a:ext>
          </a:extLst>
        </xdr:cNvPr>
        <xdr:cNvSpPr>
          <a:spLocks noChangeArrowheads="1"/>
        </xdr:cNvSpPr>
      </xdr:nvSpPr>
      <xdr:spPr bwMode="auto">
        <a:xfrm rot="3473625">
          <a:off x="5473700" y="14284325"/>
          <a:ext cx="98425" cy="200025"/>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18</xdr:col>
      <xdr:colOff>584200</xdr:colOff>
      <xdr:row>69</xdr:row>
      <xdr:rowOff>139700</xdr:rowOff>
    </xdr:from>
    <xdr:ext cx="144206" cy="156588"/>
    <xdr:sp macro="" textlink="">
      <xdr:nvSpPr>
        <xdr:cNvPr id="57" name="Text Box 38">
          <a:extLst>
            <a:ext uri="{FF2B5EF4-FFF2-40B4-BE49-F238E27FC236}">
              <a16:creationId xmlns:a16="http://schemas.microsoft.com/office/drawing/2014/main" id="{289D6B67-CC10-46F4-8831-2C6E9C26EB7B}"/>
            </a:ext>
          </a:extLst>
        </xdr:cNvPr>
        <xdr:cNvSpPr txBox="1">
          <a:spLocks noChangeArrowheads="1"/>
        </xdr:cNvSpPr>
      </xdr:nvSpPr>
      <xdr:spPr bwMode="auto">
        <a:xfrm>
          <a:off x="5146675" y="13757275"/>
          <a:ext cx="144206" cy="15658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18</xdr:col>
      <xdr:colOff>273050</xdr:colOff>
      <xdr:row>73</xdr:row>
      <xdr:rowOff>47625</xdr:rowOff>
    </xdr:from>
    <xdr:ext cx="146841" cy="156588"/>
    <xdr:sp macro="" textlink="">
      <xdr:nvSpPr>
        <xdr:cNvPr id="58" name="Text Box 39">
          <a:extLst>
            <a:ext uri="{FF2B5EF4-FFF2-40B4-BE49-F238E27FC236}">
              <a16:creationId xmlns:a16="http://schemas.microsoft.com/office/drawing/2014/main" id="{240C8A1C-8783-4C5B-9FB3-F6625B281A10}"/>
            </a:ext>
          </a:extLst>
        </xdr:cNvPr>
        <xdr:cNvSpPr txBox="1">
          <a:spLocks noChangeArrowheads="1"/>
        </xdr:cNvSpPr>
      </xdr:nvSpPr>
      <xdr:spPr bwMode="auto">
        <a:xfrm>
          <a:off x="4835525" y="14424025"/>
          <a:ext cx="146841" cy="15658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19</xdr:col>
      <xdr:colOff>469900</xdr:colOff>
      <xdr:row>73</xdr:row>
      <xdr:rowOff>53975</xdr:rowOff>
    </xdr:from>
    <xdr:ext cx="118490" cy="156588"/>
    <xdr:sp macro="" textlink="">
      <xdr:nvSpPr>
        <xdr:cNvPr id="59" name="Text Box 40">
          <a:extLst>
            <a:ext uri="{FF2B5EF4-FFF2-40B4-BE49-F238E27FC236}">
              <a16:creationId xmlns:a16="http://schemas.microsoft.com/office/drawing/2014/main" id="{A3C03E9A-164B-41E2-B72B-1E214B295A6A}"/>
            </a:ext>
          </a:extLst>
        </xdr:cNvPr>
        <xdr:cNvSpPr txBox="1">
          <a:spLocks noChangeArrowheads="1"/>
        </xdr:cNvSpPr>
      </xdr:nvSpPr>
      <xdr:spPr bwMode="auto">
        <a:xfrm>
          <a:off x="5654675" y="14430375"/>
          <a:ext cx="118490" cy="15658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16</xdr:col>
      <xdr:colOff>447675</xdr:colOff>
      <xdr:row>75</xdr:row>
      <xdr:rowOff>146050</xdr:rowOff>
    </xdr:from>
    <xdr:ext cx="1278620" cy="141001"/>
    <xdr:sp macro="" textlink="">
      <xdr:nvSpPr>
        <xdr:cNvPr id="60" name="Text Box 47">
          <a:extLst>
            <a:ext uri="{FF2B5EF4-FFF2-40B4-BE49-F238E27FC236}">
              <a16:creationId xmlns:a16="http://schemas.microsoft.com/office/drawing/2014/main" id="{D57A0EB5-C5FE-462D-A066-D762B5CBF60D}"/>
            </a:ext>
          </a:extLst>
        </xdr:cNvPr>
        <xdr:cNvSpPr txBox="1">
          <a:spLocks noChangeArrowheads="1"/>
        </xdr:cNvSpPr>
      </xdr:nvSpPr>
      <xdr:spPr bwMode="auto">
        <a:xfrm>
          <a:off x="3832225" y="14897100"/>
          <a:ext cx="1278620"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18</xdr:col>
      <xdr:colOff>485775</xdr:colOff>
      <xdr:row>74</xdr:row>
      <xdr:rowOff>136525</xdr:rowOff>
    </xdr:from>
    <xdr:to>
      <xdr:col>19</xdr:col>
      <xdr:colOff>428625</xdr:colOff>
      <xdr:row>76</xdr:row>
      <xdr:rowOff>47625</xdr:rowOff>
    </xdr:to>
    <xdr:sp macro="" textlink="">
      <xdr:nvSpPr>
        <xdr:cNvPr id="61" name="Line 50">
          <a:extLst>
            <a:ext uri="{FF2B5EF4-FFF2-40B4-BE49-F238E27FC236}">
              <a16:creationId xmlns:a16="http://schemas.microsoft.com/office/drawing/2014/main" id="{B62721E0-5661-417D-8CFC-6E622F60E8B1}"/>
            </a:ext>
          </a:extLst>
        </xdr:cNvPr>
        <xdr:cNvSpPr>
          <a:spLocks noChangeShapeType="1"/>
        </xdr:cNvSpPr>
      </xdr:nvSpPr>
      <xdr:spPr bwMode="auto">
        <a:xfrm flipV="1">
          <a:off x="5048250" y="14700250"/>
          <a:ext cx="5651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115494</xdr:colOff>
      <xdr:row>96</xdr:row>
      <xdr:rowOff>0</xdr:rowOff>
    </xdr:from>
    <xdr:ext cx="2575318" cy="1554802"/>
    <xdr:pic>
      <xdr:nvPicPr>
        <xdr:cNvPr id="62" name="Picture 61">
          <a:extLst>
            <a:ext uri="{FF2B5EF4-FFF2-40B4-BE49-F238E27FC236}">
              <a16:creationId xmlns:a16="http://schemas.microsoft.com/office/drawing/2014/main" id="{9BF83D66-48C1-4746-93E5-0D6636E993CC}"/>
            </a:ext>
          </a:extLst>
        </xdr:cNvPr>
        <xdr:cNvPicPr>
          <a:picLocks noChangeAspect="1"/>
        </xdr:cNvPicPr>
      </xdr:nvPicPr>
      <xdr:blipFill>
        <a:blip xmlns:r="http://schemas.openxmlformats.org/officeDocument/2006/relationships" r:embed="rId1"/>
        <a:stretch>
          <a:fillRect/>
        </a:stretch>
      </xdr:blipFill>
      <xdr:spPr>
        <a:xfrm>
          <a:off x="7787088" y="19966781"/>
          <a:ext cx="2575318" cy="1554802"/>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twoCellAnchor>
    <xdr:from>
      <xdr:col>3</xdr:col>
      <xdr:colOff>2486025</xdr:colOff>
      <xdr:row>5</xdr:row>
      <xdr:rowOff>50801</xdr:rowOff>
    </xdr:from>
    <xdr:to>
      <xdr:col>4</xdr:col>
      <xdr:colOff>276225</xdr:colOff>
      <xdr:row>7</xdr:row>
      <xdr:rowOff>158751</xdr:rowOff>
    </xdr:to>
    <xdr:sp macro="" textlink="">
      <xdr:nvSpPr>
        <xdr:cNvPr id="2" name="Left Brace 1">
          <a:extLst>
            <a:ext uri="{FF2B5EF4-FFF2-40B4-BE49-F238E27FC236}">
              <a16:creationId xmlns:a16="http://schemas.microsoft.com/office/drawing/2014/main" id="{34F2E699-3A4E-46FB-863F-A7965B7994EF}"/>
            </a:ext>
          </a:extLst>
        </xdr:cNvPr>
        <xdr:cNvSpPr/>
      </xdr:nvSpPr>
      <xdr:spPr>
        <a:xfrm>
          <a:off x="3238500" y="612776"/>
          <a:ext cx="317500" cy="482600"/>
        </a:xfrm>
        <a:prstGeom prst="leftBrace">
          <a:avLst>
            <a:gd name="adj1" fmla="val 13596"/>
            <a:gd name="adj2" fmla="val 50000"/>
          </a:avLst>
        </a:prstGeom>
        <a:ln w="127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CA"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2495550</xdr:colOff>
      <xdr:row>5</xdr:row>
      <xdr:rowOff>50800</xdr:rowOff>
    </xdr:from>
    <xdr:to>
      <xdr:col>4</xdr:col>
      <xdr:colOff>285750</xdr:colOff>
      <xdr:row>7</xdr:row>
      <xdr:rowOff>158750</xdr:rowOff>
    </xdr:to>
    <xdr:sp macro="" textlink="">
      <xdr:nvSpPr>
        <xdr:cNvPr id="2" name="Left Brace 1">
          <a:extLst>
            <a:ext uri="{FF2B5EF4-FFF2-40B4-BE49-F238E27FC236}">
              <a16:creationId xmlns:a16="http://schemas.microsoft.com/office/drawing/2014/main" id="{13C8A0DF-C2B2-4578-8517-1460DDA12724}"/>
            </a:ext>
          </a:extLst>
        </xdr:cNvPr>
        <xdr:cNvSpPr/>
      </xdr:nvSpPr>
      <xdr:spPr>
        <a:xfrm>
          <a:off x="3209925" y="641350"/>
          <a:ext cx="317500" cy="482600"/>
        </a:xfrm>
        <a:prstGeom prst="leftBrace">
          <a:avLst>
            <a:gd name="adj1" fmla="val 13596"/>
            <a:gd name="adj2" fmla="val 50000"/>
          </a:avLst>
        </a:prstGeom>
        <a:ln w="127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CA"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73187-34BA-4581-9B05-EEAA75712C55}">
  <sheetPr>
    <tabColor theme="4"/>
  </sheetPr>
  <dimension ref="A1:AO35"/>
  <sheetViews>
    <sheetView topLeftCell="O13" zoomScale="94" zoomScaleNormal="50" workbookViewId="0">
      <selection activeCell="R21" sqref="R21:U21"/>
    </sheetView>
  </sheetViews>
  <sheetFormatPr defaultColWidth="0" defaultRowHeight="14.75" zeroHeight="1" x14ac:dyDescent="0.75"/>
  <cols>
    <col min="1" max="17" width="3.2265625" customWidth="1"/>
    <col min="18" max="20" width="11.2265625" customWidth="1"/>
    <col min="21" max="21" width="10.453125" customWidth="1"/>
    <col min="22" max="22" width="10.90625" bestFit="1" customWidth="1"/>
    <col min="23" max="23" width="9.1796875" bestFit="1" customWidth="1"/>
    <col min="24" max="24" width="8.7265625" customWidth="1"/>
    <col min="25" max="41" width="3.2265625" customWidth="1"/>
  </cols>
  <sheetData>
    <row r="1" spans="1:41" ht="15.5" thickBot="1" x14ac:dyDescent="0.9">
      <c r="A1" s="1"/>
      <c r="B1" s="1"/>
      <c r="C1" s="1"/>
      <c r="D1" s="1"/>
      <c r="E1" s="1"/>
      <c r="F1" s="1"/>
      <c r="G1" s="1"/>
      <c r="H1" s="1"/>
      <c r="I1" s="1"/>
      <c r="J1" s="1"/>
      <c r="K1" s="1"/>
      <c r="L1" s="1"/>
      <c r="M1" s="1"/>
      <c r="N1" s="1"/>
      <c r="O1" s="1"/>
      <c r="P1" s="1"/>
      <c r="Q1" s="1"/>
      <c r="R1" s="1"/>
      <c r="S1" s="1"/>
      <c r="T1" s="1"/>
      <c r="U1" s="2"/>
      <c r="V1" s="1"/>
      <c r="W1" s="1"/>
      <c r="X1" s="1"/>
      <c r="Y1" s="1"/>
      <c r="Z1" s="1"/>
      <c r="AA1" s="1"/>
      <c r="AB1" s="1"/>
      <c r="AC1" s="1"/>
      <c r="AD1" s="1"/>
      <c r="AE1" s="1"/>
      <c r="AF1" s="1"/>
      <c r="AG1" s="1"/>
      <c r="AH1" s="1"/>
      <c r="AI1" s="1"/>
      <c r="AJ1" s="1"/>
      <c r="AK1" s="1"/>
      <c r="AL1" s="1"/>
      <c r="AM1" s="1"/>
      <c r="AN1" s="1"/>
      <c r="AO1" s="1"/>
    </row>
    <row r="2" spans="1:41" ht="16.25" thickBot="1" x14ac:dyDescent="0.9">
      <c r="A2" s="1"/>
      <c r="B2" s="1"/>
      <c r="C2" s="1"/>
      <c r="D2" s="1"/>
      <c r="E2" s="1"/>
      <c r="F2" s="1"/>
      <c r="G2" s="1"/>
      <c r="H2" s="1"/>
      <c r="I2" s="1"/>
      <c r="J2" s="1"/>
      <c r="K2" s="1"/>
      <c r="L2" s="1"/>
      <c r="M2" s="1"/>
      <c r="N2" s="1"/>
      <c r="O2" s="1"/>
      <c r="P2" s="1"/>
      <c r="Q2" s="1"/>
      <c r="R2" s="267" t="s">
        <v>0</v>
      </c>
      <c r="S2" s="268"/>
      <c r="T2" s="268"/>
      <c r="U2" s="268"/>
      <c r="V2" s="268"/>
      <c r="W2" s="268"/>
      <c r="X2" s="269"/>
      <c r="Y2" s="1"/>
      <c r="Z2" s="1"/>
      <c r="AA2" s="1"/>
      <c r="AB2" s="1"/>
      <c r="AC2" s="1"/>
      <c r="AD2" s="1"/>
      <c r="AE2" s="1"/>
      <c r="AF2" s="1"/>
      <c r="AG2" s="1"/>
      <c r="AH2" s="1"/>
      <c r="AI2" s="1"/>
      <c r="AJ2" s="1"/>
      <c r="AK2" s="1"/>
      <c r="AL2" s="1"/>
      <c r="AM2" s="1"/>
      <c r="AN2" s="1"/>
      <c r="AO2" s="1"/>
    </row>
    <row r="3" spans="1:41" ht="15.5" thickBot="1" x14ac:dyDescent="0.9">
      <c r="A3" s="1"/>
      <c r="B3" s="1"/>
      <c r="C3" s="1"/>
      <c r="D3" s="1"/>
      <c r="E3" s="1"/>
      <c r="F3" s="1"/>
      <c r="G3" s="1"/>
      <c r="H3" s="1"/>
      <c r="I3" s="1"/>
      <c r="J3" s="1"/>
      <c r="K3" s="1"/>
      <c r="L3" s="1"/>
      <c r="M3" s="1"/>
      <c r="N3" s="1"/>
      <c r="O3" s="1"/>
      <c r="P3" s="1"/>
      <c r="Q3" s="1"/>
      <c r="R3" s="1"/>
      <c r="S3" s="1"/>
      <c r="T3" s="1"/>
      <c r="U3" s="2"/>
      <c r="V3" s="1"/>
      <c r="W3" s="1"/>
      <c r="X3" s="1"/>
      <c r="Y3" s="1"/>
      <c r="Z3" s="1"/>
      <c r="AA3" s="1"/>
      <c r="AB3" s="1"/>
      <c r="AC3" s="1"/>
      <c r="AD3" s="1"/>
      <c r="AE3" s="1"/>
      <c r="AF3" s="1"/>
      <c r="AG3" s="1"/>
      <c r="AH3" s="1"/>
      <c r="AI3" s="1"/>
      <c r="AJ3" s="1"/>
      <c r="AK3" s="1"/>
      <c r="AL3" s="1"/>
      <c r="AM3" s="1"/>
      <c r="AN3" s="1"/>
      <c r="AO3" s="1"/>
    </row>
    <row r="4" spans="1:41" x14ac:dyDescent="0.75">
      <c r="A4" s="1"/>
      <c r="B4" s="1"/>
      <c r="C4" s="1"/>
      <c r="D4" s="1"/>
      <c r="E4" s="1"/>
      <c r="F4" s="1"/>
      <c r="G4" s="1"/>
      <c r="H4" s="1"/>
      <c r="I4" s="1"/>
      <c r="J4" s="1"/>
      <c r="K4" s="1"/>
      <c r="L4" s="1"/>
      <c r="M4" s="1"/>
      <c r="N4" s="1"/>
      <c r="O4" s="1"/>
      <c r="P4" s="3"/>
      <c r="Q4" s="182"/>
      <c r="R4" s="4"/>
      <c r="S4" s="4"/>
      <c r="T4" s="4"/>
      <c r="U4" s="5"/>
      <c r="V4" s="4"/>
      <c r="W4" s="4"/>
      <c r="X4" s="4"/>
      <c r="Y4" s="4"/>
      <c r="Z4" s="6"/>
      <c r="AA4" s="7"/>
      <c r="AB4" s="7"/>
      <c r="AC4" s="7"/>
      <c r="AD4" s="7"/>
      <c r="AE4" s="7"/>
      <c r="AF4" s="7"/>
      <c r="AG4" s="7"/>
      <c r="AH4" s="7"/>
      <c r="AI4" s="7"/>
      <c r="AJ4" s="7"/>
      <c r="AK4" s="7"/>
      <c r="AL4" s="7"/>
      <c r="AM4" s="7"/>
      <c r="AN4" s="7"/>
      <c r="AO4" s="7"/>
    </row>
    <row r="5" spans="1:41" ht="15.5" thickBot="1" x14ac:dyDescent="0.9">
      <c r="A5" s="1"/>
      <c r="B5" s="1"/>
      <c r="C5" s="1"/>
      <c r="D5" s="1"/>
      <c r="E5" s="1"/>
      <c r="F5" s="1"/>
      <c r="G5" s="1"/>
      <c r="H5" s="1"/>
      <c r="I5" s="1"/>
      <c r="J5" s="1"/>
      <c r="K5" s="1"/>
      <c r="L5" s="1"/>
      <c r="M5" s="1"/>
      <c r="N5" s="1"/>
      <c r="O5" s="1"/>
      <c r="P5" s="8"/>
      <c r="Q5" s="9"/>
      <c r="R5" s="9"/>
      <c r="S5" s="9"/>
      <c r="T5" s="9"/>
      <c r="U5" s="10"/>
      <c r="V5" s="9"/>
      <c r="W5" s="9"/>
      <c r="X5" s="9"/>
      <c r="Y5" s="9"/>
      <c r="Z5" s="11"/>
      <c r="AA5" s="7"/>
      <c r="AB5" s="7"/>
      <c r="AC5" s="7"/>
      <c r="AD5" s="7"/>
      <c r="AE5" s="7"/>
      <c r="AF5" s="7"/>
      <c r="AG5" s="7"/>
      <c r="AH5" s="7"/>
      <c r="AI5" s="7"/>
      <c r="AJ5" s="7"/>
      <c r="AK5" s="7"/>
      <c r="AL5" s="7"/>
      <c r="AM5" s="7"/>
      <c r="AN5" s="7"/>
      <c r="AO5" s="7"/>
    </row>
    <row r="6" spans="1:41" ht="31" thickBot="1" x14ac:dyDescent="0.9">
      <c r="A6" s="1"/>
      <c r="B6" s="1"/>
      <c r="C6" s="1"/>
      <c r="D6" s="1"/>
      <c r="E6" s="1"/>
      <c r="F6" s="1"/>
      <c r="G6" s="1"/>
      <c r="H6" s="1"/>
      <c r="I6" s="1"/>
      <c r="J6" s="1"/>
      <c r="K6" s="1"/>
      <c r="L6" s="1"/>
      <c r="M6" s="1"/>
      <c r="N6" s="1"/>
      <c r="O6" s="1"/>
      <c r="P6" s="8"/>
      <c r="Q6" s="9"/>
      <c r="R6" s="263" t="s">
        <v>1</v>
      </c>
      <c r="S6" s="264"/>
      <c r="T6" s="264"/>
      <c r="U6" s="264"/>
      <c r="V6" s="264"/>
      <c r="W6" s="264"/>
      <c r="X6" s="265"/>
      <c r="Y6" s="9"/>
      <c r="Z6" s="11"/>
      <c r="AA6" s="7"/>
      <c r="AB6" s="7"/>
      <c r="AC6" s="7"/>
      <c r="AD6" s="7"/>
      <c r="AE6" s="7"/>
      <c r="AF6" s="7"/>
      <c r="AG6" s="7"/>
      <c r="AH6" s="7"/>
      <c r="AI6" s="7"/>
      <c r="AJ6" s="7"/>
      <c r="AK6" s="7"/>
      <c r="AL6" s="7"/>
      <c r="AM6" s="7"/>
      <c r="AN6" s="7"/>
      <c r="AO6" s="7"/>
    </row>
    <row r="7" spans="1:41" x14ac:dyDescent="0.75">
      <c r="A7" s="1"/>
      <c r="B7" s="1"/>
      <c r="C7" s="1"/>
      <c r="D7" s="1"/>
      <c r="E7" s="1"/>
      <c r="F7" s="1"/>
      <c r="G7" s="1"/>
      <c r="H7" s="1"/>
      <c r="I7" s="1"/>
      <c r="J7" s="1"/>
      <c r="K7" s="1"/>
      <c r="L7" s="1"/>
      <c r="M7" s="1"/>
      <c r="N7" s="1"/>
      <c r="O7" s="1"/>
      <c r="P7" s="8"/>
      <c r="Q7" s="9"/>
      <c r="R7" s="9"/>
      <c r="S7" s="9"/>
      <c r="T7" s="9"/>
      <c r="U7" s="10"/>
      <c r="V7" s="9"/>
      <c r="W7" s="9"/>
      <c r="X7" s="9"/>
      <c r="Y7" s="9"/>
      <c r="Z7" s="11"/>
      <c r="AA7" s="1"/>
      <c r="AB7" s="1"/>
      <c r="AC7" s="1"/>
      <c r="AD7" s="1"/>
      <c r="AE7" s="1"/>
      <c r="AF7" s="1"/>
      <c r="AG7" s="1"/>
      <c r="AH7" s="1"/>
      <c r="AI7" s="1"/>
      <c r="AJ7" s="1"/>
      <c r="AK7" s="1"/>
      <c r="AL7" s="1"/>
      <c r="AM7" s="1"/>
      <c r="AN7" s="1"/>
      <c r="AO7" s="1"/>
    </row>
    <row r="8" spans="1:41" x14ac:dyDescent="0.75">
      <c r="A8" s="1"/>
      <c r="B8" s="1"/>
      <c r="C8" s="1"/>
      <c r="D8" s="1"/>
      <c r="E8" s="1"/>
      <c r="F8" s="1"/>
      <c r="G8" s="1"/>
      <c r="H8" s="1"/>
      <c r="I8" s="1"/>
      <c r="J8" s="1"/>
      <c r="K8" s="1"/>
      <c r="L8" s="1"/>
      <c r="M8" s="1"/>
      <c r="N8" s="1"/>
      <c r="O8" s="1"/>
      <c r="P8" s="180"/>
      <c r="Q8" s="9"/>
      <c r="R8" s="9"/>
      <c r="S8" s="9"/>
      <c r="T8" s="9"/>
      <c r="U8" s="10"/>
      <c r="V8" s="10" t="s">
        <v>2</v>
      </c>
      <c r="W8" s="10" t="s">
        <v>3</v>
      </c>
      <c r="X8" s="9"/>
      <c r="Y8" s="9"/>
      <c r="Z8" s="11"/>
      <c r="AA8" s="1"/>
      <c r="AB8" s="1"/>
      <c r="AC8" s="1"/>
      <c r="AD8" s="1"/>
      <c r="AE8" s="1"/>
      <c r="AF8" s="1"/>
      <c r="AG8" s="1"/>
      <c r="AH8" s="1"/>
      <c r="AI8" s="1"/>
      <c r="AJ8" s="1"/>
      <c r="AK8" s="1"/>
      <c r="AL8" s="1"/>
      <c r="AM8" s="1"/>
      <c r="AN8" s="1"/>
      <c r="AO8" s="1"/>
    </row>
    <row r="9" spans="1:41" x14ac:dyDescent="0.75">
      <c r="A9" s="1"/>
      <c r="B9" s="1"/>
      <c r="C9" s="1"/>
      <c r="D9" s="1"/>
      <c r="E9" s="1"/>
      <c r="F9" s="1"/>
      <c r="G9" s="1"/>
      <c r="H9" s="1"/>
      <c r="I9" s="1"/>
      <c r="J9" s="1"/>
      <c r="K9" s="1"/>
      <c r="L9" s="1"/>
      <c r="M9" s="1"/>
      <c r="N9" s="1"/>
      <c r="O9" s="1"/>
      <c r="P9" s="8"/>
      <c r="Q9" s="9"/>
      <c r="R9" s="261" t="s">
        <v>4</v>
      </c>
      <c r="S9" s="261"/>
      <c r="T9" s="261"/>
      <c r="U9" s="266"/>
      <c r="V9" s="172">
        <v>299792458</v>
      </c>
      <c r="W9" s="10" t="s">
        <v>5</v>
      </c>
      <c r="X9" s="9"/>
      <c r="Y9" s="9"/>
      <c r="Z9" s="11"/>
      <c r="AA9" s="1"/>
      <c r="AB9" s="1"/>
      <c r="AC9" s="1"/>
      <c r="AD9" s="1"/>
      <c r="AE9" s="1"/>
      <c r="AF9" s="1"/>
      <c r="AG9" s="1"/>
      <c r="AH9" s="1"/>
      <c r="AI9" s="1"/>
      <c r="AJ9" s="1"/>
      <c r="AK9" s="1"/>
      <c r="AL9" s="1"/>
      <c r="AM9" s="1"/>
      <c r="AN9" s="1"/>
      <c r="AO9" s="1"/>
    </row>
    <row r="10" spans="1:41" x14ac:dyDescent="0.75">
      <c r="A10" s="1"/>
      <c r="B10" s="1"/>
      <c r="C10" s="1"/>
      <c r="D10" s="1"/>
      <c r="E10" s="1"/>
      <c r="F10" s="1"/>
      <c r="G10" s="1"/>
      <c r="H10" s="1"/>
      <c r="I10" s="1"/>
      <c r="J10" s="1"/>
      <c r="K10" s="1"/>
      <c r="L10" s="1"/>
      <c r="M10" s="1"/>
      <c r="N10" s="1"/>
      <c r="O10" s="1"/>
      <c r="P10" s="8"/>
      <c r="Q10" s="9"/>
      <c r="R10" s="270" t="s">
        <v>6</v>
      </c>
      <c r="S10" s="270"/>
      <c r="T10" s="270"/>
      <c r="U10" s="271"/>
      <c r="V10" s="172">
        <v>-228.6</v>
      </c>
      <c r="W10" s="10" t="s">
        <v>7</v>
      </c>
      <c r="X10" s="9"/>
      <c r="Y10" s="9"/>
      <c r="Z10" s="11"/>
      <c r="AA10" s="1"/>
      <c r="AB10" s="1"/>
      <c r="AC10" s="1"/>
      <c r="AD10" s="1"/>
      <c r="AE10" s="1"/>
      <c r="AF10" s="1"/>
      <c r="AG10" s="1"/>
      <c r="AH10" s="1"/>
      <c r="AI10" s="1"/>
      <c r="AJ10" s="1"/>
      <c r="AK10" s="1"/>
      <c r="AL10" s="1"/>
      <c r="AM10" s="1"/>
      <c r="AN10" s="1"/>
      <c r="AO10" s="1"/>
    </row>
    <row r="11" spans="1:41" x14ac:dyDescent="0.75">
      <c r="A11" s="1"/>
      <c r="B11" s="1"/>
      <c r="C11" s="1"/>
      <c r="D11" s="1"/>
      <c r="E11" s="1"/>
      <c r="F11" s="1"/>
      <c r="G11" s="1"/>
      <c r="H11" s="1"/>
      <c r="I11" s="1"/>
      <c r="J11" s="1"/>
      <c r="K11" s="1"/>
      <c r="L11" s="1"/>
      <c r="M11" s="1"/>
      <c r="N11" s="1"/>
      <c r="O11" s="1"/>
      <c r="P11" s="8"/>
      <c r="Q11" s="9"/>
      <c r="R11" s="261" t="s">
        <v>8</v>
      </c>
      <c r="S11" s="261"/>
      <c r="T11" s="261"/>
      <c r="U11" s="266"/>
      <c r="V11" s="172">
        <v>6378.17</v>
      </c>
      <c r="W11" s="10" t="s">
        <v>9</v>
      </c>
      <c r="X11" s="9"/>
      <c r="Y11" s="9"/>
      <c r="Z11" s="11"/>
      <c r="AA11" s="1"/>
      <c r="AB11" s="1"/>
      <c r="AC11" s="1"/>
      <c r="AD11" s="1"/>
      <c r="AE11" s="1"/>
      <c r="AF11" s="1"/>
      <c r="AG11" s="1"/>
      <c r="AH11" s="1"/>
      <c r="AI11" s="1"/>
      <c r="AJ11" s="1"/>
      <c r="AK11" s="1"/>
      <c r="AL11" s="1"/>
      <c r="AM11" s="1"/>
      <c r="AN11" s="1"/>
      <c r="AO11" s="1"/>
    </row>
    <row r="12" spans="1:41" ht="15.5" thickBot="1" x14ac:dyDescent="0.9">
      <c r="A12" s="1"/>
      <c r="B12" s="1"/>
      <c r="C12" s="1"/>
      <c r="D12" s="1"/>
      <c r="E12" s="1"/>
      <c r="F12" s="1"/>
      <c r="G12" s="1"/>
      <c r="H12" s="1"/>
      <c r="I12" s="1"/>
      <c r="J12" s="1"/>
      <c r="K12" s="1"/>
      <c r="L12" s="1"/>
      <c r="M12" s="1"/>
      <c r="N12" s="1"/>
      <c r="O12" s="1"/>
      <c r="P12" s="8"/>
      <c r="Q12" s="9"/>
      <c r="R12" s="9"/>
      <c r="S12" s="9"/>
      <c r="T12" s="9"/>
      <c r="U12" s="10"/>
      <c r="V12" s="9"/>
      <c r="W12" s="9"/>
      <c r="X12" s="9"/>
      <c r="Y12" s="9"/>
      <c r="Z12" s="11"/>
      <c r="AA12" s="1"/>
      <c r="AB12" s="1"/>
      <c r="AC12" s="1"/>
      <c r="AD12" s="1"/>
      <c r="AE12" s="1"/>
      <c r="AF12" s="1"/>
      <c r="AG12" s="1"/>
      <c r="AH12" s="1"/>
      <c r="AI12" s="1"/>
      <c r="AJ12" s="1"/>
      <c r="AK12" s="1"/>
      <c r="AL12" s="1"/>
      <c r="AM12" s="1"/>
      <c r="AN12" s="1"/>
      <c r="AO12" s="1"/>
    </row>
    <row r="13" spans="1:41" ht="31" thickBot="1" x14ac:dyDescent="0.9">
      <c r="A13" s="1"/>
      <c r="B13" s="1"/>
      <c r="C13" s="1"/>
      <c r="D13" s="1"/>
      <c r="E13" s="1"/>
      <c r="F13" s="1"/>
      <c r="G13" s="1"/>
      <c r="H13" s="1"/>
      <c r="I13" s="1"/>
      <c r="J13" s="1"/>
      <c r="K13" s="1"/>
      <c r="L13" s="1"/>
      <c r="M13" s="1"/>
      <c r="N13" s="1"/>
      <c r="O13" s="1"/>
      <c r="P13" s="8"/>
      <c r="Q13" s="9"/>
      <c r="R13" s="263" t="s">
        <v>231</v>
      </c>
      <c r="S13" s="264"/>
      <c r="T13" s="264"/>
      <c r="U13" s="264"/>
      <c r="V13" s="264"/>
      <c r="W13" s="264"/>
      <c r="X13" s="265"/>
      <c r="Y13" s="9"/>
      <c r="Z13" s="11"/>
      <c r="AA13" s="1"/>
      <c r="AB13" s="1"/>
      <c r="AC13" s="1"/>
      <c r="AD13" s="1"/>
      <c r="AE13" s="1"/>
      <c r="AF13" s="1"/>
      <c r="AG13" s="1"/>
      <c r="AH13" s="1"/>
      <c r="AI13" s="1"/>
      <c r="AJ13" s="1"/>
      <c r="AK13" s="1"/>
      <c r="AL13" s="1"/>
      <c r="AM13" s="1"/>
      <c r="AN13" s="1"/>
      <c r="AO13" s="1"/>
    </row>
    <row r="14" spans="1:41" x14ac:dyDescent="0.75">
      <c r="A14" s="1"/>
      <c r="B14" s="1"/>
      <c r="C14" s="1"/>
      <c r="D14" s="1"/>
      <c r="E14" s="1"/>
      <c r="F14" s="1"/>
      <c r="G14" s="1"/>
      <c r="H14" s="1"/>
      <c r="I14" s="1"/>
      <c r="J14" s="1"/>
      <c r="K14" s="1"/>
      <c r="L14" s="1"/>
      <c r="M14" s="1"/>
      <c r="N14" s="1"/>
      <c r="O14" s="1"/>
      <c r="P14" s="8"/>
      <c r="Q14" s="9"/>
      <c r="R14" s="9"/>
      <c r="S14" s="9"/>
      <c r="T14" s="9"/>
      <c r="U14" s="10"/>
      <c r="V14" s="9"/>
      <c r="W14" s="9"/>
      <c r="X14" s="9"/>
      <c r="Y14" s="9"/>
      <c r="Z14" s="11"/>
      <c r="AA14" s="1"/>
      <c r="AB14" s="1"/>
      <c r="AC14" s="1"/>
      <c r="AD14" s="1"/>
      <c r="AE14" s="1"/>
      <c r="AF14" s="1"/>
      <c r="AG14" s="1"/>
      <c r="AH14" s="1"/>
      <c r="AI14" s="1"/>
      <c r="AJ14" s="1"/>
      <c r="AK14" s="1"/>
      <c r="AL14" s="1"/>
      <c r="AM14" s="1"/>
      <c r="AN14" s="1"/>
      <c r="AO14" s="1"/>
    </row>
    <row r="15" spans="1:41" x14ac:dyDescent="0.75">
      <c r="A15" s="1"/>
      <c r="B15" s="1"/>
      <c r="C15" s="1"/>
      <c r="D15" s="1"/>
      <c r="E15" s="1"/>
      <c r="F15" s="1"/>
      <c r="G15" s="1"/>
      <c r="H15" s="1"/>
      <c r="I15" s="1"/>
      <c r="J15" s="1"/>
      <c r="K15" s="1"/>
      <c r="L15" s="1"/>
      <c r="M15" s="1"/>
      <c r="N15" s="1"/>
      <c r="O15" s="1"/>
      <c r="P15" s="8"/>
      <c r="Q15" s="9"/>
      <c r="R15" s="9"/>
      <c r="S15" s="261" t="s">
        <v>10</v>
      </c>
      <c r="T15" s="261"/>
      <c r="U15" s="261"/>
      <c r="V15" s="196">
        <v>145.80000000000001</v>
      </c>
      <c r="W15" s="9" t="s">
        <v>11</v>
      </c>
      <c r="X15" s="9"/>
      <c r="Y15" s="9"/>
      <c r="Z15" s="11"/>
      <c r="AA15" s="1"/>
      <c r="AB15" s="1"/>
      <c r="AC15" s="1"/>
      <c r="AD15" s="1"/>
      <c r="AE15" s="1"/>
      <c r="AF15" s="1"/>
      <c r="AG15" s="1"/>
      <c r="AH15" s="1"/>
      <c r="AI15" s="1"/>
      <c r="AJ15" s="1"/>
      <c r="AK15" s="1"/>
      <c r="AL15" s="1"/>
      <c r="AM15" s="1"/>
      <c r="AN15" s="1"/>
      <c r="AO15" s="1"/>
    </row>
    <row r="16" spans="1:41" x14ac:dyDescent="0.75">
      <c r="A16" s="1"/>
      <c r="B16" s="1"/>
      <c r="C16" s="1"/>
      <c r="D16" s="1"/>
      <c r="E16" s="1"/>
      <c r="F16" s="1"/>
      <c r="G16" s="1"/>
      <c r="H16" s="1"/>
      <c r="I16" s="1"/>
      <c r="J16" s="1"/>
      <c r="K16" s="1"/>
      <c r="L16" s="1"/>
      <c r="M16" s="1"/>
      <c r="N16" s="1"/>
      <c r="O16" s="1"/>
      <c r="P16" s="8"/>
      <c r="Q16" s="9"/>
      <c r="R16" s="9"/>
      <c r="S16" s="261" t="s">
        <v>12</v>
      </c>
      <c r="T16" s="261"/>
      <c r="U16" s="261"/>
      <c r="V16" s="174">
        <v>437.30500000000001</v>
      </c>
      <c r="W16" s="9" t="s">
        <v>11</v>
      </c>
      <c r="X16" s="9"/>
      <c r="Y16" s="9"/>
      <c r="Z16" s="11"/>
      <c r="AA16" s="1"/>
      <c r="AB16" s="1"/>
      <c r="AC16" s="1"/>
      <c r="AD16" s="1"/>
      <c r="AE16" s="1"/>
      <c r="AF16" s="1"/>
      <c r="AG16" s="1"/>
      <c r="AH16" s="1"/>
      <c r="AI16" s="1"/>
      <c r="AJ16" s="1"/>
      <c r="AK16" s="1"/>
      <c r="AL16" s="1"/>
      <c r="AM16" s="1"/>
      <c r="AN16" s="1"/>
      <c r="AO16" s="1"/>
    </row>
    <row r="17" spans="1:41" ht="15.5" thickBot="1" x14ac:dyDescent="0.9">
      <c r="A17" s="1"/>
      <c r="B17" s="1"/>
      <c r="C17" s="1"/>
      <c r="D17" s="1"/>
      <c r="E17" s="1"/>
      <c r="F17" s="1"/>
      <c r="G17" s="1"/>
      <c r="H17" s="1"/>
      <c r="I17" s="1"/>
      <c r="J17" s="1"/>
      <c r="K17" s="1"/>
      <c r="L17" s="1"/>
      <c r="M17" s="1"/>
      <c r="N17" s="1"/>
      <c r="O17" s="1"/>
      <c r="P17" s="8"/>
      <c r="Q17" s="9"/>
      <c r="R17" s="9"/>
      <c r="S17" s="9"/>
      <c r="T17" s="9"/>
      <c r="U17" s="10"/>
      <c r="V17" s="9"/>
      <c r="W17" s="9"/>
      <c r="X17" s="9"/>
      <c r="Y17" s="9"/>
      <c r="Z17" s="11"/>
      <c r="AA17" s="1"/>
      <c r="AB17" s="1"/>
      <c r="AC17" s="1"/>
      <c r="AD17" s="1"/>
      <c r="AE17" s="1"/>
      <c r="AF17" s="1"/>
      <c r="AG17" s="1"/>
      <c r="AH17" s="1"/>
      <c r="AI17" s="1"/>
      <c r="AJ17" s="1"/>
      <c r="AK17" s="1"/>
      <c r="AL17" s="1"/>
      <c r="AM17" s="1"/>
      <c r="AN17" s="1"/>
      <c r="AO17" s="1"/>
    </row>
    <row r="18" spans="1:41" ht="31" thickBot="1" x14ac:dyDescent="0.9">
      <c r="A18" s="1"/>
      <c r="B18" s="1"/>
      <c r="C18" s="1"/>
      <c r="D18" s="1"/>
      <c r="E18" s="1"/>
      <c r="F18" s="1"/>
      <c r="G18" s="1"/>
      <c r="H18" s="1"/>
      <c r="I18" s="1"/>
      <c r="J18" s="1"/>
      <c r="K18" s="1"/>
      <c r="L18" s="1"/>
      <c r="M18" s="1"/>
      <c r="N18" s="1"/>
      <c r="O18" s="1"/>
      <c r="P18" s="8"/>
      <c r="Q18" s="9"/>
      <c r="R18" s="263" t="s">
        <v>13</v>
      </c>
      <c r="S18" s="264"/>
      <c r="T18" s="264"/>
      <c r="U18" s="264"/>
      <c r="V18" s="264"/>
      <c r="W18" s="264"/>
      <c r="X18" s="265"/>
      <c r="Y18" s="9"/>
      <c r="Z18" s="11"/>
      <c r="AA18" s="1"/>
      <c r="AB18" s="1"/>
      <c r="AC18" s="1"/>
      <c r="AD18" s="1"/>
      <c r="AE18" s="1"/>
      <c r="AF18" s="1"/>
      <c r="AG18" s="1"/>
      <c r="AH18" s="1"/>
      <c r="AI18" s="1"/>
      <c r="AJ18" s="1"/>
      <c r="AK18" s="1"/>
      <c r="AL18" s="1"/>
      <c r="AM18" s="1"/>
      <c r="AN18" s="1"/>
      <c r="AO18" s="1"/>
    </row>
    <row r="19" spans="1:41" x14ac:dyDescent="0.75">
      <c r="A19" s="1"/>
      <c r="B19" s="1"/>
      <c r="C19" s="1"/>
      <c r="D19" s="1"/>
      <c r="E19" s="1"/>
      <c r="F19" s="1"/>
      <c r="G19" s="1"/>
      <c r="H19" s="1"/>
      <c r="I19" s="1"/>
      <c r="J19" s="1"/>
      <c r="K19" s="1"/>
      <c r="L19" s="1"/>
      <c r="M19" s="1"/>
      <c r="N19" s="1"/>
      <c r="O19" s="1"/>
      <c r="P19" s="8"/>
      <c r="Q19" s="9"/>
      <c r="R19" s="9"/>
      <c r="S19" s="9"/>
      <c r="T19" s="9"/>
      <c r="U19" s="10"/>
      <c r="V19" s="9"/>
      <c r="W19" s="9"/>
      <c r="X19" s="9"/>
      <c r="Y19" s="9"/>
      <c r="Z19" s="11"/>
      <c r="AA19" s="1"/>
      <c r="AB19" s="1"/>
      <c r="AC19" s="1"/>
      <c r="AD19" s="1"/>
      <c r="AE19" s="1"/>
      <c r="AF19" s="1"/>
      <c r="AG19" s="1"/>
      <c r="AH19" s="1"/>
      <c r="AI19" s="1"/>
      <c r="AJ19" s="1"/>
      <c r="AK19" s="1"/>
      <c r="AL19" s="1"/>
      <c r="AM19" s="1"/>
      <c r="AN19" s="1"/>
      <c r="AO19" s="1"/>
    </row>
    <row r="20" spans="1:41" x14ac:dyDescent="0.75">
      <c r="A20" s="1"/>
      <c r="B20" s="1"/>
      <c r="C20" s="1"/>
      <c r="D20" s="1"/>
      <c r="E20" s="1"/>
      <c r="F20" s="1"/>
      <c r="G20" s="1"/>
      <c r="H20" s="1"/>
      <c r="I20" s="1"/>
      <c r="J20" s="1"/>
      <c r="K20" s="1"/>
      <c r="L20" s="1"/>
      <c r="M20" s="1"/>
      <c r="N20" s="1"/>
      <c r="O20" s="1"/>
      <c r="P20" s="8"/>
      <c r="Q20" s="9"/>
      <c r="R20" s="261" t="s">
        <v>14</v>
      </c>
      <c r="S20" s="261"/>
      <c r="T20" s="261"/>
      <c r="U20" s="262"/>
      <c r="V20" s="175">
        <v>408</v>
      </c>
      <c r="W20" s="12" t="s">
        <v>9</v>
      </c>
      <c r="X20" s="9"/>
      <c r="Y20" s="9"/>
      <c r="Z20" s="11"/>
      <c r="AA20" s="1"/>
      <c r="AB20" s="1"/>
      <c r="AC20" s="1"/>
      <c r="AD20" s="1"/>
      <c r="AE20" s="1"/>
      <c r="AF20" s="1"/>
      <c r="AG20" s="1"/>
      <c r="AH20" s="1"/>
      <c r="AI20" s="1"/>
      <c r="AJ20" s="1"/>
      <c r="AK20" s="1"/>
      <c r="AL20" s="1"/>
      <c r="AM20" s="1"/>
      <c r="AN20" s="1"/>
      <c r="AO20" s="1"/>
    </row>
    <row r="21" spans="1:41" x14ac:dyDescent="0.75">
      <c r="A21" s="1"/>
      <c r="B21" s="1"/>
      <c r="C21" s="1"/>
      <c r="D21" s="1"/>
      <c r="E21" s="1"/>
      <c r="F21" s="1"/>
      <c r="G21" s="1"/>
      <c r="H21" s="1"/>
      <c r="I21" s="1"/>
      <c r="J21" s="1"/>
      <c r="K21" s="1"/>
      <c r="L21" s="1"/>
      <c r="M21" s="1"/>
      <c r="N21" s="1"/>
      <c r="O21" s="1"/>
      <c r="P21" s="8"/>
      <c r="Q21" s="9"/>
      <c r="R21" s="261" t="s">
        <v>15</v>
      </c>
      <c r="S21" s="261"/>
      <c r="T21" s="261"/>
      <c r="U21" s="262"/>
      <c r="V21" s="175">
        <v>300</v>
      </c>
      <c r="W21" s="9" t="s">
        <v>16</v>
      </c>
      <c r="X21" s="9"/>
      <c r="Y21" s="9"/>
      <c r="Z21" s="11"/>
      <c r="AA21" s="1"/>
      <c r="AB21" s="1"/>
      <c r="AC21" s="1"/>
      <c r="AD21" s="1"/>
      <c r="AE21" s="1"/>
      <c r="AF21" s="1"/>
      <c r="AG21" s="1"/>
      <c r="AH21" s="1"/>
      <c r="AI21" s="1"/>
      <c r="AJ21" s="1"/>
      <c r="AK21" s="1"/>
      <c r="AL21" s="1"/>
      <c r="AM21" s="1"/>
      <c r="AN21" s="1"/>
      <c r="AO21" s="1"/>
    </row>
    <row r="22" spans="1:41" x14ac:dyDescent="0.75">
      <c r="A22" s="1"/>
      <c r="B22" s="1"/>
      <c r="C22" s="1"/>
      <c r="D22" s="1"/>
      <c r="E22" s="1"/>
      <c r="F22" s="1"/>
      <c r="G22" s="1"/>
      <c r="H22" s="1"/>
      <c r="I22" s="1"/>
      <c r="J22" s="1"/>
      <c r="K22" s="1"/>
      <c r="L22" s="1"/>
      <c r="M22" s="1"/>
      <c r="N22" s="1"/>
      <c r="O22" s="1"/>
      <c r="P22" s="8"/>
      <c r="Q22" s="9"/>
      <c r="R22" s="261" t="s">
        <v>17</v>
      </c>
      <c r="S22" s="261"/>
      <c r="T22" s="261"/>
      <c r="U22" s="262"/>
      <c r="V22" s="174">
        <v>15.106999999999999</v>
      </c>
      <c r="W22" s="9" t="s">
        <v>18</v>
      </c>
      <c r="X22" s="9"/>
      <c r="Y22" s="9"/>
      <c r="Z22" s="11"/>
      <c r="AA22" s="1"/>
      <c r="AB22" s="1"/>
      <c r="AC22" s="1"/>
      <c r="AD22" s="1"/>
      <c r="AE22" s="1"/>
      <c r="AF22" s="1"/>
      <c r="AG22" s="1"/>
      <c r="AH22" s="1"/>
      <c r="AI22" s="1"/>
      <c r="AJ22" s="1"/>
      <c r="AK22" s="1"/>
      <c r="AL22" s="1"/>
      <c r="AM22" s="1"/>
      <c r="AN22" s="1"/>
      <c r="AO22" s="1"/>
    </row>
    <row r="23" spans="1:41" x14ac:dyDescent="0.75">
      <c r="A23" s="1"/>
      <c r="B23" s="1"/>
      <c r="C23" s="1"/>
      <c r="D23" s="1"/>
      <c r="E23" s="1"/>
      <c r="F23" s="1"/>
      <c r="G23" s="1"/>
      <c r="H23" s="1"/>
      <c r="I23" s="1"/>
      <c r="J23" s="1"/>
      <c r="K23" s="1"/>
      <c r="L23" s="1"/>
      <c r="M23" s="1"/>
      <c r="N23" s="1"/>
      <c r="O23" s="1"/>
      <c r="P23" s="8"/>
      <c r="Q23" s="9"/>
      <c r="R23" s="261" t="s">
        <v>19</v>
      </c>
      <c r="S23" s="261"/>
      <c r="T23" s="261"/>
      <c r="U23" s="262"/>
      <c r="V23" s="175">
        <v>13500</v>
      </c>
      <c r="W23" s="9" t="s">
        <v>20</v>
      </c>
      <c r="X23" s="9"/>
      <c r="Y23" s="9"/>
      <c r="Z23" s="11"/>
      <c r="AA23" s="1"/>
      <c r="AB23" s="1"/>
      <c r="AC23" s="1"/>
      <c r="AD23" s="1"/>
      <c r="AE23" s="1"/>
      <c r="AF23" s="1"/>
      <c r="AG23" s="1"/>
      <c r="AH23" s="1"/>
      <c r="AI23" s="1"/>
      <c r="AJ23" s="1"/>
      <c r="AK23" s="1"/>
      <c r="AL23" s="1"/>
      <c r="AM23" s="1"/>
      <c r="AN23" s="1"/>
      <c r="AO23" s="1"/>
    </row>
    <row r="24" spans="1:41" x14ac:dyDescent="0.75">
      <c r="A24" s="1"/>
      <c r="B24" s="1"/>
      <c r="C24" s="1"/>
      <c r="D24" s="1"/>
      <c r="E24" s="1"/>
      <c r="F24" s="1"/>
      <c r="G24" s="1"/>
      <c r="H24" s="1"/>
      <c r="I24" s="1"/>
      <c r="J24" s="1"/>
      <c r="K24" s="1"/>
      <c r="L24" s="1"/>
      <c r="M24" s="1"/>
      <c r="N24" s="1"/>
      <c r="O24" s="1"/>
      <c r="P24" s="8"/>
      <c r="Q24" s="9"/>
      <c r="R24" s="261" t="s">
        <v>229</v>
      </c>
      <c r="S24" s="261"/>
      <c r="T24" s="261"/>
      <c r="U24" s="262"/>
      <c r="V24" s="176">
        <v>9</v>
      </c>
      <c r="W24" s="9"/>
      <c r="X24" s="9"/>
      <c r="Y24" s="9"/>
      <c r="Z24" s="11"/>
      <c r="AA24" s="1"/>
      <c r="AB24" s="1"/>
      <c r="AC24" s="1"/>
      <c r="AD24" s="1"/>
      <c r="AE24" s="1"/>
      <c r="AF24" s="1"/>
      <c r="AG24" s="1"/>
      <c r="AH24" s="1"/>
      <c r="AI24" s="1"/>
      <c r="AJ24" s="1"/>
      <c r="AK24" s="1"/>
      <c r="AL24" s="1"/>
      <c r="AM24" s="1"/>
      <c r="AN24" s="1"/>
      <c r="AO24" s="1"/>
    </row>
    <row r="25" spans="1:41" x14ac:dyDescent="0.75">
      <c r="A25" s="1"/>
      <c r="B25" s="1"/>
      <c r="C25" s="1"/>
      <c r="D25" s="1"/>
      <c r="E25" s="1"/>
      <c r="F25" s="1"/>
      <c r="G25" s="1"/>
      <c r="H25" s="1"/>
      <c r="I25" s="1"/>
      <c r="J25" s="1"/>
      <c r="K25" s="1"/>
      <c r="L25" s="1"/>
      <c r="M25" s="1"/>
      <c r="N25" s="1"/>
      <c r="O25" s="1"/>
      <c r="P25" s="8"/>
      <c r="Q25" s="9"/>
      <c r="R25" s="261" t="s">
        <v>21</v>
      </c>
      <c r="S25" s="261"/>
      <c r="T25" s="261"/>
      <c r="U25" s="262"/>
      <c r="V25" s="175">
        <v>10</v>
      </c>
      <c r="W25" s="9" t="s">
        <v>16</v>
      </c>
      <c r="X25" s="9"/>
      <c r="Y25" s="9"/>
      <c r="Z25" s="11"/>
      <c r="AA25" s="1"/>
      <c r="AB25" s="1"/>
      <c r="AC25" s="1"/>
      <c r="AD25" s="1"/>
      <c r="AE25" s="1"/>
      <c r="AF25" s="1"/>
      <c r="AG25" s="1"/>
      <c r="AH25" s="1"/>
      <c r="AI25" s="1"/>
      <c r="AJ25" s="1"/>
      <c r="AK25" s="1"/>
      <c r="AL25" s="1"/>
      <c r="AM25" s="1"/>
      <c r="AN25" s="1"/>
      <c r="AO25" s="1"/>
    </row>
    <row r="26" spans="1:41" x14ac:dyDescent="0.75">
      <c r="A26" s="1"/>
      <c r="B26" s="1"/>
      <c r="C26" s="1"/>
      <c r="D26" s="1"/>
      <c r="E26" s="1"/>
      <c r="F26" s="1"/>
      <c r="G26" s="1"/>
      <c r="H26" s="1"/>
      <c r="I26" s="1"/>
      <c r="J26" s="1"/>
      <c r="K26" s="1"/>
      <c r="L26" s="1"/>
      <c r="M26" s="1"/>
      <c r="N26" s="1"/>
      <c r="O26" s="1"/>
      <c r="P26" s="8"/>
      <c r="Q26" s="9"/>
      <c r="R26" s="261" t="str">
        <f>"Payload size (per "&amp;V25&amp;"s video)"</f>
        <v>Payload size (per 10s video)</v>
      </c>
      <c r="S26" s="261"/>
      <c r="T26" s="261"/>
      <c r="U26" s="266"/>
      <c r="V26" s="173">
        <f>V23*30*V25/1000</f>
        <v>4050</v>
      </c>
      <c r="W26" s="9" t="s">
        <v>22</v>
      </c>
      <c r="X26" s="9"/>
      <c r="Y26" s="9"/>
      <c r="Z26" s="11"/>
      <c r="AA26" s="1"/>
      <c r="AB26" s="1"/>
      <c r="AC26" s="1"/>
      <c r="AD26" s="1"/>
      <c r="AE26" s="1"/>
      <c r="AF26" s="1"/>
      <c r="AG26" s="1"/>
      <c r="AH26" s="1"/>
      <c r="AI26" s="1"/>
      <c r="AJ26" s="1"/>
      <c r="AK26" s="1"/>
      <c r="AL26" s="1"/>
      <c r="AM26" s="1"/>
      <c r="AN26" s="1"/>
      <c r="AO26" s="1"/>
    </row>
    <row r="27" spans="1:41" ht="15.5" thickBot="1" x14ac:dyDescent="0.9">
      <c r="A27" s="1"/>
      <c r="B27" s="1"/>
      <c r="C27" s="1"/>
      <c r="D27" s="1"/>
      <c r="E27" s="1"/>
      <c r="F27" s="1"/>
      <c r="G27" s="1"/>
      <c r="H27" s="1"/>
      <c r="I27" s="1"/>
      <c r="J27" s="1"/>
      <c r="K27" s="1"/>
      <c r="L27" s="1"/>
      <c r="M27" s="1"/>
      <c r="N27" s="1"/>
      <c r="O27" s="1"/>
      <c r="P27" s="8"/>
      <c r="Q27" s="9"/>
      <c r="R27" s="9"/>
      <c r="S27" s="9"/>
      <c r="T27" s="9"/>
      <c r="U27" s="10"/>
      <c r="V27" s="9"/>
      <c r="W27" s="9"/>
      <c r="X27" s="9"/>
      <c r="Y27" s="9"/>
      <c r="Z27" s="11"/>
      <c r="AA27" s="1"/>
      <c r="AB27" s="1"/>
      <c r="AC27" s="1"/>
      <c r="AD27" s="1"/>
      <c r="AE27" s="1"/>
      <c r="AF27" s="1"/>
      <c r="AG27" s="1"/>
      <c r="AH27" s="1"/>
      <c r="AI27" s="1"/>
      <c r="AJ27" s="1"/>
      <c r="AK27" s="1"/>
      <c r="AL27" s="1"/>
      <c r="AM27" s="1"/>
      <c r="AN27" s="1"/>
      <c r="AO27" s="1"/>
    </row>
    <row r="28" spans="1:41" ht="31" thickBot="1" x14ac:dyDescent="0.9">
      <c r="A28" s="1"/>
      <c r="B28" s="1"/>
      <c r="C28" s="1"/>
      <c r="D28" s="1"/>
      <c r="E28" s="1"/>
      <c r="F28" s="1"/>
      <c r="G28" s="1"/>
      <c r="H28" s="1"/>
      <c r="I28" s="1"/>
      <c r="J28" s="1"/>
      <c r="K28" s="1"/>
      <c r="L28" s="1"/>
      <c r="M28" s="1"/>
      <c r="N28" s="1"/>
      <c r="O28" s="1"/>
      <c r="P28" s="8"/>
      <c r="Q28" s="9"/>
      <c r="R28" s="263" t="s">
        <v>232</v>
      </c>
      <c r="S28" s="264"/>
      <c r="T28" s="264"/>
      <c r="U28" s="264"/>
      <c r="V28" s="264"/>
      <c r="W28" s="264"/>
      <c r="X28" s="265"/>
      <c r="Y28" s="9"/>
      <c r="Z28" s="11"/>
      <c r="AA28" s="1"/>
      <c r="AB28" s="1"/>
      <c r="AC28" s="1"/>
      <c r="AD28" s="1"/>
      <c r="AE28" s="1"/>
      <c r="AF28" s="1"/>
      <c r="AG28" s="1"/>
      <c r="AH28" s="1"/>
      <c r="AI28" s="1"/>
      <c r="AJ28" s="1"/>
      <c r="AK28" s="1"/>
      <c r="AL28" s="1"/>
      <c r="AM28" s="1"/>
      <c r="AN28" s="1"/>
      <c r="AO28" s="1"/>
    </row>
    <row r="29" spans="1:41" x14ac:dyDescent="0.75">
      <c r="A29" s="1"/>
      <c r="B29" s="1"/>
      <c r="C29" s="1"/>
      <c r="D29" s="1"/>
      <c r="E29" s="1"/>
      <c r="F29" s="1"/>
      <c r="G29" s="1"/>
      <c r="H29" s="1"/>
      <c r="I29" s="1"/>
      <c r="J29" s="1"/>
      <c r="K29" s="1"/>
      <c r="L29" s="1"/>
      <c r="M29" s="1"/>
      <c r="N29" s="1"/>
      <c r="O29" s="1"/>
      <c r="P29" s="8"/>
      <c r="Q29" s="9"/>
      <c r="R29" s="9"/>
      <c r="S29" s="9"/>
      <c r="T29" s="9"/>
      <c r="U29" s="10"/>
      <c r="V29" s="9"/>
      <c r="W29" s="9"/>
      <c r="X29" s="9"/>
      <c r="Y29" s="9"/>
      <c r="Z29" s="11"/>
      <c r="AA29" s="1"/>
      <c r="AB29" s="1"/>
      <c r="AC29" s="1"/>
      <c r="AD29" s="1"/>
      <c r="AE29" s="1"/>
      <c r="AF29" s="1"/>
      <c r="AG29" s="1"/>
      <c r="AH29" s="1"/>
      <c r="AI29" s="1"/>
      <c r="AJ29" s="1"/>
      <c r="AK29" s="1"/>
      <c r="AL29" s="1"/>
      <c r="AM29" s="1"/>
      <c r="AN29" s="1"/>
      <c r="AO29" s="1"/>
    </row>
    <row r="30" spans="1:41" x14ac:dyDescent="0.75">
      <c r="A30" s="1"/>
      <c r="B30" s="1"/>
      <c r="C30" s="1"/>
      <c r="D30" s="1"/>
      <c r="E30" s="1"/>
      <c r="F30" s="1"/>
      <c r="G30" s="1"/>
      <c r="H30" s="1"/>
      <c r="I30" s="1"/>
      <c r="J30" s="1"/>
      <c r="K30" s="1"/>
      <c r="L30" s="1"/>
      <c r="M30" s="1"/>
      <c r="N30" s="1"/>
      <c r="O30" s="1"/>
      <c r="P30" s="8"/>
      <c r="Q30" s="9"/>
      <c r="R30" s="261" t="s">
        <v>23</v>
      </c>
      <c r="S30" s="261"/>
      <c r="T30" s="261"/>
      <c r="U30" s="262"/>
      <c r="V30" s="175">
        <v>5</v>
      </c>
      <c r="W30" s="12" t="s">
        <v>24</v>
      </c>
      <c r="X30" s="9"/>
      <c r="Y30" s="9"/>
      <c r="Z30" s="11"/>
      <c r="AA30" s="1"/>
      <c r="AB30" s="1"/>
      <c r="AC30" s="1"/>
      <c r="AD30" s="1"/>
      <c r="AE30" s="1"/>
      <c r="AF30" s="1"/>
      <c r="AG30" s="1"/>
      <c r="AH30" s="1"/>
      <c r="AI30" s="1"/>
      <c r="AJ30" s="1"/>
      <c r="AK30" s="1"/>
      <c r="AL30" s="1"/>
      <c r="AM30" s="1"/>
      <c r="AN30" s="1"/>
      <c r="AO30" s="1"/>
    </row>
    <row r="31" spans="1:41" x14ac:dyDescent="0.75">
      <c r="A31" s="1"/>
      <c r="B31" s="1"/>
      <c r="C31" s="1"/>
      <c r="D31" s="1"/>
      <c r="E31" s="1"/>
      <c r="F31" s="1"/>
      <c r="G31" s="1"/>
      <c r="H31" s="1"/>
      <c r="I31" s="1"/>
      <c r="J31" s="1"/>
      <c r="K31" s="1"/>
      <c r="L31" s="1"/>
      <c r="M31" s="1"/>
      <c r="N31" s="1"/>
      <c r="O31" s="1"/>
      <c r="P31" s="8"/>
      <c r="Q31" s="9"/>
      <c r="R31" s="261" t="s">
        <v>25</v>
      </c>
      <c r="S31" s="261"/>
      <c r="T31" s="261"/>
      <c r="U31" s="262"/>
      <c r="V31" s="175">
        <v>25</v>
      </c>
      <c r="W31" s="12" t="s">
        <v>26</v>
      </c>
      <c r="X31" s="9"/>
      <c r="Y31" s="9"/>
      <c r="Z31" s="11"/>
      <c r="AA31" s="1"/>
      <c r="AB31" s="1"/>
      <c r="AC31" s="1"/>
      <c r="AD31" s="1"/>
      <c r="AE31" s="1"/>
      <c r="AF31" s="1"/>
      <c r="AG31" s="1"/>
      <c r="AH31" s="1"/>
      <c r="AI31" s="1"/>
      <c r="AJ31" s="1"/>
      <c r="AK31" s="1"/>
      <c r="AL31" s="1"/>
      <c r="AM31" s="1"/>
      <c r="AN31" s="1"/>
      <c r="AO31" s="1"/>
    </row>
    <row r="32" spans="1:41" x14ac:dyDescent="0.75">
      <c r="A32" s="1"/>
      <c r="B32" s="1"/>
      <c r="C32" s="1"/>
      <c r="D32" s="1"/>
      <c r="E32" s="1"/>
      <c r="F32" s="1"/>
      <c r="G32" s="1"/>
      <c r="H32" s="1"/>
      <c r="I32" s="1"/>
      <c r="J32" s="1"/>
      <c r="K32" s="1"/>
      <c r="L32" s="1"/>
      <c r="M32" s="1"/>
      <c r="N32" s="1"/>
      <c r="O32" s="1"/>
      <c r="P32" s="8"/>
      <c r="Q32" s="9"/>
      <c r="R32" s="9"/>
      <c r="S32" s="9"/>
      <c r="T32" s="9"/>
      <c r="U32" s="10"/>
      <c r="V32" s="9"/>
      <c r="W32" s="9"/>
      <c r="X32" s="9"/>
      <c r="Y32" s="9"/>
      <c r="Z32" s="11"/>
      <c r="AA32" s="1"/>
      <c r="AB32" s="1"/>
      <c r="AC32" s="1"/>
      <c r="AD32" s="1"/>
      <c r="AE32" s="1"/>
      <c r="AF32" s="1"/>
      <c r="AG32" s="1"/>
      <c r="AH32" s="1"/>
      <c r="AI32" s="1"/>
      <c r="AJ32" s="1"/>
      <c r="AK32" s="1"/>
      <c r="AL32" s="1"/>
      <c r="AM32" s="1"/>
      <c r="AN32" s="1"/>
      <c r="AO32" s="1"/>
    </row>
    <row r="33" spans="1:41" ht="15.5" thickBot="1" x14ac:dyDescent="0.9">
      <c r="A33" s="1"/>
      <c r="B33" s="1"/>
      <c r="C33" s="1"/>
      <c r="D33" s="1"/>
      <c r="E33" s="1"/>
      <c r="F33" s="1"/>
      <c r="G33" s="1"/>
      <c r="H33" s="1"/>
      <c r="I33" s="1"/>
      <c r="J33" s="1"/>
      <c r="K33" s="1"/>
      <c r="L33" s="1"/>
      <c r="M33" s="1"/>
      <c r="N33" s="1"/>
      <c r="O33" s="1"/>
      <c r="P33" s="13"/>
      <c r="Q33" s="14"/>
      <c r="R33" s="14"/>
      <c r="S33" s="14"/>
      <c r="T33" s="14"/>
      <c r="U33" s="15"/>
      <c r="V33" s="14"/>
      <c r="W33" s="14"/>
      <c r="X33" s="14"/>
      <c r="Y33" s="14"/>
      <c r="Z33" s="16"/>
      <c r="AA33" s="1"/>
      <c r="AB33" s="1"/>
      <c r="AC33" s="1"/>
      <c r="AD33" s="1"/>
      <c r="AE33" s="1"/>
      <c r="AF33" s="1"/>
      <c r="AG33" s="1"/>
      <c r="AH33" s="1"/>
      <c r="AI33" s="1"/>
      <c r="AJ33" s="1"/>
      <c r="AK33" s="1"/>
      <c r="AL33" s="1"/>
      <c r="AM33" s="1"/>
      <c r="AN33" s="1"/>
      <c r="AO33" s="1"/>
    </row>
    <row r="34" spans="1:41" x14ac:dyDescent="0.75">
      <c r="A34" s="1"/>
      <c r="B34" s="1"/>
      <c r="C34" s="1"/>
      <c r="D34" s="1"/>
      <c r="E34" s="1"/>
      <c r="F34" s="1"/>
      <c r="G34" s="1"/>
      <c r="H34" s="1"/>
      <c r="I34" s="1"/>
      <c r="J34" s="1"/>
      <c r="K34" s="1"/>
      <c r="L34" s="1"/>
      <c r="M34" s="1"/>
      <c r="N34" s="1"/>
      <c r="O34" s="1"/>
      <c r="P34" s="1"/>
      <c r="Q34" s="1"/>
      <c r="R34" s="1"/>
      <c r="S34" s="1"/>
      <c r="T34" s="1"/>
      <c r="U34" s="2"/>
      <c r="V34" s="1"/>
      <c r="W34" s="1"/>
      <c r="X34" s="1"/>
      <c r="Y34" s="1"/>
      <c r="Z34" s="1"/>
      <c r="AA34" s="1"/>
      <c r="AB34" s="1"/>
      <c r="AC34" s="1"/>
      <c r="AD34" s="1"/>
      <c r="AE34" s="1"/>
      <c r="AF34" s="1"/>
      <c r="AG34" s="1"/>
      <c r="AH34" s="1"/>
      <c r="AI34" s="1"/>
      <c r="AJ34" s="1"/>
      <c r="AK34" s="1"/>
      <c r="AL34" s="1"/>
      <c r="AM34" s="1"/>
      <c r="AN34" s="1"/>
      <c r="AO34" s="1"/>
    </row>
    <row r="35" spans="1:41" x14ac:dyDescent="0.75">
      <c r="A35" s="1"/>
      <c r="B35" s="1"/>
      <c r="C35" s="1"/>
      <c r="D35" s="1"/>
      <c r="E35" s="1"/>
      <c r="F35" s="1"/>
      <c r="G35" s="1"/>
      <c r="H35" s="1"/>
      <c r="I35" s="1"/>
      <c r="J35" s="1"/>
      <c r="K35" s="1"/>
      <c r="L35" s="1"/>
      <c r="M35" s="1"/>
      <c r="N35" s="1"/>
      <c r="O35" s="1"/>
      <c r="P35" s="1"/>
      <c r="Q35" s="1"/>
      <c r="R35" s="1"/>
      <c r="S35" s="1"/>
      <c r="T35" s="1"/>
      <c r="U35" s="2"/>
      <c r="V35" s="1"/>
      <c r="W35" s="1"/>
      <c r="X35" s="1"/>
      <c r="Y35" s="1"/>
      <c r="Z35" s="1"/>
      <c r="AA35" s="1"/>
      <c r="AB35" s="1"/>
      <c r="AC35" s="1"/>
      <c r="AD35" s="1"/>
      <c r="AE35" s="1"/>
      <c r="AF35" s="1"/>
      <c r="AG35" s="1"/>
      <c r="AH35" s="1"/>
      <c r="AI35" s="1"/>
      <c r="AJ35" s="1"/>
      <c r="AK35" s="1"/>
      <c r="AL35" s="1"/>
      <c r="AM35" s="1"/>
      <c r="AN35" s="1"/>
      <c r="AO35" s="1"/>
    </row>
  </sheetData>
  <mergeCells count="19">
    <mergeCell ref="R2:X2"/>
    <mergeCell ref="R6:X6"/>
    <mergeCell ref="R10:U10"/>
    <mergeCell ref="R9:U9"/>
    <mergeCell ref="R21:U21"/>
    <mergeCell ref="R11:U11"/>
    <mergeCell ref="S15:U15"/>
    <mergeCell ref="S16:U16"/>
    <mergeCell ref="R18:X18"/>
    <mergeCell ref="R20:U20"/>
    <mergeCell ref="R13:X13"/>
    <mergeCell ref="R31:U31"/>
    <mergeCell ref="R30:U30"/>
    <mergeCell ref="R24:U24"/>
    <mergeCell ref="R23:U23"/>
    <mergeCell ref="R22:U22"/>
    <mergeCell ref="R28:X28"/>
    <mergeCell ref="R26:U26"/>
    <mergeCell ref="R25:U25"/>
  </mergeCells>
  <pageMargins left="0.7" right="0.7" top="0.75" bottom="0.75" header="0.3" footer="0.3"/>
  <pageSetup orientation="portrait" horizontalDpi="0"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5BC18C90-F066-4E68-AEC2-70D5638BED78}">
          <x14:formula1>
            <xm:f>'Backend Data'!$G$16:$G$30</xm:f>
          </x14:formula1>
          <xm:sqref>V24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4F16F-C9DF-4310-89BF-0B0B75517A63}">
  <sheetPr>
    <tabColor rgb="FFFFFF99"/>
  </sheetPr>
  <dimension ref="A1:J40"/>
  <sheetViews>
    <sheetView topLeftCell="A12" workbookViewId="0">
      <selection activeCell="E27" sqref="E27"/>
    </sheetView>
  </sheetViews>
  <sheetFormatPr defaultColWidth="0" defaultRowHeight="14.75" x14ac:dyDescent="0.75"/>
  <cols>
    <col min="1" max="3" width="3.40625" customWidth="1"/>
    <col min="4" max="4" width="36.1796875" customWidth="1"/>
    <col min="5" max="5" width="17.08984375" customWidth="1"/>
    <col min="6" max="6" width="4.90625" bestFit="1" customWidth="1"/>
    <col min="7" max="7" width="41.453125" bestFit="1" customWidth="1"/>
    <col min="8" max="9" width="3.31640625" customWidth="1"/>
    <col min="10" max="10" width="3.40625" customWidth="1"/>
    <col min="11" max="16384" width="8.7265625" hidden="1"/>
  </cols>
  <sheetData>
    <row r="1" spans="1:10" ht="15.5" thickBot="1" x14ac:dyDescent="0.9">
      <c r="A1" s="1"/>
      <c r="B1" s="1"/>
      <c r="C1" s="1"/>
      <c r="D1" s="1"/>
      <c r="E1" s="1"/>
      <c r="F1" s="1"/>
      <c r="G1" s="1"/>
      <c r="H1" s="1"/>
      <c r="I1" s="1"/>
      <c r="J1" s="1"/>
    </row>
    <row r="2" spans="1:10" ht="31" thickBot="1" x14ac:dyDescent="0.9">
      <c r="A2" s="1"/>
      <c r="B2" s="1"/>
      <c r="C2" s="263" t="s">
        <v>304</v>
      </c>
      <c r="D2" s="264"/>
      <c r="E2" s="264"/>
      <c r="F2" s="264"/>
      <c r="G2" s="265"/>
      <c r="H2" s="1"/>
      <c r="I2" s="1"/>
      <c r="J2" s="1"/>
    </row>
    <row r="3" spans="1:10" ht="15.5" thickBot="1" x14ac:dyDescent="0.9">
      <c r="A3" s="1"/>
      <c r="B3" s="1"/>
      <c r="C3" s="1"/>
      <c r="D3" s="1"/>
      <c r="E3" s="1"/>
      <c r="F3" s="1"/>
      <c r="G3" s="1"/>
      <c r="H3" s="1"/>
      <c r="I3" s="1"/>
      <c r="J3" s="1"/>
    </row>
    <row r="4" spans="1:10" ht="15.5" thickBot="1" x14ac:dyDescent="0.9">
      <c r="A4" s="1"/>
      <c r="B4" s="155"/>
      <c r="C4" s="156"/>
      <c r="D4" s="156" t="s">
        <v>159</v>
      </c>
      <c r="E4" s="156" t="s">
        <v>2</v>
      </c>
      <c r="F4" s="156" t="s">
        <v>160</v>
      </c>
      <c r="G4" s="156" t="s">
        <v>161</v>
      </c>
      <c r="H4" s="156"/>
      <c r="I4" s="157"/>
      <c r="J4" s="1"/>
    </row>
    <row r="5" spans="1:10" ht="15.5" thickBot="1" x14ac:dyDescent="0.9">
      <c r="A5" s="1"/>
      <c r="B5" s="144"/>
      <c r="C5" s="137"/>
      <c r="D5" s="138" t="s">
        <v>215</v>
      </c>
      <c r="E5" s="139"/>
      <c r="F5" s="140"/>
      <c r="G5" s="228"/>
      <c r="H5" s="137"/>
      <c r="I5" s="145"/>
      <c r="J5" s="1"/>
    </row>
    <row r="6" spans="1:10" x14ac:dyDescent="0.75">
      <c r="A6" s="1"/>
      <c r="B6" s="146"/>
      <c r="C6" s="134"/>
      <c r="D6" s="327" t="s">
        <v>162</v>
      </c>
      <c r="E6" s="98">
        <f>Transmitters!T48</f>
        <v>1</v>
      </c>
      <c r="F6" s="135" t="s">
        <v>38</v>
      </c>
      <c r="G6" s="233"/>
      <c r="H6" s="134"/>
      <c r="I6" s="147"/>
      <c r="J6" s="1"/>
    </row>
    <row r="7" spans="1:10" x14ac:dyDescent="0.75">
      <c r="A7" s="1"/>
      <c r="B7" s="146"/>
      <c r="C7" s="134"/>
      <c r="D7" s="327"/>
      <c r="E7" s="98">
        <f>10*LOG10(E6)</f>
        <v>0</v>
      </c>
      <c r="F7" s="135" t="s">
        <v>39</v>
      </c>
      <c r="G7" s="233"/>
      <c r="H7" s="134"/>
      <c r="I7" s="147"/>
      <c r="J7" s="1"/>
    </row>
    <row r="8" spans="1:10" x14ac:dyDescent="0.75">
      <c r="A8" s="1"/>
      <c r="B8" s="146"/>
      <c r="C8" s="134"/>
      <c r="D8" s="327"/>
      <c r="E8" s="98">
        <f>E7+30</f>
        <v>30</v>
      </c>
      <c r="F8" s="135" t="s">
        <v>41</v>
      </c>
      <c r="G8" s="233"/>
      <c r="H8" s="134"/>
      <c r="I8" s="147"/>
      <c r="J8" s="1"/>
    </row>
    <row r="9" spans="1:10" x14ac:dyDescent="0.75">
      <c r="A9" s="1"/>
      <c r="B9" s="146"/>
      <c r="C9" s="134"/>
      <c r="D9" s="134" t="s">
        <v>163</v>
      </c>
      <c r="E9" s="99">
        <f>Transmitters!V64</f>
        <v>0.4</v>
      </c>
      <c r="F9" s="135" t="s">
        <v>33</v>
      </c>
      <c r="G9" s="233"/>
      <c r="H9" s="134"/>
      <c r="I9" s="147"/>
      <c r="J9" s="1"/>
    </row>
    <row r="10" spans="1:10" x14ac:dyDescent="0.75">
      <c r="A10" s="1"/>
      <c r="B10" s="146"/>
      <c r="C10" s="134"/>
      <c r="D10" s="134" t="s">
        <v>269</v>
      </c>
      <c r="E10" s="99">
        <f>Antennas!W42</f>
        <v>2.15</v>
      </c>
      <c r="F10" s="135" t="s">
        <v>120</v>
      </c>
      <c r="G10" s="233"/>
      <c r="H10" s="134"/>
      <c r="I10" s="147"/>
      <c r="J10" s="1"/>
    </row>
    <row r="11" spans="1:10" ht="15.5" thickBot="1" x14ac:dyDescent="0.9">
      <c r="A11" s="1"/>
      <c r="B11" s="146"/>
      <c r="C11" s="134"/>
      <c r="D11" s="134" t="s">
        <v>165</v>
      </c>
      <c r="E11" s="98">
        <f>E7-E9+E10</f>
        <v>1.75</v>
      </c>
      <c r="F11" s="135" t="s">
        <v>39</v>
      </c>
      <c r="G11" s="233"/>
      <c r="H11" s="134"/>
      <c r="I11" s="147"/>
      <c r="J11" s="1"/>
    </row>
    <row r="12" spans="1:10" ht="15.5" thickBot="1" x14ac:dyDescent="0.9">
      <c r="A12" s="1"/>
      <c r="B12" s="144"/>
      <c r="C12" s="137"/>
      <c r="D12" s="138" t="s">
        <v>216</v>
      </c>
      <c r="E12" s="141"/>
      <c r="F12" s="140"/>
      <c r="G12" s="234"/>
      <c r="H12" s="137"/>
      <c r="I12" s="145"/>
      <c r="J12" s="1"/>
    </row>
    <row r="13" spans="1:10" x14ac:dyDescent="0.75">
      <c r="A13" s="1"/>
      <c r="B13" s="146"/>
      <c r="C13" s="134"/>
      <c r="D13" s="134" t="s">
        <v>217</v>
      </c>
      <c r="E13" s="98">
        <f>Losses!Y79</f>
        <v>0.3</v>
      </c>
      <c r="F13" s="135" t="s">
        <v>33</v>
      </c>
      <c r="G13" s="233"/>
      <c r="H13" s="134"/>
      <c r="I13" s="147"/>
      <c r="J13" s="1"/>
    </row>
    <row r="14" spans="1:10" x14ac:dyDescent="0.75">
      <c r="A14" s="1"/>
      <c r="B14" s="146"/>
      <c r="C14" s="134"/>
      <c r="D14" s="134" t="s">
        <v>218</v>
      </c>
      <c r="E14" s="98">
        <f>IF(Antennas!AA8=Antennas!AA20,Losses!U100,Losses!U104)</f>
        <v>0.22825214260717014</v>
      </c>
      <c r="F14" s="135" t="s">
        <v>33</v>
      </c>
      <c r="G14" s="233"/>
      <c r="H14" s="134"/>
      <c r="I14" s="147"/>
      <c r="J14" s="1"/>
    </row>
    <row r="15" spans="1:10" x14ac:dyDescent="0.75">
      <c r="A15" s="1"/>
      <c r="B15" s="146"/>
      <c r="C15" s="134"/>
      <c r="D15" s="134" t="s">
        <v>254</v>
      </c>
      <c r="E15" s="98">
        <f>Orbit!T36</f>
        <v>150.50012259786155</v>
      </c>
      <c r="F15" s="135" t="s">
        <v>33</v>
      </c>
      <c r="G15" s="233"/>
      <c r="H15" s="134"/>
      <c r="I15" s="147"/>
      <c r="J15" s="1"/>
    </row>
    <row r="16" spans="1:10" x14ac:dyDescent="0.75">
      <c r="A16" s="1"/>
      <c r="B16" s="146"/>
      <c r="C16" s="134"/>
      <c r="D16" s="134" t="s">
        <v>170</v>
      </c>
      <c r="E16" s="99">
        <f>Losses!W10</f>
        <v>2.1</v>
      </c>
      <c r="F16" s="135" t="s">
        <v>33</v>
      </c>
      <c r="G16" s="233"/>
      <c r="H16" s="134"/>
      <c r="I16" s="147"/>
      <c r="J16" s="1"/>
    </row>
    <row r="17" spans="1:10" x14ac:dyDescent="0.75">
      <c r="A17" s="1"/>
      <c r="B17" s="146"/>
      <c r="C17" s="134"/>
      <c r="D17" s="134" t="s">
        <v>171</v>
      </c>
      <c r="E17" s="99">
        <f>Losses!W17</f>
        <v>0.4</v>
      </c>
      <c r="F17" s="135" t="s">
        <v>33</v>
      </c>
      <c r="G17" s="233"/>
      <c r="H17" s="134"/>
      <c r="I17" s="147"/>
      <c r="J17" s="1"/>
    </row>
    <row r="18" spans="1:10" x14ac:dyDescent="0.75">
      <c r="A18" s="1"/>
      <c r="B18" s="146"/>
      <c r="C18" s="134"/>
      <c r="D18" s="134" t="s">
        <v>172</v>
      </c>
      <c r="E18" s="175">
        <v>0</v>
      </c>
      <c r="F18" s="135" t="s">
        <v>33</v>
      </c>
      <c r="G18" s="233" t="s">
        <v>173</v>
      </c>
      <c r="H18" s="134"/>
      <c r="I18" s="147"/>
      <c r="J18" s="1"/>
    </row>
    <row r="19" spans="1:10" ht="15.5" thickBot="1" x14ac:dyDescent="0.9">
      <c r="A19" s="1"/>
      <c r="B19" s="146"/>
      <c r="C19" s="134"/>
      <c r="D19" s="134" t="s">
        <v>219</v>
      </c>
      <c r="E19" s="98">
        <f>E11-SUM(E13:E18)</f>
        <v>-151.77837474046871</v>
      </c>
      <c r="F19" s="135" t="s">
        <v>39</v>
      </c>
      <c r="G19" s="233"/>
      <c r="H19" s="134"/>
      <c r="I19" s="147"/>
      <c r="J19" s="1"/>
    </row>
    <row r="20" spans="1:10" ht="15.5" thickBot="1" x14ac:dyDescent="0.9">
      <c r="A20" s="1"/>
      <c r="B20" s="144"/>
      <c r="C20" s="137"/>
      <c r="D20" s="138" t="s">
        <v>220</v>
      </c>
      <c r="E20" s="141"/>
      <c r="F20" s="140"/>
      <c r="G20" s="234"/>
      <c r="H20" s="137"/>
      <c r="I20" s="145"/>
      <c r="J20" s="1"/>
    </row>
    <row r="21" spans="1:10" x14ac:dyDescent="0.75">
      <c r="A21" s="1"/>
      <c r="B21" s="146"/>
      <c r="C21" s="134"/>
      <c r="D21" s="134" t="s">
        <v>268</v>
      </c>
      <c r="E21" s="98">
        <f>Antennas!W36</f>
        <v>15.7</v>
      </c>
      <c r="F21" s="135" t="s">
        <v>120</v>
      </c>
      <c r="G21" s="233"/>
      <c r="H21" s="134"/>
      <c r="I21" s="147"/>
      <c r="J21" s="1"/>
    </row>
    <row r="22" spans="1:10" x14ac:dyDescent="0.75">
      <c r="A22" s="1"/>
      <c r="B22" s="146"/>
      <c r="C22" s="134"/>
      <c r="D22" s="134" t="s">
        <v>274</v>
      </c>
      <c r="E22" s="98">
        <f>Inputs!V31*1000</f>
        <v>25000</v>
      </c>
      <c r="F22" s="135" t="s">
        <v>184</v>
      </c>
      <c r="G22" s="233"/>
      <c r="H22" s="134"/>
      <c r="I22" s="147"/>
      <c r="J22" s="1"/>
    </row>
    <row r="23" spans="1:10" x14ac:dyDescent="0.75">
      <c r="A23" s="1"/>
      <c r="B23" s="146"/>
      <c r="C23" s="134"/>
      <c r="D23" s="134" t="s">
        <v>282</v>
      </c>
      <c r="E23" s="98">
        <f>E8+10*LOG10('Downlink Budget'!E10)+10*LOG10('Downlink Budget'!E21)+(20*LOG10(Orbit!V28/(4*PI()*Orbit!T33*1000)))</f>
        <v>-105.21674147461316</v>
      </c>
      <c r="F23" s="135" t="s">
        <v>41</v>
      </c>
      <c r="G23" s="233" t="s">
        <v>284</v>
      </c>
      <c r="H23" s="134"/>
      <c r="I23" s="147"/>
      <c r="J23" s="1"/>
    </row>
    <row r="24" spans="1:10" x14ac:dyDescent="0.75">
      <c r="A24" s="1"/>
      <c r="B24" s="146"/>
      <c r="C24" s="134"/>
      <c r="D24" s="134" t="s">
        <v>283</v>
      </c>
      <c r="E24" s="98">
        <f>E8+'Downlink Budget'!E10+'Downlink Budget'!E21-E9-E15-SUM(E13:E14,E16:E18)-Receivers!V77</f>
        <v>-108.06357474046874</v>
      </c>
      <c r="F24" s="135" t="s">
        <v>286</v>
      </c>
      <c r="G24" s="233" t="s">
        <v>285</v>
      </c>
      <c r="H24" s="134"/>
      <c r="I24" s="147"/>
      <c r="J24" s="1"/>
    </row>
    <row r="25" spans="1:10" x14ac:dyDescent="0.75">
      <c r="A25" s="1"/>
      <c r="B25" s="146"/>
      <c r="C25" s="134"/>
      <c r="D25" s="134" t="s">
        <v>267</v>
      </c>
      <c r="E25" s="98">
        <f>10*LOG10((484.56*1.38E-23*Inputs!V31*1000)/0.001)</f>
        <v>-127.76833344271481</v>
      </c>
      <c r="F25" s="135" t="s">
        <v>41</v>
      </c>
      <c r="G25" s="233" t="s">
        <v>270</v>
      </c>
      <c r="H25" s="134"/>
      <c r="I25" s="147"/>
      <c r="J25" s="1"/>
    </row>
    <row r="26" spans="1:10" x14ac:dyDescent="0.75">
      <c r="A26" s="1"/>
      <c r="B26" s="146"/>
      <c r="C26" s="134"/>
      <c r="D26" s="134" t="s">
        <v>287</v>
      </c>
      <c r="E26" s="98">
        <f>E24-E25</f>
        <v>19.704758702246068</v>
      </c>
      <c r="F26" s="135" t="s">
        <v>33</v>
      </c>
      <c r="G26" s="233"/>
      <c r="H26" s="134"/>
      <c r="I26" s="147"/>
      <c r="J26" s="1"/>
    </row>
    <row r="27" spans="1:10" x14ac:dyDescent="0.75">
      <c r="A27" s="1"/>
      <c r="B27" s="146"/>
      <c r="C27" s="134"/>
      <c r="D27" s="134" t="s">
        <v>271</v>
      </c>
      <c r="E27" s="175">
        <f>Modulation!X13</f>
        <v>13.5</v>
      </c>
      <c r="F27" s="212" t="s">
        <v>33</v>
      </c>
      <c r="G27" s="233"/>
      <c r="H27" s="134"/>
      <c r="I27" s="147"/>
      <c r="J27" s="1"/>
    </row>
    <row r="28" spans="1:10" ht="15.5" thickBot="1" x14ac:dyDescent="0.9">
      <c r="A28" s="1"/>
      <c r="B28" s="146"/>
      <c r="C28" s="134"/>
      <c r="D28" s="134" t="s">
        <v>273</v>
      </c>
      <c r="E28" s="225">
        <f>E26-E27</f>
        <v>6.2047587022460675</v>
      </c>
      <c r="F28" s="135" t="s">
        <v>33</v>
      </c>
      <c r="G28" s="232" t="str">
        <f>IF(E28&gt;3,"Good signal reception","Hard to differentiate the signal from the noise")</f>
        <v>Good signal reception</v>
      </c>
      <c r="H28" s="134"/>
      <c r="I28" s="147"/>
      <c r="J28" s="1"/>
    </row>
    <row r="29" spans="1:10" ht="15.5" thickBot="1" x14ac:dyDescent="0.9">
      <c r="A29" s="1"/>
      <c r="B29" s="144"/>
      <c r="C29" s="137"/>
      <c r="D29" s="138" t="s">
        <v>189</v>
      </c>
      <c r="E29" s="141"/>
      <c r="F29" s="140"/>
      <c r="G29" s="235"/>
      <c r="H29" s="137"/>
      <c r="I29" s="145"/>
      <c r="J29" s="1"/>
    </row>
    <row r="30" spans="1:10" x14ac:dyDescent="0.75">
      <c r="A30" s="1"/>
      <c r="B30" s="161"/>
      <c r="C30" s="162"/>
      <c r="D30" s="162" t="s">
        <v>275</v>
      </c>
      <c r="E30" s="163">
        <f>IF((E28)&lt;0,"Link not completed!",((E22)*LOG((1+E28),2))/1000)</f>
        <v>71.223752831817308</v>
      </c>
      <c r="F30" s="164" t="s">
        <v>191</v>
      </c>
      <c r="G30" s="236" t="s">
        <v>276</v>
      </c>
      <c r="H30" s="162"/>
      <c r="I30" s="165"/>
      <c r="J30" s="1"/>
    </row>
    <row r="31" spans="1:10" x14ac:dyDescent="0.75">
      <c r="A31" s="1"/>
      <c r="B31" s="146"/>
      <c r="C31" s="134"/>
      <c r="D31" s="134" t="s">
        <v>192</v>
      </c>
      <c r="E31" s="158">
        <f>IF((E28)&lt;0,"Link not completed!",Inputs!V21)</f>
        <v>300</v>
      </c>
      <c r="F31" s="135" t="s">
        <v>16</v>
      </c>
      <c r="G31" s="233"/>
      <c r="H31" s="134"/>
      <c r="I31" s="147"/>
      <c r="J31" s="1"/>
    </row>
    <row r="32" spans="1:10" x14ac:dyDescent="0.75">
      <c r="A32" s="1"/>
      <c r="B32" s="146"/>
      <c r="C32" s="134"/>
      <c r="D32" s="134" t="s">
        <v>17</v>
      </c>
      <c r="E32" s="158">
        <f>IF((E28)&lt;0,"Link not completed!",Inputs!V22)</f>
        <v>15.106999999999999</v>
      </c>
      <c r="F32" s="135"/>
      <c r="G32" s="233"/>
      <c r="H32" s="134"/>
      <c r="I32" s="147"/>
      <c r="J32" s="1"/>
    </row>
    <row r="33" spans="1:10" x14ac:dyDescent="0.75">
      <c r="A33" s="1"/>
      <c r="B33" s="146"/>
      <c r="C33" s="134"/>
      <c r="D33" s="134" t="s">
        <v>193</v>
      </c>
      <c r="E33" s="158">
        <f>IF((E28)&lt;0,"Link not completed!",E30*E31)</f>
        <v>21367.125849545191</v>
      </c>
      <c r="F33" s="135" t="s">
        <v>20</v>
      </c>
      <c r="G33" s="233"/>
      <c r="H33" s="134"/>
      <c r="I33" s="147"/>
      <c r="J33" s="1"/>
    </row>
    <row r="34" spans="1:10" x14ac:dyDescent="0.75">
      <c r="A34" s="1"/>
      <c r="B34" s="146"/>
      <c r="C34" s="134"/>
      <c r="D34" s="134" t="s">
        <v>227</v>
      </c>
      <c r="E34" s="160">
        <f>IF((E28)&lt;0,"Link not completed!",ROUND(E33/Inputs!V23,3))</f>
        <v>1.583</v>
      </c>
      <c r="F34" s="134"/>
      <c r="G34" s="233"/>
      <c r="H34" s="134"/>
      <c r="I34" s="147"/>
      <c r="J34" s="1"/>
    </row>
    <row r="35" spans="1:10" x14ac:dyDescent="0.75">
      <c r="A35" s="1"/>
      <c r="B35" s="146"/>
      <c r="C35" s="134"/>
      <c r="D35" s="134" t="s">
        <v>228</v>
      </c>
      <c r="E35" s="160">
        <f>IF(E28&lt;0,"Link not completed!",ROUND(E33*E32/Inputs!V23,3))</f>
        <v>23.911000000000001</v>
      </c>
      <c r="F35" s="134"/>
      <c r="G35" s="233"/>
      <c r="H35" s="134"/>
      <c r="I35" s="147"/>
      <c r="J35" s="1"/>
    </row>
    <row r="36" spans="1:10" x14ac:dyDescent="0.75">
      <c r="A36" s="1"/>
      <c r="B36" s="146"/>
      <c r="C36" s="134"/>
      <c r="D36" s="134" t="str">
        <f>"Images (/pass) - (" &amp;Inputs!V24&amp;"x compression)"</f>
        <v>Images (/pass) - (9x compression)</v>
      </c>
      <c r="E36" s="166">
        <f>IF(E28&lt;0,"Link not completed!",ROUND((E33/(Inputs!V23/Inputs!V24)),3))</f>
        <v>14.244999999999999</v>
      </c>
      <c r="F36" s="134"/>
      <c r="G36" s="233"/>
      <c r="H36" s="134"/>
      <c r="I36" s="147"/>
      <c r="J36" s="1"/>
    </row>
    <row r="37" spans="1:10" x14ac:dyDescent="0.75">
      <c r="A37" s="1"/>
      <c r="B37" s="146"/>
      <c r="C37" s="134"/>
      <c r="D37" s="134" t="str">
        <f>"Images (/day) - (" &amp;Inputs!V24&amp;"x compression)"</f>
        <v>Images (/day) - (9x compression)</v>
      </c>
      <c r="E37" s="166">
        <f>IF(E28&lt;0,"Link not completed!",ROUND((E33/(Inputs!V23/Inputs!V24))*E32,3))</f>
        <v>215.19499999999999</v>
      </c>
      <c r="F37" s="134"/>
      <c r="G37" s="233"/>
      <c r="H37" s="134"/>
      <c r="I37" s="147"/>
      <c r="J37" s="1"/>
    </row>
    <row r="38" spans="1:10" x14ac:dyDescent="0.75">
      <c r="A38" s="1"/>
      <c r="B38" s="146"/>
      <c r="C38" s="134"/>
      <c r="D38" s="134" t="s">
        <v>221</v>
      </c>
      <c r="E38" s="160">
        <f>IF(E28&lt;0,"Link not completed!",ROUND(E33/(Inputs!V26*1000),3))</f>
        <v>5.0000000000000001E-3</v>
      </c>
      <c r="F38" s="134"/>
      <c r="G38" s="233"/>
      <c r="H38" s="134"/>
      <c r="I38" s="147"/>
      <c r="J38" s="1"/>
    </row>
    <row r="39" spans="1:10" ht="15.5" thickBot="1" x14ac:dyDescent="0.9">
      <c r="A39" s="1"/>
      <c r="B39" s="23"/>
      <c r="C39" s="149"/>
      <c r="D39" s="149" t="s">
        <v>222</v>
      </c>
      <c r="E39" s="159">
        <f>IF(E28&lt;0,"Link not completed!",ROUND(E33*E32/(Inputs!V26*1000),3))</f>
        <v>0.08</v>
      </c>
      <c r="F39" s="149"/>
      <c r="G39" s="237"/>
      <c r="H39" s="149"/>
      <c r="I39" s="24"/>
      <c r="J39" s="1"/>
    </row>
    <row r="40" spans="1:10" x14ac:dyDescent="0.75">
      <c r="A40" s="1"/>
      <c r="B40" s="1"/>
      <c r="C40" s="1"/>
      <c r="D40" s="1"/>
      <c r="E40" s="1"/>
      <c r="F40" s="1"/>
      <c r="G40" s="229"/>
      <c r="H40" s="1"/>
      <c r="I40" s="1"/>
      <c r="J40" s="1"/>
    </row>
  </sheetData>
  <mergeCells count="2">
    <mergeCell ref="D6:D8"/>
    <mergeCell ref="C2:G2"/>
  </mergeCells>
  <conditionalFormatting sqref="E18">
    <cfRule type="expression" dxfId="5" priority="9">
      <formula>$AA$9=1</formula>
    </cfRule>
  </conditionalFormatting>
  <conditionalFormatting sqref="E18">
    <cfRule type="expression" dxfId="4" priority="8">
      <formula>$AA$9=3</formula>
    </cfRule>
  </conditionalFormatting>
  <conditionalFormatting sqref="E18">
    <cfRule type="expression" dxfId="3" priority="7">
      <formula>$AA$9=4</formula>
    </cfRule>
  </conditionalFormatting>
  <conditionalFormatting sqref="E27">
    <cfRule type="expression" dxfId="2" priority="3">
      <formula>$AA$9=1</formula>
    </cfRule>
  </conditionalFormatting>
  <conditionalFormatting sqref="E27">
    <cfRule type="expression" dxfId="1" priority="2">
      <formula>$AA$9=3</formula>
    </cfRule>
  </conditionalFormatting>
  <conditionalFormatting sqref="E27">
    <cfRule type="expression" dxfId="0" priority="1">
      <formula>$AA$9=4</formula>
    </cfRule>
  </conditionalFormatting>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D74ED-9670-45D4-9F64-2B0E365E9562}">
  <dimension ref="C2:J30"/>
  <sheetViews>
    <sheetView topLeftCell="A13" workbookViewId="0">
      <selection activeCell="F22" sqref="F22"/>
    </sheetView>
  </sheetViews>
  <sheetFormatPr defaultRowHeight="14.75" x14ac:dyDescent="0.75"/>
  <cols>
    <col min="3" max="3" width="26.953125" bestFit="1" customWidth="1"/>
    <col min="4" max="4" width="9.6796875" bestFit="1" customWidth="1"/>
    <col min="7" max="7" width="30.1328125" bestFit="1" customWidth="1"/>
  </cols>
  <sheetData>
    <row r="2" spans="3:10" x14ac:dyDescent="0.75">
      <c r="I2" t="s">
        <v>264</v>
      </c>
      <c r="J2" s="226">
        <f>'Downlink Budget'!E8-'Downlink Budget'!E9+'Downlink Budget'!E10</f>
        <v>31.75</v>
      </c>
    </row>
    <row r="3" spans="3:10" x14ac:dyDescent="0.75">
      <c r="C3" s="100" t="s">
        <v>259</v>
      </c>
      <c r="G3" t="s">
        <v>260</v>
      </c>
    </row>
    <row r="4" spans="3:10" x14ac:dyDescent="0.75">
      <c r="C4" t="s">
        <v>248</v>
      </c>
      <c r="D4" s="226">
        <f>'Downlink Budget'!E8</f>
        <v>30</v>
      </c>
      <c r="G4" t="s">
        <v>266</v>
      </c>
      <c r="H4" s="226" t="e">
        <f>'Downlink Budget'!E8+10*LOG10('Downlink Budget'!E10)+10*LOG10('Downlink Budget'!E23)+(20*LOG10(Orbit!V28/(4*PI()*Orbit!T33*1000)))</f>
        <v>#NUM!</v>
      </c>
    </row>
    <row r="5" spans="3:10" x14ac:dyDescent="0.75">
      <c r="C5" t="s">
        <v>249</v>
      </c>
      <c r="D5">
        <f>'Downlink Budget'!E10</f>
        <v>2.15</v>
      </c>
      <c r="G5" t="s">
        <v>261</v>
      </c>
      <c r="H5">
        <f>10*LOG10((484.56*1.38E-23*Inputs!V31*1000)/0.001)</f>
        <v>-127.76833344271481</v>
      </c>
    </row>
    <row r="6" spans="3:10" x14ac:dyDescent="0.75">
      <c r="C6" t="s">
        <v>250</v>
      </c>
      <c r="D6">
        <f>-'Downlink Budget'!E9</f>
        <v>-0.4</v>
      </c>
      <c r="G6" t="s">
        <v>262</v>
      </c>
      <c r="H6" s="226" t="e">
        <f>H4-H5</f>
        <v>#NUM!</v>
      </c>
    </row>
    <row r="7" spans="3:10" x14ac:dyDescent="0.75">
      <c r="C7" t="s">
        <v>251</v>
      </c>
      <c r="D7">
        <f>'Downlink Budget'!E23</f>
        <v>-105.21674147461316</v>
      </c>
      <c r="G7" t="s">
        <v>263</v>
      </c>
      <c r="H7">
        <v>10</v>
      </c>
      <c r="I7" s="226"/>
      <c r="J7">
        <f>10*LOG10((484.56*1.38E-23*10000)/0.001)</f>
        <v>-131.74773352943518</v>
      </c>
    </row>
    <row r="8" spans="3:10" x14ac:dyDescent="0.75">
      <c r="C8" t="s">
        <v>252</v>
      </c>
      <c r="D8" s="226">
        <f>-'Downlink Budget'!E25</f>
        <v>127.76833344271481</v>
      </c>
      <c r="G8" t="s">
        <v>257</v>
      </c>
      <c r="H8" s="226" t="e">
        <f>H6-H7</f>
        <v>#NUM!</v>
      </c>
    </row>
    <row r="9" spans="3:10" x14ac:dyDescent="0.75">
      <c r="C9" s="100" t="s">
        <v>258</v>
      </c>
      <c r="D9" s="226">
        <f>SUM(D4:D8)</f>
        <v>54.301591968101647</v>
      </c>
    </row>
    <row r="10" spans="3:10" x14ac:dyDescent="0.75">
      <c r="C10" t="s">
        <v>253</v>
      </c>
      <c r="D10" s="226">
        <f>-'Downlink Budget'!E15</f>
        <v>-150.50012259786155</v>
      </c>
    </row>
    <row r="11" spans="3:10" x14ac:dyDescent="0.75">
      <c r="C11" t="s">
        <v>255</v>
      </c>
      <c r="D11" s="226">
        <f>SUM(D9:D10)</f>
        <v>-96.198530629759901</v>
      </c>
    </row>
    <row r="12" spans="3:10" x14ac:dyDescent="0.75">
      <c r="C12" t="s">
        <v>256</v>
      </c>
      <c r="D12">
        <v>-121</v>
      </c>
      <c r="G12" t="s">
        <v>265</v>
      </c>
    </row>
    <row r="14" spans="3:10" x14ac:dyDescent="0.75">
      <c r="C14" s="100" t="s">
        <v>257</v>
      </c>
      <c r="D14" s="226">
        <f>D11-D12</f>
        <v>24.801469370240099</v>
      </c>
    </row>
    <row r="20" spans="3:6" x14ac:dyDescent="0.75">
      <c r="C20" t="s">
        <v>288</v>
      </c>
    </row>
    <row r="21" spans="3:6" x14ac:dyDescent="0.75">
      <c r="C21" t="s">
        <v>289</v>
      </c>
      <c r="D21">
        <f>SQRT((4*POWER(PI(),2)*POWER((Orbit!T31+Orbit!T30)*1000,3))/398600441800000)</f>
        <v>5563.4998784518048</v>
      </c>
      <c r="E21" t="s">
        <v>16</v>
      </c>
      <c r="F21">
        <f>(2*PI())*SQRT(POWER((Orbit!T31+Orbit!T30)*1000,3)/389600000000000)</f>
        <v>5627.3962476615534</v>
      </c>
    </row>
    <row r="22" spans="3:6" x14ac:dyDescent="0.75">
      <c r="C22" t="s">
        <v>290</v>
      </c>
    </row>
    <row r="23" spans="3:6" x14ac:dyDescent="0.75">
      <c r="C23" t="s">
        <v>291</v>
      </c>
      <c r="D23">
        <f>2*PI()*((Orbit!T30+Orbit!T31)*1000)</f>
        <v>42638763.636022896</v>
      </c>
      <c r="E23" t="s">
        <v>27</v>
      </c>
    </row>
    <row r="24" spans="3:6" x14ac:dyDescent="0.75">
      <c r="C24" t="s">
        <v>292</v>
      </c>
      <c r="D24">
        <f>D23/D21</f>
        <v>7664.018076313555</v>
      </c>
      <c r="E24" t="s">
        <v>5</v>
      </c>
    </row>
    <row r="25" spans="3:6" x14ac:dyDescent="0.75">
      <c r="C25" t="s">
        <v>293</v>
      </c>
      <c r="D25">
        <f>D24*((Orbit!T31/(Orbit!T31+Orbit!T30))*1000)</f>
        <v>7203239.8501365017</v>
      </c>
      <c r="E25" t="s">
        <v>5</v>
      </c>
    </row>
    <row r="26" spans="3:6" x14ac:dyDescent="0.75">
      <c r="C26" t="s">
        <v>294</v>
      </c>
      <c r="D26">
        <f>(Inputs!V16*1000000)*(D25/Inputs!V9)</f>
        <v>10507311.703831932</v>
      </c>
      <c r="E26" t="s">
        <v>184</v>
      </c>
    </row>
    <row r="28" spans="3:6" x14ac:dyDescent="0.75">
      <c r="E28">
        <f>D26/1000000</f>
        <v>10.507311703831931</v>
      </c>
    </row>
    <row r="29" spans="3:6" x14ac:dyDescent="0.75">
      <c r="C29" t="s">
        <v>295</v>
      </c>
      <c r="D29">
        <f>Inputs!V16+E28</f>
        <v>447.81231170383194</v>
      </c>
    </row>
    <row r="30" spans="3:6" x14ac:dyDescent="0.75">
      <c r="D30">
        <f>Inputs!V16-E28</f>
        <v>426.79768829616808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84FFC-5A8F-4A57-81EA-B840E6E07851}">
  <sheetPr>
    <tabColor theme="1" tint="0.34998626667073579"/>
  </sheetPr>
  <dimension ref="B1:V57"/>
  <sheetViews>
    <sheetView topLeftCell="F28" zoomScale="80" zoomScaleNormal="80" workbookViewId="0">
      <selection activeCell="J34" sqref="J34"/>
    </sheetView>
  </sheetViews>
  <sheetFormatPr defaultColWidth="8.7265625" defaultRowHeight="14.75" customHeight="1" x14ac:dyDescent="0.75"/>
  <cols>
    <col min="1" max="1" width="4.08984375" customWidth="1"/>
    <col min="2" max="2" width="14.58984375" customWidth="1"/>
    <col min="3" max="3" width="18.7265625" customWidth="1"/>
    <col min="4" max="6" width="14.58984375" customWidth="1"/>
    <col min="7" max="7" width="16.90625" bestFit="1" customWidth="1"/>
    <col min="8" max="8" width="14.58984375" customWidth="1"/>
    <col min="9" max="9" width="20.1328125" bestFit="1" customWidth="1"/>
    <col min="10" max="10" width="18.1328125" bestFit="1" customWidth="1"/>
    <col min="11" max="11" width="17.26953125" bestFit="1" customWidth="1"/>
    <col min="12" max="22" width="14.58984375" customWidth="1"/>
  </cols>
  <sheetData>
    <row r="1" spans="2:22" x14ac:dyDescent="0.75">
      <c r="B1" s="301" t="s">
        <v>194</v>
      </c>
      <c r="C1" s="301"/>
      <c r="D1" s="301"/>
      <c r="G1" s="301" t="s">
        <v>195</v>
      </c>
      <c r="H1" s="301"/>
      <c r="I1" s="301"/>
      <c r="J1" s="301"/>
    </row>
    <row r="2" spans="2:22" ht="15.5" thickBot="1" x14ac:dyDescent="0.9">
      <c r="B2" s="338" t="s">
        <v>196</v>
      </c>
      <c r="C2" s="338"/>
      <c r="D2" s="338"/>
      <c r="G2" s="338" t="s">
        <v>197</v>
      </c>
      <c r="H2" s="338"/>
      <c r="I2" s="338"/>
      <c r="J2" s="338"/>
      <c r="L2" s="227" t="s">
        <v>93</v>
      </c>
    </row>
    <row r="3" spans="2:22" ht="16.5" thickBot="1" x14ac:dyDescent="0.9">
      <c r="B3" s="101" t="s">
        <v>128</v>
      </c>
      <c r="C3" s="102" t="s">
        <v>198</v>
      </c>
      <c r="D3" s="103" t="s">
        <v>3</v>
      </c>
      <c r="G3" s="104" t="s">
        <v>199</v>
      </c>
      <c r="H3" s="105" t="s">
        <v>3</v>
      </c>
      <c r="I3" s="105" t="s">
        <v>198</v>
      </c>
      <c r="J3" s="106" t="s">
        <v>3</v>
      </c>
      <c r="L3" s="107" t="s">
        <v>94</v>
      </c>
      <c r="N3" s="108" t="s">
        <v>200</v>
      </c>
      <c r="O3" s="109"/>
      <c r="P3" s="110"/>
    </row>
    <row r="4" spans="2:22" x14ac:dyDescent="0.75">
      <c r="B4" s="111">
        <v>0</v>
      </c>
      <c r="C4" s="112">
        <v>10.199999999999999</v>
      </c>
      <c r="D4" s="113" t="s">
        <v>33</v>
      </c>
      <c r="G4" s="114">
        <v>145.80000000000001</v>
      </c>
      <c r="H4" s="112" t="s">
        <v>11</v>
      </c>
      <c r="I4" s="112">
        <v>0.7</v>
      </c>
      <c r="J4" s="113" t="s">
        <v>33</v>
      </c>
      <c r="L4" s="115" t="s">
        <v>201</v>
      </c>
      <c r="N4" s="116" t="s">
        <v>202</v>
      </c>
      <c r="O4" s="117" t="s">
        <v>203</v>
      </c>
      <c r="P4" s="118" t="s">
        <v>204</v>
      </c>
    </row>
    <row r="5" spans="2:22" ht="15.5" thickBot="1" x14ac:dyDescent="0.9">
      <c r="B5" s="111">
        <v>2.5</v>
      </c>
      <c r="C5" s="112">
        <v>4.5999999999999996</v>
      </c>
      <c r="D5" s="113" t="s">
        <v>33</v>
      </c>
      <c r="G5" s="119">
        <v>437.30500000000001</v>
      </c>
      <c r="H5" s="112" t="s">
        <v>11</v>
      </c>
      <c r="I5" s="112">
        <v>0.4</v>
      </c>
      <c r="J5" s="113" t="s">
        <v>33</v>
      </c>
      <c r="L5" s="120" t="s">
        <v>78</v>
      </c>
      <c r="N5" s="116" t="s">
        <v>205</v>
      </c>
      <c r="O5" s="117" t="s">
        <v>206</v>
      </c>
      <c r="P5" s="118" t="s">
        <v>207</v>
      </c>
    </row>
    <row r="6" spans="2:22" ht="15.5" thickBot="1" x14ac:dyDescent="0.9">
      <c r="B6" s="111">
        <v>5</v>
      </c>
      <c r="C6" s="112">
        <v>2.1</v>
      </c>
      <c r="D6" s="113" t="s">
        <v>33</v>
      </c>
      <c r="G6" s="121">
        <v>2410</v>
      </c>
      <c r="H6" s="122" t="s">
        <v>11</v>
      </c>
      <c r="I6" s="122">
        <v>0.1</v>
      </c>
      <c r="J6" s="123" t="s">
        <v>33</v>
      </c>
      <c r="N6" s="124">
        <v>0.35</v>
      </c>
      <c r="O6" s="125">
        <v>3</v>
      </c>
      <c r="P6" s="126">
        <v>9.65</v>
      </c>
    </row>
    <row r="7" spans="2:22" ht="15.5" thickBot="1" x14ac:dyDescent="0.9">
      <c r="B7" s="111">
        <v>10</v>
      </c>
      <c r="C7" s="112">
        <v>1.1000000000000001</v>
      </c>
      <c r="D7" s="113" t="s">
        <v>33</v>
      </c>
      <c r="L7" s="227" t="s">
        <v>96</v>
      </c>
      <c r="N7" s="124">
        <v>0.55000000000000004</v>
      </c>
      <c r="O7" s="125">
        <v>4</v>
      </c>
      <c r="P7" s="126">
        <v>10.86</v>
      </c>
    </row>
    <row r="8" spans="2:22" x14ac:dyDescent="0.75">
      <c r="B8" s="111">
        <v>30</v>
      </c>
      <c r="C8" s="112">
        <v>0.4</v>
      </c>
      <c r="D8" s="113" t="s">
        <v>33</v>
      </c>
      <c r="G8" s="301" t="s">
        <v>208</v>
      </c>
      <c r="H8" s="301"/>
      <c r="I8" s="301"/>
      <c r="J8" s="301"/>
      <c r="L8" s="127">
        <v>1</v>
      </c>
      <c r="N8" s="124">
        <v>0.8</v>
      </c>
      <c r="O8" s="125">
        <v>5</v>
      </c>
      <c r="P8" s="126">
        <v>11.85</v>
      </c>
    </row>
    <row r="9" spans="2:22" ht="15.5" thickBot="1" x14ac:dyDescent="0.9">
      <c r="B9" s="111">
        <v>45</v>
      </c>
      <c r="C9" s="112">
        <v>0.3</v>
      </c>
      <c r="D9" s="113" t="s">
        <v>33</v>
      </c>
      <c r="G9" s="338" t="s">
        <v>197</v>
      </c>
      <c r="H9" s="338"/>
      <c r="I9" s="338"/>
      <c r="J9" s="338"/>
      <c r="L9" s="128">
        <v>2</v>
      </c>
      <c r="N9" s="124">
        <v>1.1499999999999999</v>
      </c>
      <c r="O9" s="125">
        <v>6</v>
      </c>
      <c r="P9" s="126">
        <v>12.45</v>
      </c>
    </row>
    <row r="10" spans="2:22" ht="15.5" thickBot="1" x14ac:dyDescent="0.9">
      <c r="B10" s="129">
        <v>90</v>
      </c>
      <c r="C10" s="122">
        <v>0</v>
      </c>
      <c r="D10" s="123" t="s">
        <v>33</v>
      </c>
      <c r="G10" s="104" t="s">
        <v>199</v>
      </c>
      <c r="H10" s="105" t="s">
        <v>3</v>
      </c>
      <c r="I10" s="105" t="s">
        <v>198</v>
      </c>
      <c r="J10" s="106" t="s">
        <v>3</v>
      </c>
      <c r="L10" s="128">
        <v>3</v>
      </c>
      <c r="N10" s="124">
        <v>1.45</v>
      </c>
      <c r="O10" s="125">
        <v>7</v>
      </c>
      <c r="P10" s="126">
        <v>13.35</v>
      </c>
    </row>
    <row r="11" spans="2:22" ht="15.5" thickBot="1" x14ac:dyDescent="0.9">
      <c r="G11" s="114">
        <v>145.80000000000001</v>
      </c>
      <c r="H11" s="112" t="s">
        <v>11</v>
      </c>
      <c r="I11" s="112">
        <v>0.7</v>
      </c>
      <c r="J11" s="113" t="s">
        <v>33</v>
      </c>
      <c r="L11" s="130">
        <v>4</v>
      </c>
      <c r="N11" s="124">
        <v>1.8</v>
      </c>
      <c r="O11" s="125">
        <v>8</v>
      </c>
      <c r="P11" s="126">
        <v>14.05</v>
      </c>
    </row>
    <row r="12" spans="2:22" x14ac:dyDescent="0.75">
      <c r="B12" s="328" t="s">
        <v>209</v>
      </c>
      <c r="C12" s="329"/>
      <c r="D12" s="330"/>
      <c r="G12" s="119">
        <v>437.30500000000001</v>
      </c>
      <c r="H12" s="112" t="s">
        <v>11</v>
      </c>
      <c r="I12" s="112">
        <v>0.4</v>
      </c>
      <c r="J12" s="113" t="s">
        <v>33</v>
      </c>
      <c r="N12" s="124">
        <v>2.1</v>
      </c>
      <c r="O12" s="125">
        <v>9</v>
      </c>
      <c r="P12" s="126">
        <v>14.4</v>
      </c>
    </row>
    <row r="13" spans="2:22" ht="15.5" thickBot="1" x14ac:dyDescent="0.9">
      <c r="B13" s="331" t="s">
        <v>94</v>
      </c>
      <c r="C13" s="332"/>
      <c r="D13" s="336"/>
      <c r="G13" s="121">
        <v>2410</v>
      </c>
      <c r="H13" s="122" t="s">
        <v>11</v>
      </c>
      <c r="I13" s="122">
        <v>0.1</v>
      </c>
      <c r="J13" s="123" t="s">
        <v>33</v>
      </c>
      <c r="N13" s="124">
        <v>2.4500000000000002</v>
      </c>
      <c r="O13" s="125">
        <v>10</v>
      </c>
      <c r="P13" s="126">
        <v>15.25</v>
      </c>
      <c r="R13" s="335" t="s">
        <v>210</v>
      </c>
      <c r="S13" s="335"/>
      <c r="U13" s="335" t="s">
        <v>210</v>
      </c>
      <c r="V13" s="335"/>
    </row>
    <row r="14" spans="2:22" ht="15.5" thickBot="1" x14ac:dyDescent="0.9">
      <c r="B14" s="331" t="s">
        <v>201</v>
      </c>
      <c r="C14" s="332"/>
      <c r="D14" s="336"/>
      <c r="N14" s="124">
        <v>2.8</v>
      </c>
      <c r="O14" s="125">
        <v>11</v>
      </c>
      <c r="P14" s="126">
        <v>15.95</v>
      </c>
      <c r="R14" s="131" t="s">
        <v>114</v>
      </c>
      <c r="S14" s="132">
        <f>IF(Losses!Y37&lt;90.001,-10*LOG10(COS(RADIANS(Losses!Y37))),-10*LOG(-COS(RADIANS(Losses!Y37))))</f>
        <v>0.27014183557063515</v>
      </c>
      <c r="U14" s="131" t="s">
        <v>114</v>
      </c>
      <c r="V14" s="132">
        <f>IF(Losses!Y78&lt;90.001,-10*LOG10(COS(RADIANS(Losses!Y78))),-10*LOG(-COS(RADIANS(Losses!Y78))))</f>
        <v>0.27014183557063515</v>
      </c>
    </row>
    <row r="15" spans="2:22" ht="15.5" thickBot="1" x14ac:dyDescent="0.9">
      <c r="B15" s="333" t="s">
        <v>78</v>
      </c>
      <c r="C15" s="334"/>
      <c r="D15" s="337"/>
      <c r="G15" s="223" t="s">
        <v>230</v>
      </c>
      <c r="N15" s="124">
        <v>3.15</v>
      </c>
      <c r="O15" s="125">
        <v>12</v>
      </c>
      <c r="P15" s="126">
        <v>16.3</v>
      </c>
      <c r="R15" s="119" t="s">
        <v>117</v>
      </c>
      <c r="S15" s="113">
        <f>IF(Antennas!AA8=Antennas!AA20,0.00075*(Losses!Y37)^2, 0.00075*(180-Losses!Y37)^2)</f>
        <v>0.3</v>
      </c>
      <c r="U15" s="119" t="s">
        <v>117</v>
      </c>
      <c r="V15" s="113">
        <f>IF(Antennas!AA8=Antennas!AA20,0.00075*(Losses!Y78)^2, 0.00075*(180-Losses!Y78)^2)</f>
        <v>0.3</v>
      </c>
    </row>
    <row r="16" spans="2:22" x14ac:dyDescent="0.75">
      <c r="G16" s="128">
        <v>1</v>
      </c>
      <c r="N16" s="124">
        <v>3.55</v>
      </c>
      <c r="O16" s="125">
        <v>13</v>
      </c>
      <c r="P16" s="126">
        <v>16.95</v>
      </c>
      <c r="R16" s="119" t="s">
        <v>119</v>
      </c>
      <c r="S16" s="113">
        <f>-1.5*(-(4-10*LOG10(1.256*(1+COS(RADIANS(Losses!Y37))))))</f>
        <v>0.19916170492455665</v>
      </c>
      <c r="U16" s="119" t="s">
        <v>119</v>
      </c>
      <c r="V16" s="113">
        <f>-1.5*(-(4-10*LOG10(1.256*(1+COS(RADIANS(Losses!Y78))))))</f>
        <v>0.19916170492455665</v>
      </c>
    </row>
    <row r="17" spans="2:22" ht="15.5" thickBot="1" x14ac:dyDescent="0.9">
      <c r="G17" s="128">
        <v>2</v>
      </c>
      <c r="N17" s="124">
        <v>4</v>
      </c>
      <c r="O17" s="125">
        <v>14</v>
      </c>
      <c r="P17" s="126">
        <v>17.45</v>
      </c>
      <c r="R17" s="121" t="s">
        <v>211</v>
      </c>
      <c r="S17" s="123">
        <f>Antennas!AF15</f>
        <v>0</v>
      </c>
      <c r="U17" s="121" t="s">
        <v>211</v>
      </c>
      <c r="V17" s="123">
        <f>Antennas!AF15</f>
        <v>0</v>
      </c>
    </row>
    <row r="18" spans="2:22" x14ac:dyDescent="0.75">
      <c r="G18" s="128">
        <v>3</v>
      </c>
      <c r="N18" s="124">
        <v>4.4000000000000004</v>
      </c>
      <c r="O18" s="125">
        <v>15</v>
      </c>
      <c r="P18" s="126">
        <v>18.149999999999999</v>
      </c>
    </row>
    <row r="19" spans="2:22" ht="15.5" thickBot="1" x14ac:dyDescent="0.9">
      <c r="G19" s="128">
        <v>4</v>
      </c>
      <c r="J19" s="230" t="s">
        <v>242</v>
      </c>
      <c r="N19" s="124">
        <v>4.75</v>
      </c>
      <c r="O19" s="125">
        <v>16</v>
      </c>
      <c r="P19" s="126">
        <v>18.649999999999999</v>
      </c>
    </row>
    <row r="20" spans="2:22" x14ac:dyDescent="0.75">
      <c r="G20" s="128">
        <v>5</v>
      </c>
      <c r="J20" s="241">
        <v>1.0000000000000001E-5</v>
      </c>
      <c r="N20" s="124">
        <v>5.2</v>
      </c>
      <c r="O20" s="125">
        <v>17</v>
      </c>
      <c r="P20" s="126">
        <v>19.350000000000001</v>
      </c>
    </row>
    <row r="21" spans="2:22" ht="15.5" thickBot="1" x14ac:dyDescent="0.9">
      <c r="G21" s="128">
        <v>6</v>
      </c>
      <c r="J21" s="242">
        <v>9.9999999999999995E-7</v>
      </c>
      <c r="N21" s="124">
        <v>5.55</v>
      </c>
      <c r="O21" s="125">
        <v>18</v>
      </c>
      <c r="P21" s="126">
        <v>19.850000000000001</v>
      </c>
    </row>
    <row r="22" spans="2:22" x14ac:dyDescent="0.75">
      <c r="G22" s="128">
        <v>7</v>
      </c>
      <c r="J22" s="231"/>
      <c r="N22" s="124">
        <v>6</v>
      </c>
      <c r="O22" s="125">
        <v>19</v>
      </c>
      <c r="P22" s="126">
        <v>20.25</v>
      </c>
    </row>
    <row r="23" spans="2:22" ht="15.5" thickBot="1" x14ac:dyDescent="0.9">
      <c r="G23" s="128">
        <v>8</v>
      </c>
      <c r="J23" s="230" t="s">
        <v>243</v>
      </c>
      <c r="N23" s="124">
        <v>6.5</v>
      </c>
      <c r="O23" s="125">
        <v>20</v>
      </c>
      <c r="P23" s="126">
        <v>20.75</v>
      </c>
    </row>
    <row r="24" spans="2:22" x14ac:dyDescent="0.75">
      <c r="G24" s="128">
        <v>9</v>
      </c>
      <c r="J24" s="127">
        <v>9600</v>
      </c>
      <c r="N24" s="124">
        <v>7</v>
      </c>
      <c r="O24" s="125">
        <v>21</v>
      </c>
      <c r="P24" s="126">
        <v>21.35</v>
      </c>
    </row>
    <row r="25" spans="2:22" ht="15.5" thickBot="1" x14ac:dyDescent="0.9">
      <c r="G25" s="128">
        <v>10</v>
      </c>
      <c r="J25" s="130">
        <v>19200</v>
      </c>
      <c r="N25" s="124">
        <v>7.5</v>
      </c>
      <c r="O25" s="125">
        <v>22</v>
      </c>
      <c r="P25" s="126">
        <v>21.65</v>
      </c>
    </row>
    <row r="26" spans="2:22" x14ac:dyDescent="0.75">
      <c r="G26" s="128">
        <v>11</v>
      </c>
      <c r="J26" s="231"/>
      <c r="N26" s="133" t="s">
        <v>212</v>
      </c>
      <c r="O26" s="133"/>
      <c r="P26" s="133"/>
    </row>
    <row r="27" spans="2:22" ht="14.75" customHeight="1" thickBot="1" x14ac:dyDescent="0.9">
      <c r="G27" s="128">
        <v>12</v>
      </c>
      <c r="J27" s="230" t="s">
        <v>244</v>
      </c>
    </row>
    <row r="28" spans="2:22" ht="14.75" customHeight="1" thickBot="1" x14ac:dyDescent="0.9">
      <c r="G28" s="128">
        <v>13</v>
      </c>
      <c r="J28" s="127">
        <v>2</v>
      </c>
    </row>
    <row r="29" spans="2:22" ht="14.75" customHeight="1" thickBot="1" x14ac:dyDescent="0.9">
      <c r="B29" s="328" t="s">
        <v>235</v>
      </c>
      <c r="C29" s="329"/>
      <c r="D29" s="330"/>
      <c r="E29" s="219"/>
      <c r="G29" s="128">
        <v>14</v>
      </c>
      <c r="J29" s="130">
        <v>4</v>
      </c>
    </row>
    <row r="30" spans="2:22" ht="14.75" customHeight="1" thickBot="1" x14ac:dyDescent="0.9">
      <c r="B30" s="331" t="s">
        <v>236</v>
      </c>
      <c r="C30" s="332"/>
      <c r="D30" s="113">
        <f>2*(Losses!Y35*(79.76/INDEX(Antennas!AC12:AC15,Antennas!AA9,1)))</f>
        <v>29.872659176029966</v>
      </c>
      <c r="G30" s="130">
        <v>15</v>
      </c>
      <c r="J30" s="231"/>
    </row>
    <row r="31" spans="2:22" ht="14.75" customHeight="1" thickBot="1" x14ac:dyDescent="0.9">
      <c r="B31" s="331" t="s">
        <v>146</v>
      </c>
      <c r="C31" s="332"/>
      <c r="D31" s="113">
        <f>10^(Losses!U54/10)</f>
        <v>1.2589254117941673</v>
      </c>
      <c r="J31" s="230" t="s">
        <v>246</v>
      </c>
    </row>
    <row r="32" spans="2:22" ht="14.75" customHeight="1" x14ac:dyDescent="0.75">
      <c r="B32" s="331" t="s">
        <v>147</v>
      </c>
      <c r="C32" s="332"/>
      <c r="D32" s="113">
        <f>10^(Losses!U55/10)</f>
        <v>1.2589254117941673</v>
      </c>
      <c r="J32" s="127" t="s">
        <v>247</v>
      </c>
    </row>
    <row r="33" spans="2:12" ht="14.75" customHeight="1" thickBot="1" x14ac:dyDescent="0.9">
      <c r="B33" s="331" t="s">
        <v>148</v>
      </c>
      <c r="C33" s="332"/>
      <c r="D33" s="113">
        <f>RADIANS(Losses!U56)</f>
        <v>1.5707963267948966</v>
      </c>
      <c r="J33" s="130" t="s">
        <v>318</v>
      </c>
    </row>
    <row r="34" spans="2:12" ht="14.75" customHeight="1" thickBot="1" x14ac:dyDescent="0.9">
      <c r="B34" s="333" t="s">
        <v>149</v>
      </c>
      <c r="C34" s="334"/>
      <c r="D34" s="123">
        <f>0.5*(1+((1-D31^2)*(1-D32^2)*COS(2*D33)+4*D31*D32)/((1+D31^2)*(1+D32^2)))</f>
        <v>0.94880023970254146</v>
      </c>
    </row>
    <row r="35" spans="2:12" ht="14.75" customHeight="1" thickBot="1" x14ac:dyDescent="0.9"/>
    <row r="36" spans="2:12" ht="14.75" customHeight="1" x14ac:dyDescent="0.75">
      <c r="B36" s="328" t="s">
        <v>237</v>
      </c>
      <c r="C36" s="329"/>
      <c r="D36" s="330"/>
    </row>
    <row r="37" spans="2:12" ht="14.75" customHeight="1" thickBot="1" x14ac:dyDescent="0.9">
      <c r="B37" s="331" t="s">
        <v>236</v>
      </c>
      <c r="C37" s="332"/>
      <c r="D37" s="113">
        <f>2*(Losses!Y80*(79.76/INDEX(Antennas!AC12:AC15,Antennas!AA9,1)))</f>
        <v>29.872659176029966</v>
      </c>
    </row>
    <row r="38" spans="2:12" ht="14.75" customHeight="1" x14ac:dyDescent="0.75">
      <c r="B38" s="331" t="s">
        <v>157</v>
      </c>
      <c r="C38" s="332"/>
      <c r="D38" s="113">
        <f>10^(Losses!U97/10)</f>
        <v>1.2589254117941673</v>
      </c>
      <c r="I38" s="259" t="s">
        <v>314</v>
      </c>
    </row>
    <row r="39" spans="2:12" ht="14.75" customHeight="1" thickBot="1" x14ac:dyDescent="0.9">
      <c r="B39" s="331" t="s">
        <v>158</v>
      </c>
      <c r="C39" s="332"/>
      <c r="D39" s="113">
        <f>10^(Losses!U98/10)</f>
        <v>1.2589254117941673</v>
      </c>
      <c r="I39" s="260" t="str">
        <f>Modulation!X8&amp;Modulation!X9&amp;Modulation!X10&amp;Modulation!X11</f>
        <v>0.000001192002FSK</v>
      </c>
    </row>
    <row r="40" spans="2:12" ht="14.75" customHeight="1" thickBot="1" x14ac:dyDescent="0.9">
      <c r="B40" s="331" t="s">
        <v>148</v>
      </c>
      <c r="C40" s="332"/>
      <c r="D40" s="113">
        <f>RADIANS(Losses!U99)</f>
        <v>1.5707963267948966</v>
      </c>
    </row>
    <row r="41" spans="2:12" ht="14.75" customHeight="1" thickBot="1" x14ac:dyDescent="1.05">
      <c r="B41" s="333" t="s">
        <v>149</v>
      </c>
      <c r="C41" s="334"/>
      <c r="D41" s="123">
        <f>0.5*(1+((1-D38^2)*(1-D39^2)*COS(2*D40)+4*D38*D39)/((1+D38^2)*(1+D39^2)))</f>
        <v>0.94880023970254146</v>
      </c>
      <c r="G41" s="250" t="s">
        <v>315</v>
      </c>
      <c r="H41" s="251" t="s">
        <v>243</v>
      </c>
      <c r="I41" s="251" t="s">
        <v>316</v>
      </c>
      <c r="J41" s="251" t="s">
        <v>317</v>
      </c>
      <c r="K41" s="257" t="s">
        <v>319</v>
      </c>
      <c r="L41" s="258" t="s">
        <v>320</v>
      </c>
    </row>
    <row r="42" spans="2:12" ht="14.75" customHeight="1" x14ac:dyDescent="0.75">
      <c r="G42" s="244">
        <v>1.0000000000000001E-5</v>
      </c>
      <c r="H42" s="245">
        <v>9600</v>
      </c>
      <c r="I42" s="245">
        <v>2</v>
      </c>
      <c r="J42" s="245" t="s">
        <v>247</v>
      </c>
      <c r="K42" s="252" t="str">
        <f>G42&amp;H42&amp;I42&amp;J42</f>
        <v>0.0000196002FSK</v>
      </c>
      <c r="L42" s="253">
        <v>13.4</v>
      </c>
    </row>
    <row r="43" spans="2:12" ht="14.75" customHeight="1" x14ac:dyDescent="0.75">
      <c r="G43" s="244">
        <v>1.0000000000000001E-5</v>
      </c>
      <c r="H43" s="245">
        <v>9600</v>
      </c>
      <c r="I43" s="245">
        <v>2</v>
      </c>
      <c r="J43" s="245" t="s">
        <v>318</v>
      </c>
      <c r="K43" s="252" t="str">
        <f t="shared" ref="K43:K57" si="0">G43&amp;H43&amp;I43&amp;J43</f>
        <v>0.0000196002PSK</v>
      </c>
      <c r="L43" s="253">
        <v>9.6</v>
      </c>
    </row>
    <row r="44" spans="2:12" ht="14.75" customHeight="1" x14ac:dyDescent="0.75">
      <c r="G44" s="244">
        <v>1.0000000000000001E-5</v>
      </c>
      <c r="H44" s="245">
        <v>9600</v>
      </c>
      <c r="I44" s="245">
        <v>4</v>
      </c>
      <c r="J44" s="245" t="s">
        <v>247</v>
      </c>
      <c r="K44" s="252" t="str">
        <f t="shared" si="0"/>
        <v>0.0000196004FSK</v>
      </c>
      <c r="L44" s="253">
        <v>10.6</v>
      </c>
    </row>
    <row r="45" spans="2:12" ht="14.75" customHeight="1" x14ac:dyDescent="0.75">
      <c r="G45" s="244">
        <v>1.0000000000000001E-5</v>
      </c>
      <c r="H45" s="245">
        <v>9600</v>
      </c>
      <c r="I45" s="245">
        <v>4</v>
      </c>
      <c r="J45" s="245" t="s">
        <v>318</v>
      </c>
      <c r="K45" s="252" t="str">
        <f t="shared" si="0"/>
        <v>0.0000196004PSK</v>
      </c>
      <c r="L45" s="253">
        <v>9.6</v>
      </c>
    </row>
    <row r="46" spans="2:12" ht="14.75" customHeight="1" x14ac:dyDescent="0.75">
      <c r="G46" s="244">
        <v>1.0000000000000001E-5</v>
      </c>
      <c r="H46" s="245">
        <v>19200</v>
      </c>
      <c r="I46" s="245">
        <v>2</v>
      </c>
      <c r="J46" s="245" t="s">
        <v>247</v>
      </c>
      <c r="K46" s="252" t="str">
        <f t="shared" si="0"/>
        <v>0.00001192002FSK</v>
      </c>
      <c r="L46" s="253">
        <v>13.4</v>
      </c>
    </row>
    <row r="47" spans="2:12" ht="14.75" customHeight="1" x14ac:dyDescent="0.75">
      <c r="G47" s="244">
        <v>1.0000000000000001E-5</v>
      </c>
      <c r="H47" s="245">
        <v>19200</v>
      </c>
      <c r="I47" s="245">
        <v>2</v>
      </c>
      <c r="J47" s="245" t="s">
        <v>318</v>
      </c>
      <c r="K47" s="252" t="str">
        <f t="shared" si="0"/>
        <v>0.00001192002PSK</v>
      </c>
      <c r="L47" s="253">
        <v>9.6</v>
      </c>
    </row>
    <row r="48" spans="2:12" ht="14.75" customHeight="1" x14ac:dyDescent="0.75">
      <c r="G48" s="244">
        <v>1.0000000000000001E-5</v>
      </c>
      <c r="H48" s="245">
        <v>19200</v>
      </c>
      <c r="I48" s="245">
        <v>4</v>
      </c>
      <c r="J48" s="245" t="s">
        <v>247</v>
      </c>
      <c r="K48" s="252" t="str">
        <f t="shared" si="0"/>
        <v>0.00001192004FSK</v>
      </c>
      <c r="L48" s="253">
        <v>10.6</v>
      </c>
    </row>
    <row r="49" spans="7:12" ht="14.75" customHeight="1" x14ac:dyDescent="0.75">
      <c r="G49" s="244">
        <v>1.0000000000000001E-5</v>
      </c>
      <c r="H49" s="245">
        <v>19200</v>
      </c>
      <c r="I49" s="245">
        <v>4</v>
      </c>
      <c r="J49" s="245" t="s">
        <v>318</v>
      </c>
      <c r="K49" s="252" t="str">
        <f t="shared" si="0"/>
        <v>0.00001192004PSK</v>
      </c>
      <c r="L49" s="253">
        <v>9.6</v>
      </c>
    </row>
    <row r="50" spans="7:12" ht="14.75" customHeight="1" x14ac:dyDescent="0.75">
      <c r="G50" s="246">
        <v>9.9999999999999995E-7</v>
      </c>
      <c r="H50" s="247">
        <v>9600</v>
      </c>
      <c r="I50" s="247">
        <v>2</v>
      </c>
      <c r="J50" s="247" t="s">
        <v>247</v>
      </c>
      <c r="K50" s="254" t="str">
        <f t="shared" si="0"/>
        <v>0.00000196002FSK</v>
      </c>
      <c r="L50" s="253">
        <v>13.5</v>
      </c>
    </row>
    <row r="51" spans="7:12" ht="14.75" customHeight="1" x14ac:dyDescent="0.75">
      <c r="G51" s="246">
        <v>9.9999999999999995E-7</v>
      </c>
      <c r="H51" s="247">
        <v>9600</v>
      </c>
      <c r="I51" s="247">
        <v>2</v>
      </c>
      <c r="J51" s="247" t="s">
        <v>318</v>
      </c>
      <c r="K51" s="254" t="str">
        <f t="shared" si="0"/>
        <v>0.00000196002PSK</v>
      </c>
      <c r="L51" s="253">
        <v>10.5</v>
      </c>
    </row>
    <row r="52" spans="7:12" ht="14.75" customHeight="1" x14ac:dyDescent="0.75">
      <c r="G52" s="246">
        <v>9.9999999999999995E-7</v>
      </c>
      <c r="H52" s="247">
        <v>9600</v>
      </c>
      <c r="I52" s="247">
        <v>4</v>
      </c>
      <c r="J52" s="247" t="s">
        <v>247</v>
      </c>
      <c r="K52" s="254" t="str">
        <f t="shared" si="0"/>
        <v>0.00000196004FSK</v>
      </c>
      <c r="L52" s="253">
        <v>10.8</v>
      </c>
    </row>
    <row r="53" spans="7:12" ht="14.75" customHeight="1" x14ac:dyDescent="0.75">
      <c r="G53" s="246">
        <v>9.9999999999999995E-7</v>
      </c>
      <c r="H53" s="247">
        <v>9600</v>
      </c>
      <c r="I53" s="247">
        <v>4</v>
      </c>
      <c r="J53" s="247" t="s">
        <v>318</v>
      </c>
      <c r="K53" s="254" t="str">
        <f t="shared" si="0"/>
        <v>0.00000196004PSK</v>
      </c>
      <c r="L53" s="253">
        <v>10.5</v>
      </c>
    </row>
    <row r="54" spans="7:12" ht="14.75" customHeight="1" x14ac:dyDescent="0.75">
      <c r="G54" s="246">
        <v>9.9999999999999995E-7</v>
      </c>
      <c r="H54" s="247">
        <v>19200</v>
      </c>
      <c r="I54" s="247">
        <v>2</v>
      </c>
      <c r="J54" s="247" t="s">
        <v>247</v>
      </c>
      <c r="K54" s="254" t="str">
        <f t="shared" si="0"/>
        <v>0.000001192002FSK</v>
      </c>
      <c r="L54" s="253">
        <v>13.5</v>
      </c>
    </row>
    <row r="55" spans="7:12" ht="14.75" customHeight="1" x14ac:dyDescent="0.75">
      <c r="G55" s="246">
        <v>9.9999999999999995E-7</v>
      </c>
      <c r="H55" s="247">
        <v>19200</v>
      </c>
      <c r="I55" s="247">
        <v>2</v>
      </c>
      <c r="J55" s="247" t="s">
        <v>318</v>
      </c>
      <c r="K55" s="254" t="str">
        <f t="shared" si="0"/>
        <v>0.000001192002PSK</v>
      </c>
      <c r="L55" s="253">
        <v>10.5</v>
      </c>
    </row>
    <row r="56" spans="7:12" ht="14.75" customHeight="1" x14ac:dyDescent="0.75">
      <c r="G56" s="246">
        <v>9.9999999999999995E-7</v>
      </c>
      <c r="H56" s="247">
        <v>19200</v>
      </c>
      <c r="I56" s="247">
        <v>4</v>
      </c>
      <c r="J56" s="247" t="s">
        <v>247</v>
      </c>
      <c r="K56" s="254" t="str">
        <f t="shared" si="0"/>
        <v>0.000001192004FSK</v>
      </c>
      <c r="L56" s="253">
        <v>10.8</v>
      </c>
    </row>
    <row r="57" spans="7:12" ht="14.75" customHeight="1" thickBot="1" x14ac:dyDescent="0.9">
      <c r="G57" s="248">
        <v>9.9999999999999995E-7</v>
      </c>
      <c r="H57" s="249">
        <v>19200</v>
      </c>
      <c r="I57" s="249">
        <v>4</v>
      </c>
      <c r="J57" s="249" t="s">
        <v>318</v>
      </c>
      <c r="K57" s="255" t="str">
        <f t="shared" si="0"/>
        <v>0.000001192004PSK</v>
      </c>
      <c r="L57" s="256">
        <v>10.5</v>
      </c>
    </row>
  </sheetData>
  <mergeCells count="24">
    <mergeCell ref="B41:C41"/>
    <mergeCell ref="B36:D36"/>
    <mergeCell ref="B37:C37"/>
    <mergeCell ref="B38:C38"/>
    <mergeCell ref="B39:C39"/>
    <mergeCell ref="B40:C40"/>
    <mergeCell ref="R13:S13"/>
    <mergeCell ref="U13:V13"/>
    <mergeCell ref="B14:D14"/>
    <mergeCell ref="B15:D15"/>
    <mergeCell ref="B1:D1"/>
    <mergeCell ref="G1:J1"/>
    <mergeCell ref="B2:D2"/>
    <mergeCell ref="G2:J2"/>
    <mergeCell ref="G8:J8"/>
    <mergeCell ref="G9:J9"/>
    <mergeCell ref="B12:D12"/>
    <mergeCell ref="B13:D13"/>
    <mergeCell ref="B29:D29"/>
    <mergeCell ref="B30:C30"/>
    <mergeCell ref="B31:C31"/>
    <mergeCell ref="B34:C34"/>
    <mergeCell ref="B33:C33"/>
    <mergeCell ref="B32:C3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08AB7-8DF5-4328-AE1F-8CBF37FA05BA}">
  <sheetPr>
    <tabColor rgb="FFE1CDFF"/>
  </sheetPr>
  <dimension ref="A1:AN40"/>
  <sheetViews>
    <sheetView topLeftCell="H11" zoomScale="70" zoomScaleNormal="70" workbookViewId="0">
      <selection activeCell="T35" sqref="T35"/>
    </sheetView>
  </sheetViews>
  <sheetFormatPr defaultColWidth="0" defaultRowHeight="14.75" zeroHeight="1" x14ac:dyDescent="0.75"/>
  <cols>
    <col min="1" max="17" width="3.2265625" customWidth="1"/>
    <col min="18" max="19" width="17.36328125" customWidth="1"/>
    <col min="20" max="20" width="10.453125" customWidth="1"/>
    <col min="21" max="21" width="7.2265625" customWidth="1"/>
    <col min="22" max="23" width="8.7265625" customWidth="1"/>
    <col min="24" max="40" width="3.2265625" customWidth="1"/>
    <col min="41" max="16384" width="8.7265625" hidden="1"/>
  </cols>
  <sheetData>
    <row r="1" spans="1:40" ht="15.5" thickBot="1" x14ac:dyDescent="0.9">
      <c r="A1" s="1"/>
      <c r="B1" s="1"/>
      <c r="C1" s="1"/>
      <c r="D1" s="1"/>
      <c r="E1" s="1"/>
      <c r="F1" s="1"/>
      <c r="G1" s="1"/>
      <c r="H1" s="1"/>
      <c r="I1" s="1"/>
      <c r="J1" s="1"/>
      <c r="K1" s="1"/>
      <c r="L1" s="1"/>
      <c r="M1" s="1"/>
      <c r="N1" s="1"/>
      <c r="O1" s="1"/>
      <c r="P1" s="1"/>
      <c r="Q1" s="1"/>
      <c r="R1" s="1"/>
      <c r="S1" s="1"/>
      <c r="T1" s="1"/>
      <c r="U1" s="2"/>
      <c r="V1" s="1"/>
      <c r="W1" s="1"/>
      <c r="X1" s="1"/>
      <c r="Y1" s="1"/>
      <c r="Z1" s="1"/>
      <c r="AA1" s="1"/>
      <c r="AB1" s="1"/>
      <c r="AC1" s="1"/>
      <c r="AD1" s="1"/>
      <c r="AE1" s="1"/>
      <c r="AF1" s="1"/>
      <c r="AG1" s="1"/>
      <c r="AH1" s="1"/>
      <c r="AI1" s="1"/>
      <c r="AJ1" s="1"/>
      <c r="AK1" s="1"/>
      <c r="AL1" s="1"/>
      <c r="AM1" s="1"/>
      <c r="AN1" s="1"/>
    </row>
    <row r="2" spans="1:40" ht="16.25" thickBot="1" x14ac:dyDescent="0.9">
      <c r="A2" s="1"/>
      <c r="B2" s="1"/>
      <c r="C2" s="1"/>
      <c r="D2" s="1"/>
      <c r="E2" s="1"/>
      <c r="F2" s="1"/>
      <c r="G2" s="1"/>
      <c r="H2" s="1"/>
      <c r="I2" s="1"/>
      <c r="J2" s="1"/>
      <c r="K2" s="1"/>
      <c r="L2" s="1"/>
      <c r="M2" s="1"/>
      <c r="N2" s="1"/>
      <c r="O2" s="1"/>
      <c r="P2" s="1"/>
      <c r="Q2" s="1"/>
      <c r="R2" s="267" t="s">
        <v>0</v>
      </c>
      <c r="S2" s="268"/>
      <c r="T2" s="268"/>
      <c r="U2" s="268"/>
      <c r="V2" s="268"/>
      <c r="W2" s="268"/>
      <c r="X2" s="269"/>
      <c r="Y2" s="1"/>
      <c r="Z2" s="1"/>
      <c r="AA2" s="1"/>
      <c r="AB2" s="1"/>
      <c r="AC2" s="1"/>
      <c r="AD2" s="1"/>
      <c r="AE2" s="1"/>
      <c r="AF2" s="1"/>
      <c r="AG2" s="1"/>
      <c r="AH2" s="1"/>
      <c r="AI2" s="1"/>
      <c r="AJ2" s="1"/>
      <c r="AK2" s="1"/>
      <c r="AL2" s="1"/>
      <c r="AM2" s="1"/>
      <c r="AN2" s="1"/>
    </row>
    <row r="3" spans="1:40" x14ac:dyDescent="0.7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row>
    <row r="4" spans="1:40" x14ac:dyDescent="0.7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row>
    <row r="5" spans="1:40" x14ac:dyDescent="0.7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row>
    <row r="6" spans="1:40" x14ac:dyDescent="0.75">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row>
    <row r="7" spans="1:40" x14ac:dyDescent="0.75">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row>
    <row r="8" spans="1:40" x14ac:dyDescent="0.75">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row>
    <row r="9" spans="1:40" x14ac:dyDescent="0.75">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row>
    <row r="10" spans="1:40" x14ac:dyDescent="0.75">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row>
    <row r="11" spans="1:40" x14ac:dyDescent="0.75">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row>
    <row r="12" spans="1:40" x14ac:dyDescent="0.75">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row>
    <row r="13" spans="1:40" x14ac:dyDescent="0.75">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row>
    <row r="14" spans="1:40" x14ac:dyDescent="0.75">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row>
    <row r="15" spans="1:40" x14ac:dyDescent="0.7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row>
    <row r="16" spans="1:40" x14ac:dyDescent="0.7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row>
    <row r="17" spans="1:40" x14ac:dyDescent="0.7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row>
    <row r="18" spans="1:40" x14ac:dyDescent="0.7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row>
    <row r="19" spans="1:40" x14ac:dyDescent="0.7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row>
    <row r="20" spans="1:40" x14ac:dyDescent="0.7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row>
    <row r="21" spans="1:40" x14ac:dyDescent="0.75">
      <c r="A21" s="1"/>
      <c r="B21" s="1"/>
      <c r="C21" s="1"/>
      <c r="D21" s="1"/>
      <c r="E21" s="1"/>
      <c r="F21" s="1"/>
      <c r="G21" s="1"/>
      <c r="H21" s="1"/>
      <c r="I21" s="1"/>
      <c r="J21" s="1"/>
      <c r="K21" s="1"/>
      <c r="L21" s="1"/>
      <c r="M21" s="1"/>
      <c r="N21" s="1"/>
      <c r="O21" s="1"/>
      <c r="P21" s="1"/>
      <c r="Q21" s="1"/>
      <c r="R21" s="1"/>
      <c r="S21" s="1"/>
      <c r="T21" s="1"/>
      <c r="U21" s="1"/>
      <c r="V21" s="1"/>
      <c r="W21" s="1"/>
      <c r="X21" s="1"/>
      <c r="Y21" s="1"/>
      <c r="Z21" s="7"/>
      <c r="AA21" s="7"/>
      <c r="AB21" s="7"/>
      <c r="AC21" s="7"/>
      <c r="AD21" s="7"/>
      <c r="AE21" s="7"/>
      <c r="AF21" s="7"/>
      <c r="AG21" s="7"/>
      <c r="AH21" s="7"/>
      <c r="AI21" s="7"/>
      <c r="AJ21" s="7"/>
      <c r="AK21" s="7"/>
      <c r="AL21" s="7"/>
      <c r="AM21" s="7"/>
      <c r="AN21" s="7"/>
    </row>
    <row r="22" spans="1:40" ht="15.5" thickBot="1" x14ac:dyDescent="0.9">
      <c r="A22" s="1"/>
      <c r="B22" s="1"/>
      <c r="C22" s="1"/>
      <c r="D22" s="1"/>
      <c r="E22" s="1"/>
      <c r="F22" s="1"/>
      <c r="G22" s="1"/>
      <c r="H22" s="1"/>
      <c r="I22" s="1"/>
      <c r="J22" s="1"/>
      <c r="K22" s="1"/>
      <c r="L22" s="1"/>
      <c r="M22" s="1"/>
      <c r="N22" s="1"/>
      <c r="O22" s="1"/>
      <c r="P22" s="1"/>
      <c r="Q22" s="1"/>
      <c r="R22" s="1"/>
      <c r="S22" s="1"/>
      <c r="T22" s="1"/>
      <c r="U22" s="1"/>
      <c r="V22" s="1"/>
      <c r="W22" s="1"/>
      <c r="X22" s="1"/>
      <c r="Y22" s="7"/>
      <c r="Z22" s="7"/>
      <c r="AA22" s="7"/>
      <c r="AB22" s="7"/>
      <c r="AC22" s="7"/>
      <c r="AD22" s="7"/>
      <c r="AE22" s="7"/>
      <c r="AF22" s="7"/>
      <c r="AG22" s="7"/>
      <c r="AH22" s="7"/>
      <c r="AI22" s="7"/>
      <c r="AJ22" s="7"/>
      <c r="AK22" s="7"/>
      <c r="AL22" s="7"/>
      <c r="AM22" s="7"/>
      <c r="AN22" s="7"/>
    </row>
    <row r="23" spans="1:40" x14ac:dyDescent="0.75">
      <c r="A23" s="1"/>
      <c r="B23" s="1"/>
      <c r="C23" s="1"/>
      <c r="D23" s="1"/>
      <c r="E23" s="1"/>
      <c r="F23" s="1"/>
      <c r="G23" s="1"/>
      <c r="H23" s="1"/>
      <c r="I23" s="1"/>
      <c r="J23" s="1"/>
      <c r="K23" s="1"/>
      <c r="L23" s="1"/>
      <c r="M23" s="1"/>
      <c r="N23" s="1"/>
      <c r="O23" s="1"/>
      <c r="P23" s="181"/>
      <c r="Q23" s="182"/>
      <c r="R23" s="182"/>
      <c r="S23" s="182"/>
      <c r="T23" s="182"/>
      <c r="U23" s="182"/>
      <c r="V23" s="182"/>
      <c r="W23" s="182"/>
      <c r="X23" s="182"/>
      <c r="Y23" s="183"/>
      <c r="Z23" s="7"/>
      <c r="AA23" s="7"/>
      <c r="AB23" s="7"/>
      <c r="AC23" s="7"/>
      <c r="AD23" s="7"/>
      <c r="AE23" s="7"/>
      <c r="AF23" s="7"/>
      <c r="AG23" s="7"/>
      <c r="AH23" s="7"/>
      <c r="AI23" s="7"/>
      <c r="AJ23" s="7"/>
      <c r="AK23" s="7"/>
      <c r="AL23" s="7"/>
      <c r="AM23" s="7"/>
      <c r="AN23" s="7"/>
    </row>
    <row r="24" spans="1:40" ht="15.5" thickBot="1" x14ac:dyDescent="0.9">
      <c r="A24" s="1"/>
      <c r="B24" s="1"/>
      <c r="C24" s="1"/>
      <c r="D24" s="1"/>
      <c r="E24" s="1"/>
      <c r="F24" s="1"/>
      <c r="G24" s="1"/>
      <c r="H24" s="1"/>
      <c r="I24" s="1"/>
      <c r="J24" s="1"/>
      <c r="K24" s="1"/>
      <c r="L24" s="1"/>
      <c r="M24" s="1"/>
      <c r="N24" s="1"/>
      <c r="O24" s="1"/>
      <c r="P24" s="180"/>
      <c r="Q24" s="184"/>
      <c r="R24" s="184"/>
      <c r="S24" s="184"/>
      <c r="T24" s="184"/>
      <c r="U24" s="184"/>
      <c r="V24" s="184"/>
      <c r="W24" s="184"/>
      <c r="X24" s="184"/>
      <c r="Y24" s="185"/>
      <c r="Z24" s="7"/>
      <c r="AA24" s="7"/>
      <c r="AB24" s="7"/>
      <c r="AC24" s="7"/>
      <c r="AD24" s="7"/>
      <c r="AE24" s="7"/>
      <c r="AF24" s="7"/>
      <c r="AG24" s="7"/>
      <c r="AH24" s="7"/>
      <c r="AI24" s="7"/>
      <c r="AJ24" s="7"/>
      <c r="AK24" s="7"/>
      <c r="AL24" s="7"/>
      <c r="AM24" s="7"/>
      <c r="AN24" s="7"/>
    </row>
    <row r="25" spans="1:40" ht="29.75" thickBot="1" x14ac:dyDescent="0.9">
      <c r="A25" s="1"/>
      <c r="B25" s="1"/>
      <c r="C25" s="1"/>
      <c r="D25" s="1"/>
      <c r="E25" s="1"/>
      <c r="F25" s="1"/>
      <c r="G25" s="1"/>
      <c r="H25" s="1"/>
      <c r="I25" s="1"/>
      <c r="J25" s="1"/>
      <c r="K25" s="1"/>
      <c r="L25" s="1"/>
      <c r="M25" s="1"/>
      <c r="N25" s="1"/>
      <c r="O25" s="1"/>
      <c r="P25" s="180"/>
      <c r="Q25" s="184"/>
      <c r="R25" s="273" t="s">
        <v>233</v>
      </c>
      <c r="S25" s="274"/>
      <c r="T25" s="274"/>
      <c r="U25" s="274"/>
      <c r="V25" s="274"/>
      <c r="W25" s="275"/>
      <c r="X25" s="184"/>
      <c r="Y25" s="185"/>
      <c r="Z25" s="7"/>
      <c r="AA25" s="7"/>
      <c r="AB25" s="7"/>
      <c r="AC25" s="7"/>
      <c r="AD25" s="7"/>
      <c r="AE25" s="7"/>
      <c r="AF25" s="7"/>
      <c r="AG25" s="7"/>
      <c r="AH25" s="7"/>
      <c r="AI25" s="7"/>
      <c r="AJ25" s="7"/>
      <c r="AK25" s="7"/>
      <c r="AL25" s="7"/>
      <c r="AM25" s="7"/>
      <c r="AN25" s="7"/>
    </row>
    <row r="26" spans="1:40" x14ac:dyDescent="0.75">
      <c r="A26" s="1"/>
      <c r="B26" s="1"/>
      <c r="C26" s="1"/>
      <c r="D26" s="1"/>
      <c r="E26" s="1"/>
      <c r="F26" s="1"/>
      <c r="G26" s="1"/>
      <c r="H26" s="1"/>
      <c r="I26" s="1"/>
      <c r="J26" s="1"/>
      <c r="K26" s="1"/>
      <c r="L26" s="1"/>
      <c r="M26" s="1"/>
      <c r="N26" s="1"/>
      <c r="O26" s="1"/>
      <c r="P26" s="180"/>
      <c r="Q26" s="184"/>
      <c r="R26" s="184"/>
      <c r="S26" s="184"/>
      <c r="T26" s="184"/>
      <c r="U26" s="184"/>
      <c r="V26" s="184"/>
      <c r="W26" s="184"/>
      <c r="X26" s="184"/>
      <c r="Y26" s="185"/>
      <c r="Z26" s="1"/>
      <c r="AA26" s="1"/>
      <c r="AB26" s="1"/>
      <c r="AC26" s="1"/>
      <c r="AD26" s="1"/>
      <c r="AE26" s="1"/>
      <c r="AF26" s="1"/>
      <c r="AG26" s="1"/>
      <c r="AH26" s="1"/>
      <c r="AI26" s="1"/>
      <c r="AJ26" s="1"/>
      <c r="AK26" s="1"/>
      <c r="AL26" s="1"/>
      <c r="AM26" s="1"/>
      <c r="AN26" s="1"/>
    </row>
    <row r="27" spans="1:40" x14ac:dyDescent="0.75">
      <c r="A27" s="1"/>
      <c r="B27" s="1"/>
      <c r="C27" s="1"/>
      <c r="D27" s="1"/>
      <c r="E27" s="1"/>
      <c r="F27" s="1"/>
      <c r="G27" s="1"/>
      <c r="H27" s="1"/>
      <c r="I27" s="1"/>
      <c r="J27" s="1"/>
      <c r="K27" s="1"/>
      <c r="L27" s="1"/>
      <c r="M27" s="1"/>
      <c r="N27" s="1"/>
      <c r="O27" s="1"/>
      <c r="P27" s="180"/>
      <c r="Q27" s="184"/>
      <c r="R27" s="272" t="s">
        <v>240</v>
      </c>
      <c r="S27" s="272"/>
      <c r="T27" s="194">
        <f>Inputs!V15</f>
        <v>145.80000000000001</v>
      </c>
      <c r="U27" s="184" t="s">
        <v>11</v>
      </c>
      <c r="V27" s="193">
        <f>Inputs!$V$9/(T27*1000000)</f>
        <v>2.0561896982167354</v>
      </c>
      <c r="W27" s="190" t="s">
        <v>27</v>
      </c>
      <c r="X27" s="184"/>
      <c r="Y27" s="185"/>
      <c r="Z27" s="1"/>
      <c r="AA27" s="1"/>
      <c r="AB27" s="1"/>
      <c r="AC27" s="1"/>
      <c r="AD27" s="1"/>
      <c r="AE27" s="1"/>
      <c r="AF27" s="1"/>
      <c r="AG27" s="1"/>
      <c r="AH27" s="1"/>
      <c r="AI27" s="1"/>
      <c r="AJ27" s="1"/>
      <c r="AK27" s="1"/>
      <c r="AL27" s="1"/>
      <c r="AM27" s="1"/>
      <c r="AN27" s="1"/>
    </row>
    <row r="28" spans="1:40" x14ac:dyDescent="0.75">
      <c r="A28" s="1"/>
      <c r="B28" s="1"/>
      <c r="C28" s="1"/>
      <c r="D28" s="1"/>
      <c r="E28" s="1"/>
      <c r="F28" s="1"/>
      <c r="G28" s="1"/>
      <c r="H28" s="1"/>
      <c r="I28" s="1"/>
      <c r="J28" s="1"/>
      <c r="K28" s="1"/>
      <c r="L28" s="1"/>
      <c r="M28" s="1"/>
      <c r="N28" s="1"/>
      <c r="O28" s="1"/>
      <c r="P28" s="180"/>
      <c r="Q28" s="184"/>
      <c r="R28" s="272" t="s">
        <v>241</v>
      </c>
      <c r="S28" s="272"/>
      <c r="T28" s="194">
        <f>Inputs!V16</f>
        <v>437.30500000000001</v>
      </c>
      <c r="U28" s="184" t="s">
        <v>11</v>
      </c>
      <c r="V28" s="222">
        <f>Inputs!$V$9/(T28*1000000)</f>
        <v>0.68554546140565509</v>
      </c>
      <c r="W28" s="190" t="s">
        <v>27</v>
      </c>
      <c r="X28" s="184"/>
      <c r="Y28" s="185"/>
      <c r="Z28" s="1"/>
      <c r="AA28" s="1"/>
      <c r="AB28" s="1"/>
      <c r="AC28" s="1"/>
      <c r="AD28" s="1"/>
      <c r="AE28" s="1"/>
      <c r="AF28" s="1"/>
      <c r="AG28" s="1"/>
      <c r="AH28" s="1"/>
      <c r="AI28" s="1"/>
      <c r="AJ28" s="1"/>
      <c r="AK28" s="1"/>
      <c r="AL28" s="1"/>
      <c r="AM28" s="1"/>
      <c r="AN28" s="1"/>
    </row>
    <row r="29" spans="1:40" x14ac:dyDescent="0.75">
      <c r="A29" s="1"/>
      <c r="B29" s="1"/>
      <c r="C29" s="1"/>
      <c r="D29" s="1"/>
      <c r="E29" s="1"/>
      <c r="F29" s="1"/>
      <c r="G29" s="1"/>
      <c r="H29" s="1"/>
      <c r="I29" s="1"/>
      <c r="J29" s="1"/>
      <c r="K29" s="1"/>
      <c r="L29" s="1"/>
      <c r="M29" s="1"/>
      <c r="N29" s="1"/>
      <c r="O29" s="1"/>
      <c r="P29" s="180"/>
      <c r="Q29" s="184"/>
      <c r="R29" s="188"/>
      <c r="S29" s="188"/>
      <c r="T29" s="184"/>
      <c r="U29" s="188"/>
      <c r="V29" s="188"/>
      <c r="W29" s="188"/>
      <c r="X29" s="184"/>
      <c r="Y29" s="185"/>
      <c r="Z29" s="1"/>
      <c r="AA29" s="1"/>
      <c r="AB29" s="1"/>
      <c r="AC29" s="1"/>
      <c r="AD29" s="1"/>
      <c r="AE29" s="1"/>
      <c r="AF29" s="1"/>
      <c r="AG29" s="1"/>
      <c r="AH29" s="1"/>
      <c r="AI29" s="1"/>
      <c r="AJ29" s="1"/>
      <c r="AK29" s="1"/>
      <c r="AL29" s="1"/>
      <c r="AM29" s="1"/>
      <c r="AN29" s="1"/>
    </row>
    <row r="30" spans="1:40" x14ac:dyDescent="0.75">
      <c r="A30" s="1"/>
      <c r="B30" s="1"/>
      <c r="C30" s="1"/>
      <c r="D30" s="1"/>
      <c r="E30" s="1"/>
      <c r="F30" s="1"/>
      <c r="G30" s="1"/>
      <c r="H30" s="1"/>
      <c r="I30" s="1"/>
      <c r="J30" s="1"/>
      <c r="K30" s="1"/>
      <c r="L30" s="1"/>
      <c r="M30" s="1"/>
      <c r="N30" s="1"/>
      <c r="O30" s="1"/>
      <c r="P30" s="180"/>
      <c r="Q30" s="184"/>
      <c r="R30" s="272" t="s">
        <v>28</v>
      </c>
      <c r="S30" s="272"/>
      <c r="T30" s="193">
        <f>Inputs!V20</f>
        <v>408</v>
      </c>
      <c r="U30" s="184" t="s">
        <v>9</v>
      </c>
      <c r="V30" s="184"/>
      <c r="W30" s="184"/>
      <c r="X30" s="184"/>
      <c r="Y30" s="185"/>
      <c r="Z30" s="1"/>
      <c r="AA30" s="1"/>
      <c r="AB30" s="1"/>
      <c r="AC30" s="1"/>
      <c r="AD30" s="1"/>
      <c r="AE30" s="1"/>
      <c r="AF30" s="1"/>
      <c r="AG30" s="1"/>
      <c r="AH30" s="1"/>
      <c r="AI30" s="1"/>
      <c r="AJ30" s="1"/>
      <c r="AK30" s="1"/>
      <c r="AL30" s="1"/>
      <c r="AM30" s="1"/>
      <c r="AN30" s="1"/>
    </row>
    <row r="31" spans="1:40" x14ac:dyDescent="0.75">
      <c r="A31" s="1"/>
      <c r="B31" s="1"/>
      <c r="C31" s="1"/>
      <c r="D31" s="1"/>
      <c r="E31" s="1"/>
      <c r="F31" s="1"/>
      <c r="G31" s="1"/>
      <c r="H31" s="1"/>
      <c r="I31" s="1"/>
      <c r="J31" s="1"/>
      <c r="K31" s="1"/>
      <c r="L31" s="1"/>
      <c r="M31" s="1"/>
      <c r="N31" s="1"/>
      <c r="O31" s="1"/>
      <c r="P31" s="180"/>
      <c r="Q31" s="184"/>
      <c r="R31" s="272" t="s">
        <v>29</v>
      </c>
      <c r="S31" s="272"/>
      <c r="T31" s="194">
        <f>Inputs!V11</f>
        <v>6378.17</v>
      </c>
      <c r="U31" s="184" t="s">
        <v>9</v>
      </c>
      <c r="V31" s="184"/>
      <c r="W31" s="184"/>
      <c r="X31" s="184"/>
      <c r="Y31" s="185"/>
      <c r="Z31" s="1"/>
      <c r="AA31" s="1"/>
      <c r="AB31" s="1"/>
      <c r="AC31" s="1"/>
      <c r="AD31" s="1"/>
      <c r="AE31" s="1"/>
      <c r="AF31" s="1"/>
      <c r="AG31" s="1"/>
      <c r="AH31" s="1"/>
      <c r="AI31" s="1"/>
      <c r="AJ31" s="1"/>
      <c r="AK31" s="1"/>
      <c r="AL31" s="1"/>
      <c r="AM31" s="1"/>
      <c r="AN31" s="1"/>
    </row>
    <row r="32" spans="1:40" x14ac:dyDescent="0.75">
      <c r="A32" s="1"/>
      <c r="B32" s="1"/>
      <c r="C32" s="1"/>
      <c r="D32" s="1"/>
      <c r="E32" s="1"/>
      <c r="F32" s="1"/>
      <c r="G32" s="1"/>
      <c r="H32" s="1"/>
      <c r="I32" s="1"/>
      <c r="J32" s="1"/>
      <c r="K32" s="1"/>
      <c r="L32" s="1"/>
      <c r="M32" s="1"/>
      <c r="N32" s="1"/>
      <c r="O32" s="1"/>
      <c r="P32" s="180"/>
      <c r="Q32" s="184"/>
      <c r="R32" s="272" t="s">
        <v>30</v>
      </c>
      <c r="S32" s="272"/>
      <c r="T32" s="193">
        <f>Inputs!V30</f>
        <v>5</v>
      </c>
      <c r="U32" s="184" t="s">
        <v>24</v>
      </c>
      <c r="V32" s="184"/>
      <c r="W32" s="184"/>
      <c r="X32" s="184"/>
      <c r="Y32" s="185"/>
      <c r="Z32" s="1"/>
      <c r="AA32" s="1"/>
      <c r="AB32" s="1"/>
      <c r="AC32" s="1"/>
      <c r="AD32" s="1"/>
      <c r="AE32" s="1"/>
      <c r="AF32" s="1"/>
      <c r="AG32" s="1"/>
      <c r="AH32" s="1"/>
      <c r="AI32" s="1"/>
      <c r="AJ32" s="1"/>
      <c r="AK32" s="1"/>
      <c r="AL32" s="1"/>
      <c r="AM32" s="1"/>
      <c r="AN32" s="1"/>
    </row>
    <row r="33" spans="1:40" x14ac:dyDescent="0.75">
      <c r="A33" s="1"/>
      <c r="B33" s="1"/>
      <c r="C33" s="1"/>
      <c r="D33" s="1"/>
      <c r="E33" s="1"/>
      <c r="F33" s="1"/>
      <c r="G33" s="1"/>
      <c r="H33" s="1"/>
      <c r="I33" s="1"/>
      <c r="J33" s="1"/>
      <c r="K33" s="1"/>
      <c r="L33" s="1"/>
      <c r="M33" s="1"/>
      <c r="N33" s="1"/>
      <c r="O33" s="1"/>
      <c r="P33" s="180"/>
      <c r="Q33" s="184"/>
      <c r="R33" s="272" t="s">
        <v>31</v>
      </c>
      <c r="S33" s="272"/>
      <c r="T33" s="193">
        <f>T31*((SQRT((POWER(T31+T30,2)/POWER(T31,2))-POWER(COS(RADIANS(T32)),2)))-SIN(RADIANS(T32)))</f>
        <v>1827.3953936671705</v>
      </c>
      <c r="U33" s="184" t="s">
        <v>9</v>
      </c>
      <c r="V33" s="184"/>
      <c r="W33" s="184"/>
      <c r="X33" s="184"/>
      <c r="Y33" s="185"/>
      <c r="Z33" s="1"/>
      <c r="AA33" s="1"/>
      <c r="AB33" s="1"/>
      <c r="AC33" s="1"/>
      <c r="AD33" s="1"/>
      <c r="AE33" s="1"/>
      <c r="AF33" s="1"/>
      <c r="AG33" s="1"/>
      <c r="AH33" s="1"/>
      <c r="AI33" s="1"/>
      <c r="AJ33" s="1"/>
      <c r="AK33" s="1"/>
      <c r="AL33" s="1"/>
      <c r="AM33" s="1"/>
      <c r="AN33" s="1"/>
    </row>
    <row r="34" spans="1:40" x14ac:dyDescent="0.75">
      <c r="A34" s="1"/>
      <c r="B34" s="1"/>
      <c r="C34" s="1"/>
      <c r="D34" s="1"/>
      <c r="E34" s="1"/>
      <c r="F34" s="1"/>
      <c r="G34" s="1"/>
      <c r="H34" s="1"/>
      <c r="I34" s="1"/>
      <c r="J34" s="1"/>
      <c r="K34" s="1"/>
      <c r="L34" s="1"/>
      <c r="M34" s="1"/>
      <c r="N34" s="1"/>
      <c r="O34" s="1"/>
      <c r="P34" s="180"/>
      <c r="Q34" s="184"/>
      <c r="R34" s="184"/>
      <c r="S34" s="184"/>
      <c r="T34" s="184"/>
      <c r="U34" s="184"/>
      <c r="V34" s="184"/>
      <c r="W34" s="184"/>
      <c r="X34" s="184"/>
      <c r="Y34" s="185"/>
      <c r="Z34" s="1"/>
      <c r="AA34" s="1"/>
      <c r="AB34" s="1"/>
      <c r="AC34" s="1"/>
      <c r="AD34" s="1"/>
      <c r="AE34" s="1"/>
      <c r="AF34" s="1"/>
      <c r="AG34" s="1"/>
      <c r="AH34" s="1"/>
      <c r="AI34" s="1"/>
      <c r="AJ34" s="1"/>
      <c r="AK34" s="1"/>
      <c r="AL34" s="1"/>
      <c r="AM34" s="1"/>
      <c r="AN34" s="1"/>
    </row>
    <row r="35" spans="1:40" x14ac:dyDescent="0.75">
      <c r="A35" s="1"/>
      <c r="B35" s="1"/>
      <c r="C35" s="1"/>
      <c r="D35" s="1"/>
      <c r="E35" s="1"/>
      <c r="F35" s="1"/>
      <c r="G35" s="1"/>
      <c r="H35" s="1"/>
      <c r="I35" s="1"/>
      <c r="J35" s="1"/>
      <c r="K35" s="1"/>
      <c r="L35" s="1"/>
      <c r="M35" s="1"/>
      <c r="N35" s="1"/>
      <c r="O35" s="1"/>
      <c r="P35" s="180"/>
      <c r="Q35" s="184"/>
      <c r="R35" s="272" t="s">
        <v>32</v>
      </c>
      <c r="S35" s="272"/>
      <c r="T35" s="193">
        <f>20*LOG10((4*PI()*$T$33*T27*1000000000)/Inputs!$V$9)</f>
        <v>140.95958421846103</v>
      </c>
      <c r="U35" s="184" t="s">
        <v>33</v>
      </c>
      <c r="V35" s="184"/>
      <c r="W35" s="184"/>
      <c r="X35" s="184"/>
      <c r="Y35" s="185"/>
      <c r="Z35" s="1"/>
      <c r="AA35" s="1"/>
      <c r="AB35" s="1"/>
      <c r="AC35" s="1"/>
      <c r="AD35" s="1"/>
      <c r="AE35" s="1"/>
      <c r="AF35" s="1"/>
      <c r="AG35" s="1"/>
      <c r="AH35" s="1"/>
      <c r="AI35" s="1"/>
      <c r="AJ35" s="1"/>
      <c r="AK35" s="1"/>
      <c r="AL35" s="1"/>
      <c r="AM35" s="1"/>
      <c r="AN35" s="1"/>
    </row>
    <row r="36" spans="1:40" x14ac:dyDescent="0.75">
      <c r="A36" s="1"/>
      <c r="B36" s="1"/>
      <c r="C36" s="1"/>
      <c r="D36" s="1"/>
      <c r="E36" s="1"/>
      <c r="F36" s="1"/>
      <c r="G36" s="1"/>
      <c r="H36" s="1"/>
      <c r="I36" s="1"/>
      <c r="J36" s="1"/>
      <c r="K36" s="1"/>
      <c r="L36" s="1"/>
      <c r="M36" s="1"/>
      <c r="N36" s="1"/>
      <c r="O36" s="1"/>
      <c r="P36" s="180"/>
      <c r="Q36" s="184"/>
      <c r="R36" s="272" t="s">
        <v>34</v>
      </c>
      <c r="S36" s="272"/>
      <c r="T36" s="222">
        <f>20*LOG10((4*PI()*$T$33*T28*1000000000)/Inputs!$V$9)</f>
        <v>150.50012259786155</v>
      </c>
      <c r="U36" s="184" t="s">
        <v>33</v>
      </c>
      <c r="V36" s="184"/>
      <c r="W36" s="184"/>
      <c r="X36" s="184"/>
      <c r="Y36" s="185"/>
      <c r="Z36" s="1"/>
      <c r="AA36" s="1"/>
      <c r="AB36" s="1"/>
      <c r="AC36" s="1"/>
      <c r="AD36" s="1"/>
      <c r="AE36" s="1"/>
      <c r="AF36" s="1"/>
      <c r="AG36" s="1"/>
      <c r="AH36" s="1"/>
      <c r="AI36" s="1"/>
      <c r="AJ36" s="1"/>
      <c r="AK36" s="1"/>
      <c r="AL36" s="1"/>
      <c r="AM36" s="1"/>
      <c r="AN36" s="1"/>
    </row>
    <row r="37" spans="1:40" x14ac:dyDescent="0.75">
      <c r="A37" s="1"/>
      <c r="B37" s="1"/>
      <c r="C37" s="1"/>
      <c r="D37" s="1"/>
      <c r="E37" s="1"/>
      <c r="F37" s="1"/>
      <c r="G37" s="1"/>
      <c r="H37" s="1"/>
      <c r="I37" s="1"/>
      <c r="J37" s="1"/>
      <c r="K37" s="1"/>
      <c r="L37" s="1"/>
      <c r="M37" s="1"/>
      <c r="N37" s="1"/>
      <c r="O37" s="1"/>
      <c r="P37" s="180"/>
      <c r="Q37" s="184"/>
      <c r="R37" s="184"/>
      <c r="S37" s="184"/>
      <c r="T37" s="184"/>
      <c r="U37" s="184"/>
      <c r="V37" s="184"/>
      <c r="W37" s="184"/>
      <c r="X37" s="184"/>
      <c r="Y37" s="185"/>
      <c r="Z37" s="1"/>
      <c r="AA37" s="1"/>
      <c r="AB37" s="1"/>
      <c r="AC37" s="1"/>
      <c r="AD37" s="1"/>
      <c r="AE37" s="1"/>
      <c r="AF37" s="1"/>
      <c r="AG37" s="1"/>
      <c r="AH37" s="1"/>
      <c r="AI37" s="1"/>
      <c r="AJ37" s="1"/>
      <c r="AK37" s="1"/>
      <c r="AL37" s="1"/>
      <c r="AM37" s="1"/>
      <c r="AN37" s="1"/>
    </row>
    <row r="38" spans="1:40" ht="15.5" thickBot="1" x14ac:dyDescent="0.9">
      <c r="A38" s="1"/>
      <c r="B38" s="1"/>
      <c r="C38" s="1"/>
      <c r="D38" s="1"/>
      <c r="E38" s="1"/>
      <c r="F38" s="1"/>
      <c r="G38" s="1"/>
      <c r="H38" s="1"/>
      <c r="I38" s="1"/>
      <c r="J38" s="1"/>
      <c r="K38" s="1"/>
      <c r="L38" s="1"/>
      <c r="M38" s="1"/>
      <c r="N38" s="1"/>
      <c r="O38" s="1"/>
      <c r="P38" s="186"/>
      <c r="Q38" s="187"/>
      <c r="R38" s="187"/>
      <c r="S38" s="187"/>
      <c r="T38" s="187"/>
      <c r="U38" s="187"/>
      <c r="V38" s="187"/>
      <c r="W38" s="187"/>
      <c r="X38" s="187"/>
      <c r="Y38" s="189"/>
      <c r="Z38" s="1"/>
      <c r="AA38" s="1"/>
      <c r="AB38" s="1"/>
      <c r="AC38" s="1"/>
      <c r="AD38" s="1"/>
      <c r="AE38" s="1"/>
      <c r="AF38" s="1"/>
      <c r="AG38" s="1"/>
      <c r="AH38" s="1"/>
      <c r="AI38" s="1"/>
      <c r="AJ38" s="1"/>
      <c r="AK38" s="1"/>
      <c r="AL38" s="1"/>
      <c r="AM38" s="1"/>
      <c r="AN38" s="1"/>
    </row>
    <row r="39" spans="1:40" x14ac:dyDescent="0.7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row>
    <row r="40" spans="1:40" x14ac:dyDescent="0.7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row>
  </sheetData>
  <mergeCells count="10">
    <mergeCell ref="R32:S32"/>
    <mergeCell ref="R33:S33"/>
    <mergeCell ref="R35:S35"/>
    <mergeCell ref="R36:S36"/>
    <mergeCell ref="R2:X2"/>
    <mergeCell ref="R25:W25"/>
    <mergeCell ref="R27:S27"/>
    <mergeCell ref="R28:S28"/>
    <mergeCell ref="R30:S30"/>
    <mergeCell ref="R31:S3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0579C-FD0A-4F44-B032-77D1E48B7E23}">
  <sheetPr>
    <tabColor rgb="FFE1CDFF"/>
  </sheetPr>
  <dimension ref="A1:AQ68"/>
  <sheetViews>
    <sheetView topLeftCell="A34" zoomScale="70" zoomScaleNormal="70" workbookViewId="0">
      <selection activeCell="T55" sqref="T55"/>
    </sheetView>
  </sheetViews>
  <sheetFormatPr defaultColWidth="0" defaultRowHeight="14.75" customHeight="1" zeroHeight="1" x14ac:dyDescent="0.75"/>
  <cols>
    <col min="1" max="17" width="3.2265625" customWidth="1"/>
    <col min="18" max="21" width="10.453125" customWidth="1"/>
    <col min="22" max="26" width="8.7265625" customWidth="1"/>
    <col min="27" max="43" width="3.2265625" customWidth="1"/>
    <col min="44" max="16384" width="8.7265625" hidden="1"/>
  </cols>
  <sheetData>
    <row r="1" spans="1:43" s="1" customFormat="1" ht="14.75" customHeight="1" thickBot="1" x14ac:dyDescent="0.9">
      <c r="U1" s="2"/>
    </row>
    <row r="2" spans="1:43" s="1" customFormat="1" ht="14.75" customHeight="1" thickBot="1" x14ac:dyDescent="0.9">
      <c r="A2" s="7"/>
      <c r="B2" s="7"/>
      <c r="C2" s="7"/>
      <c r="D2" s="7"/>
      <c r="E2" s="7"/>
      <c r="F2" s="7"/>
      <c r="G2" s="7"/>
      <c r="H2" s="7"/>
      <c r="I2" s="7"/>
      <c r="J2" s="7"/>
      <c r="K2" s="7"/>
      <c r="L2" s="7"/>
      <c r="M2" s="7"/>
      <c r="N2" s="7"/>
      <c r="O2" s="7"/>
      <c r="P2" s="7"/>
      <c r="Q2" s="7"/>
      <c r="R2" s="267" t="s">
        <v>0</v>
      </c>
      <c r="S2" s="268"/>
      <c r="T2" s="268"/>
      <c r="U2" s="268"/>
      <c r="V2" s="268"/>
      <c r="W2" s="268"/>
      <c r="X2" s="268"/>
      <c r="Y2" s="268"/>
      <c r="Z2" s="269"/>
      <c r="AA2" s="7"/>
      <c r="AB2" s="7"/>
      <c r="AC2" s="7"/>
      <c r="AD2" s="7"/>
      <c r="AE2" s="7"/>
      <c r="AF2" s="7"/>
      <c r="AG2" s="7"/>
      <c r="AH2" s="7"/>
      <c r="AI2" s="7"/>
      <c r="AJ2" s="7"/>
      <c r="AK2" s="7"/>
      <c r="AL2" s="7"/>
      <c r="AM2" s="7"/>
      <c r="AN2" s="7"/>
      <c r="AO2" s="7"/>
      <c r="AP2" s="7"/>
      <c r="AQ2" s="7"/>
    </row>
    <row r="3" spans="1:43" ht="15.5" thickBot="1" x14ac:dyDescent="0.9">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row>
    <row r="4" spans="1:43" x14ac:dyDescent="0.75">
      <c r="A4" s="1"/>
      <c r="B4" s="1"/>
      <c r="C4" s="1"/>
      <c r="D4" s="1"/>
      <c r="E4" s="1"/>
      <c r="F4" s="1"/>
      <c r="G4" s="1"/>
      <c r="H4" s="1"/>
      <c r="I4" s="1"/>
      <c r="J4" s="1"/>
      <c r="K4" s="1"/>
      <c r="L4" s="1"/>
      <c r="M4" s="1"/>
      <c r="N4" s="1"/>
      <c r="O4" s="1"/>
      <c r="P4" s="28"/>
      <c r="Q4" s="29"/>
      <c r="R4" s="29"/>
      <c r="S4" s="29"/>
      <c r="T4" s="29"/>
      <c r="U4" s="29"/>
      <c r="V4" s="29"/>
      <c r="W4" s="29"/>
      <c r="X4" s="29"/>
      <c r="Y4" s="29"/>
      <c r="Z4" s="29"/>
      <c r="AA4" s="29"/>
      <c r="AB4" s="30"/>
      <c r="AC4" s="31"/>
      <c r="AD4" s="7"/>
      <c r="AE4" s="7"/>
      <c r="AF4" s="7"/>
      <c r="AG4" s="7"/>
      <c r="AH4" s="7"/>
      <c r="AI4" s="7"/>
      <c r="AJ4" s="7"/>
      <c r="AK4" s="7"/>
      <c r="AL4" s="7"/>
      <c r="AM4" s="7"/>
      <c r="AN4" s="7"/>
      <c r="AO4" s="7"/>
      <c r="AP4" s="7"/>
      <c r="AQ4" s="7"/>
    </row>
    <row r="5" spans="1:43" ht="15.5" thickBot="1" x14ac:dyDescent="0.9">
      <c r="A5" s="1"/>
      <c r="B5" s="1"/>
      <c r="C5" s="1"/>
      <c r="D5" s="1"/>
      <c r="E5" s="1"/>
      <c r="F5" s="1"/>
      <c r="G5" s="1"/>
      <c r="H5" s="1"/>
      <c r="I5" s="1"/>
      <c r="J5" s="1"/>
      <c r="K5" s="1"/>
      <c r="L5" s="1"/>
      <c r="M5" s="1"/>
      <c r="N5" s="1"/>
      <c r="O5" s="1"/>
      <c r="P5" s="32"/>
      <c r="Q5" s="33"/>
      <c r="R5" s="33"/>
      <c r="S5" s="33"/>
      <c r="T5" s="33"/>
      <c r="U5" s="33"/>
      <c r="V5" s="33"/>
      <c r="W5" s="33"/>
      <c r="X5" s="33"/>
      <c r="Y5" s="33"/>
      <c r="Z5" s="33"/>
      <c r="AA5" s="33"/>
      <c r="AB5" s="34"/>
      <c r="AC5" s="31"/>
      <c r="AD5" s="7"/>
      <c r="AE5" s="7"/>
      <c r="AF5" s="7"/>
      <c r="AG5" s="7"/>
      <c r="AH5" s="7"/>
      <c r="AI5" s="7"/>
      <c r="AJ5" s="7"/>
      <c r="AK5" s="7"/>
      <c r="AL5" s="7"/>
      <c r="AM5" s="7"/>
      <c r="AN5" s="7"/>
      <c r="AO5" s="7"/>
      <c r="AP5" s="7"/>
      <c r="AQ5" s="7"/>
    </row>
    <row r="6" spans="1:43" ht="31" thickBot="1" x14ac:dyDescent="0.9">
      <c r="A6" s="1"/>
      <c r="B6" s="1"/>
      <c r="C6" s="1"/>
      <c r="D6" s="1"/>
      <c r="E6" s="1"/>
      <c r="F6" s="1"/>
      <c r="G6" s="1"/>
      <c r="H6" s="1"/>
      <c r="I6" s="1"/>
      <c r="J6" s="1"/>
      <c r="K6" s="1"/>
      <c r="L6" s="1"/>
      <c r="M6" s="1"/>
      <c r="N6" s="1"/>
      <c r="O6" s="1"/>
      <c r="P6" s="32"/>
      <c r="Q6" s="33"/>
      <c r="R6" s="263" t="s">
        <v>35</v>
      </c>
      <c r="S6" s="264"/>
      <c r="T6" s="264"/>
      <c r="U6" s="264"/>
      <c r="V6" s="264"/>
      <c r="W6" s="264"/>
      <c r="X6" s="264"/>
      <c r="Y6" s="264"/>
      <c r="Z6" s="265"/>
      <c r="AA6" s="33"/>
      <c r="AB6" s="34"/>
      <c r="AC6" s="31"/>
      <c r="AD6" s="7"/>
      <c r="AE6" s="7"/>
      <c r="AF6" s="7"/>
      <c r="AG6" s="7"/>
      <c r="AH6" s="7"/>
      <c r="AI6" s="7"/>
      <c r="AJ6" s="7"/>
      <c r="AK6" s="7"/>
      <c r="AL6" s="7"/>
      <c r="AM6" s="7"/>
      <c r="AN6" s="7"/>
      <c r="AO6" s="7"/>
      <c r="AP6" s="7"/>
      <c r="AQ6" s="7"/>
    </row>
    <row r="7" spans="1:43" x14ac:dyDescent="0.75">
      <c r="A7" s="1"/>
      <c r="B7" s="1"/>
      <c r="C7" s="1"/>
      <c r="D7" s="1"/>
      <c r="E7" s="1"/>
      <c r="F7" s="1"/>
      <c r="G7" s="1"/>
      <c r="H7" s="1"/>
      <c r="I7" s="1"/>
      <c r="J7" s="1"/>
      <c r="K7" s="1"/>
      <c r="L7" s="1"/>
      <c r="M7" s="1"/>
      <c r="N7" s="1"/>
      <c r="O7" s="1"/>
      <c r="P7" s="32"/>
      <c r="Q7" s="33"/>
      <c r="R7" s="33"/>
      <c r="S7" s="33"/>
      <c r="T7" s="33"/>
      <c r="U7" s="33"/>
      <c r="V7" s="33"/>
      <c r="W7" s="33"/>
      <c r="X7" s="33"/>
      <c r="Y7" s="33"/>
      <c r="Z7" s="33"/>
      <c r="AA7" s="33"/>
      <c r="AB7" s="34"/>
      <c r="AC7" s="31"/>
      <c r="AD7" s="7"/>
      <c r="AE7" s="7"/>
      <c r="AF7" s="7"/>
      <c r="AG7" s="7"/>
      <c r="AH7" s="7"/>
      <c r="AI7" s="7"/>
      <c r="AJ7" s="7"/>
      <c r="AK7" s="7"/>
      <c r="AL7" s="7"/>
      <c r="AM7" s="7"/>
      <c r="AN7" s="7"/>
      <c r="AO7" s="7"/>
      <c r="AP7" s="7"/>
      <c r="AQ7" s="7"/>
    </row>
    <row r="8" spans="1:43" x14ac:dyDescent="0.75">
      <c r="A8" s="1"/>
      <c r="B8" s="1"/>
      <c r="C8" s="1"/>
      <c r="D8" s="1"/>
      <c r="E8" s="1"/>
      <c r="F8" s="1"/>
      <c r="G8" s="1"/>
      <c r="H8" s="1"/>
      <c r="I8" s="1"/>
      <c r="J8" s="1"/>
      <c r="K8" s="1"/>
      <c r="L8" s="1"/>
      <c r="M8" s="1"/>
      <c r="N8" s="1"/>
      <c r="O8" s="1"/>
      <c r="P8" s="32"/>
      <c r="Q8" s="33"/>
      <c r="R8" s="33"/>
      <c r="S8" s="33"/>
      <c r="T8" s="33"/>
      <c r="U8" s="33"/>
      <c r="V8" s="33"/>
      <c r="W8" s="33"/>
      <c r="X8" s="33"/>
      <c r="Y8" s="33"/>
      <c r="Z8" s="33"/>
      <c r="AA8" s="33"/>
      <c r="AB8" s="34"/>
      <c r="AC8" s="31"/>
      <c r="AD8" s="7"/>
      <c r="AE8" s="7"/>
      <c r="AF8" s="7"/>
      <c r="AG8" s="7"/>
      <c r="AH8" s="7"/>
      <c r="AI8" s="7"/>
      <c r="AJ8" s="7"/>
      <c r="AK8" s="7"/>
      <c r="AL8" s="7"/>
      <c r="AM8" s="7"/>
      <c r="AN8" s="7"/>
      <c r="AO8" s="7"/>
      <c r="AP8" s="7"/>
      <c r="AQ8" s="7"/>
    </row>
    <row r="9" spans="1:43" x14ac:dyDescent="0.75">
      <c r="A9" s="1"/>
      <c r="B9" s="1"/>
      <c r="C9" s="1"/>
      <c r="D9" s="1"/>
      <c r="E9" s="1"/>
      <c r="F9" s="1"/>
      <c r="G9" s="1"/>
      <c r="H9" s="1"/>
      <c r="I9" s="1"/>
      <c r="J9" s="1"/>
      <c r="K9" s="1"/>
      <c r="L9" s="1"/>
      <c r="M9" s="1"/>
      <c r="N9" s="1"/>
      <c r="O9" s="1"/>
      <c r="P9" s="32"/>
      <c r="Q9" s="33"/>
      <c r="R9" s="33"/>
      <c r="S9" s="33"/>
      <c r="T9" s="33"/>
      <c r="U9" s="33"/>
      <c r="V9" s="33"/>
      <c r="W9" s="33"/>
      <c r="X9" s="33"/>
      <c r="Y9" s="33"/>
      <c r="Z9" s="33"/>
      <c r="AA9" s="33"/>
      <c r="AB9" s="34"/>
      <c r="AC9" s="31"/>
      <c r="AD9" s="7"/>
      <c r="AE9" s="7"/>
      <c r="AF9" s="7"/>
      <c r="AG9" s="7"/>
      <c r="AH9" s="7"/>
      <c r="AI9" s="7"/>
      <c r="AJ9" s="7"/>
      <c r="AK9" s="7"/>
      <c r="AL9" s="7"/>
      <c r="AM9" s="7"/>
      <c r="AN9" s="7"/>
      <c r="AO9" s="7"/>
      <c r="AP9" s="7"/>
      <c r="AQ9" s="7"/>
    </row>
    <row r="10" spans="1:43" x14ac:dyDescent="0.75">
      <c r="A10" s="1"/>
      <c r="B10" s="1"/>
      <c r="C10" s="1"/>
      <c r="D10" s="1"/>
      <c r="E10" s="1"/>
      <c r="F10" s="1"/>
      <c r="G10" s="1"/>
      <c r="H10" s="1"/>
      <c r="I10" s="1"/>
      <c r="J10" s="1"/>
      <c r="K10" s="1"/>
      <c r="L10" s="1"/>
      <c r="M10" s="1"/>
      <c r="N10" s="1"/>
      <c r="O10" s="1"/>
      <c r="P10" s="32"/>
      <c r="Q10" s="33"/>
      <c r="R10" s="33"/>
      <c r="S10" s="33"/>
      <c r="T10" s="33"/>
      <c r="U10" s="33"/>
      <c r="V10" s="33"/>
      <c r="W10" s="33"/>
      <c r="X10" s="33"/>
      <c r="Y10" s="33"/>
      <c r="Z10" s="33"/>
      <c r="AA10" s="33"/>
      <c r="AB10" s="34"/>
      <c r="AC10" s="31"/>
      <c r="AD10" s="7"/>
      <c r="AE10" s="7"/>
      <c r="AF10" s="7"/>
      <c r="AG10" s="7"/>
      <c r="AH10" s="7"/>
      <c r="AI10" s="7"/>
      <c r="AJ10" s="7"/>
      <c r="AK10" s="7"/>
      <c r="AL10" s="7"/>
      <c r="AM10" s="7"/>
      <c r="AN10" s="7"/>
      <c r="AO10" s="7"/>
      <c r="AP10" s="7"/>
      <c r="AQ10" s="7"/>
    </row>
    <row r="11" spans="1:43" x14ac:dyDescent="0.75">
      <c r="A11" s="1"/>
      <c r="B11" s="1"/>
      <c r="C11" s="1"/>
      <c r="D11" s="1"/>
      <c r="E11" s="1"/>
      <c r="F11" s="1"/>
      <c r="G11" s="1"/>
      <c r="H11" s="1"/>
      <c r="I11" s="1"/>
      <c r="J11" s="1"/>
      <c r="K11" s="1"/>
      <c r="L11" s="1"/>
      <c r="M11" s="1"/>
      <c r="N11" s="1"/>
      <c r="O11" s="1"/>
      <c r="P11" s="32"/>
      <c r="Q11" s="33"/>
      <c r="R11" s="33"/>
      <c r="S11" s="33"/>
      <c r="T11" s="33"/>
      <c r="U11" s="33"/>
      <c r="V11" s="33"/>
      <c r="W11" s="33"/>
      <c r="X11" s="33"/>
      <c r="Y11" s="33"/>
      <c r="Z11" s="33"/>
      <c r="AA11" s="33"/>
      <c r="AB11" s="34"/>
      <c r="AC11" s="31"/>
      <c r="AD11" s="7"/>
      <c r="AE11" s="7"/>
      <c r="AF11" s="7"/>
      <c r="AG11" s="7"/>
      <c r="AH11" s="7"/>
      <c r="AI11" s="7"/>
      <c r="AJ11" s="7"/>
      <c r="AK11" s="7"/>
      <c r="AL11" s="7"/>
      <c r="AM11" s="7"/>
      <c r="AN11" s="7"/>
      <c r="AO11" s="7"/>
      <c r="AP11" s="7"/>
      <c r="AQ11" s="7"/>
    </row>
    <row r="12" spans="1:43" x14ac:dyDescent="0.75">
      <c r="A12" s="1"/>
      <c r="B12" s="1"/>
      <c r="C12" s="1"/>
      <c r="D12" s="1"/>
      <c r="E12" s="1"/>
      <c r="F12" s="1"/>
      <c r="G12" s="1"/>
      <c r="H12" s="1"/>
      <c r="I12" s="1"/>
      <c r="J12" s="1"/>
      <c r="K12" s="1"/>
      <c r="L12" s="1"/>
      <c r="M12" s="1"/>
      <c r="N12" s="1"/>
      <c r="O12" s="1"/>
      <c r="P12" s="32"/>
      <c r="Q12" s="33"/>
      <c r="R12" s="33"/>
      <c r="S12" s="33"/>
      <c r="T12" s="33"/>
      <c r="U12" s="33"/>
      <c r="V12" s="33"/>
      <c r="W12" s="33"/>
      <c r="X12" s="33"/>
      <c r="Y12" s="33"/>
      <c r="Z12" s="33"/>
      <c r="AA12" s="33"/>
      <c r="AB12" s="34"/>
      <c r="AC12" s="31"/>
      <c r="AD12" s="7"/>
      <c r="AE12" s="7"/>
      <c r="AF12" s="7"/>
      <c r="AG12" s="7"/>
      <c r="AH12" s="7"/>
      <c r="AI12" s="7"/>
      <c r="AJ12" s="7"/>
      <c r="AK12" s="7"/>
      <c r="AL12" s="7"/>
      <c r="AM12" s="7"/>
      <c r="AN12" s="7"/>
      <c r="AO12" s="7"/>
      <c r="AP12" s="7"/>
      <c r="AQ12" s="7"/>
    </row>
    <row r="13" spans="1:43" x14ac:dyDescent="0.75">
      <c r="A13" s="1"/>
      <c r="B13" s="1"/>
      <c r="C13" s="1"/>
      <c r="D13" s="1"/>
      <c r="E13" s="1"/>
      <c r="F13" s="1"/>
      <c r="G13" s="1"/>
      <c r="H13" s="1"/>
      <c r="I13" s="1"/>
      <c r="J13" s="1"/>
      <c r="K13" s="1"/>
      <c r="L13" s="1"/>
      <c r="M13" s="1"/>
      <c r="N13" s="1"/>
      <c r="O13" s="1"/>
      <c r="P13" s="32"/>
      <c r="Q13" s="33"/>
      <c r="R13" s="33"/>
      <c r="S13" s="33"/>
      <c r="T13" s="33"/>
      <c r="U13" s="33"/>
      <c r="V13" s="33"/>
      <c r="W13" s="33"/>
      <c r="X13" s="33"/>
      <c r="Y13" s="33"/>
      <c r="Z13" s="33"/>
      <c r="AA13" s="33"/>
      <c r="AB13" s="34"/>
      <c r="AC13" s="31"/>
      <c r="AD13" s="7"/>
      <c r="AE13" s="7"/>
      <c r="AF13" s="7"/>
      <c r="AG13" s="7"/>
      <c r="AH13" s="7"/>
      <c r="AI13" s="7"/>
      <c r="AJ13" s="7"/>
      <c r="AK13" s="7"/>
      <c r="AL13" s="7"/>
      <c r="AM13" s="7"/>
      <c r="AN13" s="7"/>
      <c r="AO13" s="7"/>
      <c r="AP13" s="7"/>
      <c r="AQ13" s="7"/>
    </row>
    <row r="14" spans="1:43" x14ac:dyDescent="0.75">
      <c r="A14" s="1"/>
      <c r="B14" s="1"/>
      <c r="C14" s="1"/>
      <c r="D14" s="1"/>
      <c r="E14" s="1"/>
      <c r="F14" s="1"/>
      <c r="G14" s="1"/>
      <c r="H14" s="1"/>
      <c r="I14" s="1"/>
      <c r="J14" s="1"/>
      <c r="K14" s="1"/>
      <c r="L14" s="1"/>
      <c r="M14" s="1"/>
      <c r="N14" s="1"/>
      <c r="O14" s="1"/>
      <c r="P14" s="32"/>
      <c r="Q14" s="33"/>
      <c r="R14" s="279" t="s">
        <v>36</v>
      </c>
      <c r="S14" s="279"/>
      <c r="T14" s="279"/>
      <c r="U14" s="179"/>
      <c r="V14" s="33"/>
      <c r="W14" s="33"/>
      <c r="X14" s="33"/>
      <c r="Y14" s="33"/>
      <c r="Z14" s="33"/>
      <c r="AA14" s="33"/>
      <c r="AB14" s="34"/>
      <c r="AC14" s="31"/>
      <c r="AD14" s="7"/>
      <c r="AE14" s="7"/>
      <c r="AF14" s="7"/>
      <c r="AG14" s="7"/>
      <c r="AH14" s="7"/>
      <c r="AI14" s="7"/>
      <c r="AJ14" s="7"/>
      <c r="AK14" s="7"/>
      <c r="AL14" s="7"/>
      <c r="AM14" s="7"/>
      <c r="AN14" s="7"/>
      <c r="AO14" s="7"/>
      <c r="AP14" s="7"/>
      <c r="AQ14" s="7"/>
    </row>
    <row r="15" spans="1:43" x14ac:dyDescent="0.75">
      <c r="A15" s="1"/>
      <c r="B15" s="1"/>
      <c r="C15" s="1"/>
      <c r="D15" s="1"/>
      <c r="E15" s="1"/>
      <c r="F15" s="1"/>
      <c r="G15" s="1"/>
      <c r="H15" s="1"/>
      <c r="I15" s="1"/>
      <c r="J15" s="1"/>
      <c r="K15" s="1"/>
      <c r="L15" s="1"/>
      <c r="M15" s="1"/>
      <c r="N15" s="1"/>
      <c r="O15" s="1"/>
      <c r="P15" s="32"/>
      <c r="Q15" s="33"/>
      <c r="R15" s="294" t="s">
        <v>37</v>
      </c>
      <c r="S15" s="294"/>
      <c r="T15" s="177">
        <v>100</v>
      </c>
      <c r="U15" s="33" t="s">
        <v>38</v>
      </c>
      <c r="V15" s="33"/>
      <c r="W15" s="33"/>
      <c r="X15" s="33"/>
      <c r="Y15" s="33"/>
      <c r="Z15" s="33"/>
      <c r="AA15" s="33"/>
      <c r="AB15" s="34"/>
      <c r="AC15" s="31"/>
      <c r="AD15" s="7"/>
      <c r="AE15" s="7"/>
      <c r="AF15" s="7"/>
      <c r="AG15" s="7"/>
      <c r="AH15" s="7"/>
      <c r="AI15" s="7"/>
      <c r="AJ15" s="7"/>
      <c r="AK15" s="7"/>
      <c r="AL15" s="7"/>
      <c r="AM15" s="7"/>
      <c r="AN15" s="7"/>
      <c r="AO15" s="7"/>
      <c r="AP15" s="7"/>
      <c r="AQ15" s="7"/>
    </row>
    <row r="16" spans="1:43" x14ac:dyDescent="0.75">
      <c r="A16" s="1"/>
      <c r="B16" s="1"/>
      <c r="C16" s="1"/>
      <c r="D16" s="1"/>
      <c r="E16" s="1"/>
      <c r="F16" s="1"/>
      <c r="G16" s="1"/>
      <c r="H16" s="1"/>
      <c r="I16" s="1"/>
      <c r="J16" s="1"/>
      <c r="K16" s="1"/>
      <c r="L16" s="1"/>
      <c r="M16" s="1"/>
      <c r="N16" s="1"/>
      <c r="O16" s="1"/>
      <c r="P16" s="32"/>
      <c r="Q16" s="33"/>
      <c r="R16" s="294"/>
      <c r="S16" s="294"/>
      <c r="T16" s="173">
        <f>10*LOG10(T15)</f>
        <v>20</v>
      </c>
      <c r="U16" s="33" t="s">
        <v>39</v>
      </c>
      <c r="V16" s="33"/>
      <c r="W16" s="279" t="s">
        <v>40</v>
      </c>
      <c r="X16" s="279"/>
      <c r="Y16" s="279"/>
      <c r="Z16" s="179"/>
      <c r="AA16" s="33"/>
      <c r="AB16" s="34"/>
      <c r="AC16" s="31"/>
      <c r="AD16" s="7"/>
      <c r="AE16" s="7"/>
      <c r="AF16" s="7"/>
      <c r="AG16" s="7"/>
      <c r="AH16" s="7"/>
      <c r="AI16" s="7"/>
      <c r="AJ16" s="7"/>
      <c r="AK16" s="7"/>
      <c r="AL16" s="7"/>
      <c r="AM16" s="7"/>
      <c r="AN16" s="7"/>
      <c r="AO16" s="7"/>
      <c r="AP16" s="7"/>
      <c r="AQ16" s="7"/>
    </row>
    <row r="17" spans="1:43" x14ac:dyDescent="0.75">
      <c r="A17" s="1"/>
      <c r="B17" s="1"/>
      <c r="C17" s="1"/>
      <c r="D17" s="1"/>
      <c r="E17" s="1"/>
      <c r="F17" s="1"/>
      <c r="G17" s="1"/>
      <c r="H17" s="1"/>
      <c r="I17" s="1"/>
      <c r="J17" s="1"/>
      <c r="K17" s="1"/>
      <c r="L17" s="1"/>
      <c r="M17" s="1"/>
      <c r="N17" s="1"/>
      <c r="O17" s="1"/>
      <c r="P17" s="32"/>
      <c r="Q17" s="33"/>
      <c r="R17" s="294"/>
      <c r="S17" s="294"/>
      <c r="T17" s="173">
        <f>T16+30</f>
        <v>50</v>
      </c>
      <c r="U17" s="33" t="s">
        <v>41</v>
      </c>
      <c r="V17" s="33"/>
      <c r="W17" s="277" t="s">
        <v>42</v>
      </c>
      <c r="X17" s="278"/>
      <c r="Y17" s="178">
        <f>10</f>
        <v>10</v>
      </c>
      <c r="Z17" s="33" t="s">
        <v>27</v>
      </c>
      <c r="AA17" s="33"/>
      <c r="AB17" s="34"/>
      <c r="AC17" s="31"/>
      <c r="AD17" s="7"/>
      <c r="AE17" s="7"/>
      <c r="AF17" s="7"/>
      <c r="AG17" s="7"/>
      <c r="AH17" s="7"/>
      <c r="AI17" s="7"/>
      <c r="AJ17" s="7"/>
      <c r="AK17" s="7"/>
      <c r="AL17" s="7"/>
      <c r="AM17" s="7"/>
      <c r="AN17" s="7"/>
      <c r="AO17" s="7"/>
      <c r="AP17" s="7"/>
      <c r="AQ17" s="7"/>
    </row>
    <row r="18" spans="1:43" x14ac:dyDescent="0.75">
      <c r="A18" s="1"/>
      <c r="B18" s="1"/>
      <c r="C18" s="1"/>
      <c r="D18" s="1"/>
      <c r="E18" s="1"/>
      <c r="F18" s="1"/>
      <c r="G18" s="1"/>
      <c r="H18" s="1"/>
      <c r="I18" s="1"/>
      <c r="J18" s="1"/>
      <c r="K18" s="1"/>
      <c r="L18" s="1"/>
      <c r="M18" s="1"/>
      <c r="N18" s="1"/>
      <c r="O18" s="1"/>
      <c r="P18" s="32"/>
      <c r="Q18" s="33"/>
      <c r="R18" s="33"/>
      <c r="S18" s="33"/>
      <c r="T18" s="33"/>
      <c r="U18" s="33"/>
      <c r="V18" s="33"/>
      <c r="W18" s="277" t="s">
        <v>43</v>
      </c>
      <c r="X18" s="278"/>
      <c r="Y18" s="178">
        <v>0</v>
      </c>
      <c r="Z18" s="33" t="s">
        <v>27</v>
      </c>
      <c r="AA18" s="33"/>
      <c r="AB18" s="34"/>
      <c r="AC18" s="31"/>
      <c r="AD18" s="7"/>
      <c r="AE18" s="7"/>
      <c r="AF18" s="7"/>
      <c r="AG18" s="7"/>
      <c r="AH18" s="7"/>
      <c r="AI18" s="7"/>
      <c r="AJ18" s="7"/>
      <c r="AK18" s="7"/>
      <c r="AL18" s="7"/>
      <c r="AM18" s="7"/>
      <c r="AN18" s="7"/>
      <c r="AO18" s="7"/>
      <c r="AP18" s="7"/>
      <c r="AQ18" s="7"/>
    </row>
    <row r="19" spans="1:43" x14ac:dyDescent="0.75">
      <c r="A19" s="1"/>
      <c r="B19" s="1"/>
      <c r="C19" s="1"/>
      <c r="D19" s="1"/>
      <c r="E19" s="1"/>
      <c r="F19" s="1"/>
      <c r="G19" s="1"/>
      <c r="H19" s="1"/>
      <c r="I19" s="1"/>
      <c r="J19" s="1"/>
      <c r="K19" s="1"/>
      <c r="L19" s="1"/>
      <c r="M19" s="1"/>
      <c r="N19" s="1"/>
      <c r="O19" s="1"/>
      <c r="P19" s="32"/>
      <c r="Q19" s="33"/>
      <c r="R19" s="279" t="s">
        <v>44</v>
      </c>
      <c r="S19" s="279"/>
      <c r="T19" s="279"/>
      <c r="U19" s="179"/>
      <c r="V19" s="33"/>
      <c r="W19" s="277" t="s">
        <v>45</v>
      </c>
      <c r="X19" s="278"/>
      <c r="Y19" s="178">
        <v>0</v>
      </c>
      <c r="Z19" s="33" t="s">
        <v>27</v>
      </c>
      <c r="AA19" s="33"/>
      <c r="AB19" s="34"/>
      <c r="AC19" s="31"/>
      <c r="AD19" s="7"/>
      <c r="AE19" s="7"/>
      <c r="AF19" s="7"/>
      <c r="AG19" s="7"/>
      <c r="AH19" s="7"/>
      <c r="AI19" s="7"/>
      <c r="AJ19" s="7"/>
      <c r="AK19" s="7"/>
      <c r="AL19" s="7"/>
      <c r="AM19" s="7"/>
      <c r="AN19" s="7"/>
      <c r="AO19" s="7"/>
      <c r="AP19" s="7"/>
      <c r="AQ19" s="7"/>
    </row>
    <row r="20" spans="1:43" x14ac:dyDescent="0.75">
      <c r="A20" s="1"/>
      <c r="B20" s="1"/>
      <c r="C20" s="1"/>
      <c r="D20" s="1"/>
      <c r="E20" s="1"/>
      <c r="F20" s="1"/>
      <c r="G20" s="1"/>
      <c r="H20" s="1"/>
      <c r="I20" s="1"/>
      <c r="J20" s="1"/>
      <c r="K20" s="1"/>
      <c r="L20" s="1"/>
      <c r="M20" s="1"/>
      <c r="N20" s="1"/>
      <c r="O20" s="1"/>
      <c r="P20" s="32"/>
      <c r="Q20" s="33"/>
      <c r="R20" s="277" t="s">
        <v>46</v>
      </c>
      <c r="S20" s="278"/>
      <c r="T20" s="178">
        <v>0.05</v>
      </c>
      <c r="U20" s="33" t="s">
        <v>47</v>
      </c>
      <c r="V20" s="33"/>
      <c r="W20" s="277" t="s">
        <v>48</v>
      </c>
      <c r="X20" s="278"/>
      <c r="Y20" s="193">
        <f>SUM(Y17:Y19)</f>
        <v>10</v>
      </c>
      <c r="Z20" s="33" t="s">
        <v>27</v>
      </c>
      <c r="AA20" s="33"/>
      <c r="AB20" s="34"/>
      <c r="AC20" s="31"/>
      <c r="AD20" s="7"/>
      <c r="AE20" s="7"/>
      <c r="AF20" s="7"/>
      <c r="AG20" s="7"/>
      <c r="AH20" s="7"/>
      <c r="AI20" s="7"/>
      <c r="AJ20" s="7"/>
      <c r="AK20" s="7"/>
      <c r="AL20" s="7"/>
      <c r="AM20" s="7"/>
      <c r="AN20" s="7"/>
      <c r="AO20" s="7"/>
      <c r="AP20" s="7"/>
      <c r="AQ20" s="7"/>
    </row>
    <row r="21" spans="1:43" x14ac:dyDescent="0.75">
      <c r="A21" s="1"/>
      <c r="B21" s="1"/>
      <c r="C21" s="1"/>
      <c r="D21" s="1"/>
      <c r="E21" s="1"/>
      <c r="F21" s="1"/>
      <c r="G21" s="1"/>
      <c r="H21" s="1"/>
      <c r="I21" s="1"/>
      <c r="J21" s="1"/>
      <c r="K21" s="1"/>
      <c r="L21" s="1"/>
      <c r="M21" s="1"/>
      <c r="N21" s="1"/>
      <c r="O21" s="1"/>
      <c r="P21" s="32"/>
      <c r="Q21" s="33"/>
      <c r="R21" s="277" t="s">
        <v>49</v>
      </c>
      <c r="S21" s="278"/>
      <c r="T21" s="172">
        <f>T20*Y20</f>
        <v>0.5</v>
      </c>
      <c r="U21" s="33" t="s">
        <v>33</v>
      </c>
      <c r="V21" s="33"/>
      <c r="W21" s="33"/>
      <c r="X21" s="33"/>
      <c r="Y21" s="33"/>
      <c r="Z21" s="33"/>
      <c r="AA21" s="33"/>
      <c r="AB21" s="34"/>
      <c r="AC21" s="31"/>
      <c r="AD21" s="7"/>
      <c r="AE21" s="7"/>
      <c r="AF21" s="7"/>
      <c r="AG21" s="7"/>
      <c r="AH21" s="7"/>
      <c r="AI21" s="7"/>
      <c r="AJ21" s="7"/>
      <c r="AK21" s="7"/>
      <c r="AL21" s="7"/>
      <c r="AM21" s="7"/>
      <c r="AN21" s="7"/>
      <c r="AO21" s="7"/>
      <c r="AP21" s="7"/>
      <c r="AQ21" s="7"/>
    </row>
    <row r="22" spans="1:43" x14ac:dyDescent="0.75">
      <c r="A22" s="1"/>
      <c r="B22" s="1"/>
      <c r="C22" s="1"/>
      <c r="D22" s="1"/>
      <c r="E22" s="1"/>
      <c r="F22" s="1"/>
      <c r="G22" s="1"/>
      <c r="H22" s="1"/>
      <c r="I22" s="1"/>
      <c r="J22" s="1"/>
      <c r="K22" s="1"/>
      <c r="L22" s="1"/>
      <c r="M22" s="1"/>
      <c r="N22" s="1"/>
      <c r="O22" s="1"/>
      <c r="P22" s="32"/>
      <c r="Q22" s="33"/>
      <c r="R22" s="33"/>
      <c r="S22" s="33"/>
      <c r="T22" s="33"/>
      <c r="U22" s="33"/>
      <c r="V22" s="33"/>
      <c r="W22" s="33"/>
      <c r="X22" s="33"/>
      <c r="Y22" s="33"/>
      <c r="Z22" s="33"/>
      <c r="AA22" s="33"/>
      <c r="AB22" s="34"/>
      <c r="AC22" s="31"/>
      <c r="AD22" s="7"/>
      <c r="AE22" s="7"/>
      <c r="AF22" s="7"/>
      <c r="AG22" s="7"/>
      <c r="AH22" s="7"/>
      <c r="AI22" s="7"/>
      <c r="AJ22" s="7"/>
      <c r="AK22" s="7"/>
      <c r="AL22" s="7"/>
      <c r="AM22" s="7"/>
      <c r="AN22" s="7"/>
      <c r="AO22" s="7"/>
      <c r="AP22" s="7"/>
      <c r="AQ22" s="7"/>
    </row>
    <row r="23" spans="1:43" x14ac:dyDescent="0.75">
      <c r="A23" s="1"/>
      <c r="B23" s="1"/>
      <c r="C23" s="1"/>
      <c r="D23" s="1"/>
      <c r="E23" s="1"/>
      <c r="F23" s="1"/>
      <c r="G23" s="1"/>
      <c r="H23" s="1"/>
      <c r="I23" s="1"/>
      <c r="J23" s="1"/>
      <c r="K23" s="1"/>
      <c r="L23" s="1"/>
      <c r="M23" s="1"/>
      <c r="N23" s="1"/>
      <c r="O23" s="1"/>
      <c r="P23" s="32"/>
      <c r="Q23" s="33"/>
      <c r="R23" s="279" t="s">
        <v>50</v>
      </c>
      <c r="S23" s="279"/>
      <c r="T23" s="279"/>
      <c r="U23" s="279"/>
      <c r="V23" s="279"/>
      <c r="W23" s="279"/>
      <c r="X23" s="279"/>
      <c r="Y23" s="179"/>
      <c r="Z23" s="179"/>
      <c r="AA23" s="33"/>
      <c r="AB23" s="34"/>
      <c r="AC23" s="31"/>
      <c r="AD23" s="7"/>
      <c r="AE23" s="7"/>
      <c r="AF23" s="7"/>
      <c r="AG23" s="7"/>
      <c r="AH23" s="7"/>
      <c r="AI23" s="7"/>
      <c r="AJ23" s="7"/>
      <c r="AK23" s="7"/>
      <c r="AL23" s="7"/>
      <c r="AM23" s="7"/>
      <c r="AN23" s="7"/>
      <c r="AO23" s="7"/>
      <c r="AP23" s="7"/>
      <c r="AQ23" s="7"/>
    </row>
    <row r="24" spans="1:43" x14ac:dyDescent="0.75">
      <c r="A24" s="1"/>
      <c r="B24" s="1"/>
      <c r="C24" s="1"/>
      <c r="D24" s="1"/>
      <c r="E24" s="1"/>
      <c r="F24" s="1"/>
      <c r="G24" s="1"/>
      <c r="H24" s="1"/>
      <c r="I24" s="1"/>
      <c r="J24" s="1"/>
      <c r="K24" s="1"/>
      <c r="L24" s="1"/>
      <c r="M24" s="1"/>
      <c r="N24" s="1"/>
      <c r="O24" s="1"/>
      <c r="P24" s="32"/>
      <c r="Q24" s="33"/>
      <c r="R24" s="277" t="s">
        <v>51</v>
      </c>
      <c r="S24" s="277"/>
      <c r="T24" s="277"/>
      <c r="U24" s="278"/>
      <c r="V24" s="280">
        <v>0</v>
      </c>
      <c r="W24" s="280"/>
      <c r="X24" s="280"/>
      <c r="Y24" s="33" t="s">
        <v>52</v>
      </c>
      <c r="Z24" s="33"/>
      <c r="AA24" s="33"/>
      <c r="AB24" s="34"/>
      <c r="AC24" s="31"/>
      <c r="AD24" s="7"/>
      <c r="AE24" s="7"/>
      <c r="AF24" s="7"/>
      <c r="AG24" s="7"/>
      <c r="AH24" s="7"/>
      <c r="AI24" s="7"/>
      <c r="AJ24" s="7"/>
      <c r="AK24" s="7"/>
      <c r="AL24" s="7"/>
      <c r="AM24" s="7"/>
      <c r="AN24" s="7"/>
      <c r="AO24" s="7"/>
      <c r="AP24" s="7"/>
      <c r="AQ24" s="7"/>
    </row>
    <row r="25" spans="1:43" x14ac:dyDescent="0.75">
      <c r="A25" s="1"/>
      <c r="B25" s="1"/>
      <c r="C25" s="1"/>
      <c r="D25" s="1"/>
      <c r="E25" s="1"/>
      <c r="F25" s="1"/>
      <c r="G25" s="1"/>
      <c r="H25" s="1"/>
      <c r="I25" s="1"/>
      <c r="J25" s="1"/>
      <c r="K25" s="1"/>
      <c r="L25" s="1"/>
      <c r="M25" s="1"/>
      <c r="N25" s="1"/>
      <c r="O25" s="1"/>
      <c r="P25" s="32"/>
      <c r="Q25" s="33"/>
      <c r="R25" s="277" t="s">
        <v>53</v>
      </c>
      <c r="S25" s="277"/>
      <c r="T25" s="277"/>
      <c r="U25" s="281"/>
      <c r="V25" s="282">
        <f>V24*0.05</f>
        <v>0</v>
      </c>
      <c r="W25" s="282"/>
      <c r="X25" s="282"/>
      <c r="Y25" s="33" t="s">
        <v>33</v>
      </c>
      <c r="Z25" s="33"/>
      <c r="AA25" s="33"/>
      <c r="AB25" s="34"/>
      <c r="AC25" s="31"/>
      <c r="AD25" s="7"/>
      <c r="AE25" s="7"/>
      <c r="AF25" s="7"/>
      <c r="AG25" s="7"/>
      <c r="AH25" s="7"/>
      <c r="AI25" s="7"/>
      <c r="AJ25" s="7"/>
      <c r="AK25" s="7"/>
      <c r="AL25" s="7"/>
      <c r="AM25" s="7"/>
      <c r="AN25" s="7"/>
      <c r="AO25" s="7"/>
      <c r="AP25" s="7"/>
      <c r="AQ25" s="7"/>
    </row>
    <row r="26" spans="1:43" x14ac:dyDescent="0.75">
      <c r="A26" s="1"/>
      <c r="B26" s="1"/>
      <c r="C26" s="1"/>
      <c r="D26" s="1"/>
      <c r="E26" s="1"/>
      <c r="F26" s="1"/>
      <c r="G26" s="1"/>
      <c r="H26" s="1"/>
      <c r="I26" s="1"/>
      <c r="J26" s="1"/>
      <c r="K26" s="1"/>
      <c r="L26" s="1"/>
      <c r="M26" s="1"/>
      <c r="N26" s="1"/>
      <c r="O26" s="1"/>
      <c r="P26" s="32"/>
      <c r="Q26" s="33"/>
      <c r="R26" s="277" t="s">
        <v>54</v>
      </c>
      <c r="S26" s="277"/>
      <c r="T26" s="277"/>
      <c r="U26" s="278"/>
      <c r="V26" s="280">
        <v>0.2</v>
      </c>
      <c r="W26" s="280"/>
      <c r="X26" s="280"/>
      <c r="Y26" s="33" t="s">
        <v>33</v>
      </c>
      <c r="Z26" s="33"/>
      <c r="AA26" s="33"/>
      <c r="AB26" s="34"/>
      <c r="AC26" s="31"/>
      <c r="AD26" s="7"/>
      <c r="AE26" s="7"/>
      <c r="AF26" s="7"/>
      <c r="AG26" s="7"/>
      <c r="AH26" s="7"/>
      <c r="AI26" s="7"/>
      <c r="AJ26" s="7"/>
      <c r="AK26" s="7"/>
      <c r="AL26" s="7"/>
      <c r="AM26" s="7"/>
      <c r="AN26" s="7"/>
      <c r="AO26" s="7"/>
      <c r="AP26" s="7"/>
      <c r="AQ26" s="7"/>
    </row>
    <row r="27" spans="1:43" x14ac:dyDescent="0.75">
      <c r="A27" s="1"/>
      <c r="B27" s="1"/>
      <c r="C27" s="1"/>
      <c r="D27" s="1"/>
      <c r="E27" s="1"/>
      <c r="F27" s="1"/>
      <c r="G27" s="1"/>
      <c r="H27" s="1"/>
      <c r="I27" s="1"/>
      <c r="J27" s="1"/>
      <c r="K27" s="1"/>
      <c r="L27" s="1"/>
      <c r="M27" s="1"/>
      <c r="N27" s="1"/>
      <c r="O27" s="1"/>
      <c r="P27" s="32"/>
      <c r="Q27" s="33"/>
      <c r="R27" s="277" t="s">
        <v>55</v>
      </c>
      <c r="S27" s="277"/>
      <c r="T27" s="277"/>
      <c r="U27" s="278"/>
      <c r="V27" s="280">
        <v>0</v>
      </c>
      <c r="W27" s="280"/>
      <c r="X27" s="280"/>
      <c r="Y27" s="33" t="s">
        <v>33</v>
      </c>
      <c r="Z27" s="33"/>
      <c r="AA27" s="33"/>
      <c r="AB27" s="34"/>
      <c r="AC27" s="31"/>
      <c r="AD27" s="7"/>
      <c r="AE27" s="7"/>
      <c r="AF27" s="7"/>
      <c r="AG27" s="7"/>
      <c r="AH27" s="7"/>
      <c r="AI27" s="7"/>
      <c r="AJ27" s="7"/>
      <c r="AK27" s="7"/>
      <c r="AL27" s="7"/>
      <c r="AM27" s="7"/>
      <c r="AN27" s="7"/>
      <c r="AO27" s="7"/>
      <c r="AP27" s="7"/>
      <c r="AQ27" s="7"/>
    </row>
    <row r="28" spans="1:43" x14ac:dyDescent="0.75">
      <c r="A28" s="1"/>
      <c r="B28" s="1"/>
      <c r="C28" s="1"/>
      <c r="D28" s="1"/>
      <c r="E28" s="1"/>
      <c r="F28" s="1"/>
      <c r="G28" s="1"/>
      <c r="H28" s="1"/>
      <c r="I28" s="1"/>
      <c r="J28" s="1"/>
      <c r="K28" s="1"/>
      <c r="L28" s="1"/>
      <c r="M28" s="1"/>
      <c r="N28" s="1"/>
      <c r="O28" s="1"/>
      <c r="P28" s="32"/>
      <c r="Q28" s="33"/>
      <c r="R28" s="277" t="s">
        <v>56</v>
      </c>
      <c r="S28" s="277"/>
      <c r="T28" s="277"/>
      <c r="U28" s="278"/>
      <c r="V28" s="280">
        <v>0.5</v>
      </c>
      <c r="W28" s="280"/>
      <c r="X28" s="280"/>
      <c r="Y28" s="33" t="s">
        <v>33</v>
      </c>
      <c r="Z28" s="33"/>
      <c r="AA28" s="33"/>
      <c r="AB28" s="34"/>
      <c r="AC28" s="31"/>
      <c r="AD28" s="7"/>
      <c r="AE28" s="7"/>
      <c r="AF28" s="7"/>
      <c r="AG28" s="7"/>
      <c r="AH28" s="7"/>
      <c r="AI28" s="7"/>
      <c r="AJ28" s="7"/>
      <c r="AK28" s="7"/>
      <c r="AL28" s="7"/>
      <c r="AM28" s="7"/>
      <c r="AN28" s="7"/>
      <c r="AO28" s="7"/>
      <c r="AP28" s="7"/>
      <c r="AQ28" s="7"/>
    </row>
    <row r="29" spans="1:43" x14ac:dyDescent="0.75">
      <c r="A29" s="1"/>
      <c r="B29" s="1"/>
      <c r="C29" s="1"/>
      <c r="D29" s="1"/>
      <c r="E29" s="1"/>
      <c r="F29" s="1"/>
      <c r="G29" s="1"/>
      <c r="H29" s="1"/>
      <c r="I29" s="1"/>
      <c r="J29" s="1"/>
      <c r="K29" s="1"/>
      <c r="L29" s="1"/>
      <c r="M29" s="1"/>
      <c r="N29" s="1"/>
      <c r="O29" s="1"/>
      <c r="P29" s="32"/>
      <c r="Q29" s="33"/>
      <c r="R29" s="33"/>
      <c r="S29" s="33"/>
      <c r="T29" s="33"/>
      <c r="U29" s="33"/>
      <c r="V29" s="33"/>
      <c r="W29" s="33"/>
      <c r="X29" s="33"/>
      <c r="Y29" s="33"/>
      <c r="Z29" s="33"/>
      <c r="AA29" s="33"/>
      <c r="AB29" s="34"/>
      <c r="AC29" s="31"/>
      <c r="AD29" s="7"/>
      <c r="AE29" s="7"/>
      <c r="AF29" s="7"/>
      <c r="AG29" s="7"/>
      <c r="AH29" s="7"/>
      <c r="AI29" s="7"/>
      <c r="AJ29" s="7"/>
      <c r="AK29" s="7"/>
      <c r="AL29" s="7"/>
      <c r="AM29" s="7"/>
      <c r="AN29" s="7"/>
      <c r="AO29" s="7"/>
      <c r="AP29" s="7"/>
      <c r="AQ29" s="7"/>
    </row>
    <row r="30" spans="1:43" x14ac:dyDescent="0.75">
      <c r="A30" s="1"/>
      <c r="B30" s="1"/>
      <c r="C30" s="1"/>
      <c r="D30" s="1"/>
      <c r="E30" s="1"/>
      <c r="F30" s="1"/>
      <c r="G30" s="1"/>
      <c r="H30" s="1"/>
      <c r="I30" s="1"/>
      <c r="J30" s="1"/>
      <c r="K30" s="1"/>
      <c r="L30" s="1"/>
      <c r="M30" s="1"/>
      <c r="N30" s="1"/>
      <c r="O30" s="1"/>
      <c r="P30" s="32"/>
      <c r="Q30" s="33"/>
      <c r="R30" s="33"/>
      <c r="S30" s="33"/>
      <c r="T30" s="279" t="s">
        <v>57</v>
      </c>
      <c r="U30" s="279"/>
      <c r="V30" s="279"/>
      <c r="W30" s="279"/>
      <c r="X30" s="179"/>
      <c r="Y30" s="33"/>
      <c r="Z30" s="33"/>
      <c r="AA30" s="277"/>
      <c r="AB30" s="278"/>
      <c r="AC30" s="31"/>
      <c r="AD30" s="7"/>
      <c r="AE30" s="7"/>
      <c r="AF30" s="7"/>
      <c r="AG30" s="7"/>
      <c r="AH30" s="7"/>
      <c r="AI30" s="7"/>
      <c r="AJ30" s="7"/>
      <c r="AK30" s="7"/>
      <c r="AL30" s="7"/>
      <c r="AM30" s="7"/>
      <c r="AN30" s="7"/>
      <c r="AO30" s="7"/>
      <c r="AP30" s="7"/>
      <c r="AQ30" s="7"/>
    </row>
    <row r="31" spans="1:43" x14ac:dyDescent="0.75">
      <c r="A31" s="1"/>
      <c r="B31" s="1"/>
      <c r="C31" s="1"/>
      <c r="D31" s="1"/>
      <c r="E31" s="1"/>
      <c r="F31" s="1"/>
      <c r="G31" s="1"/>
      <c r="H31" s="1"/>
      <c r="I31" s="1"/>
      <c r="J31" s="1"/>
      <c r="K31" s="1"/>
      <c r="L31" s="1"/>
      <c r="M31" s="1"/>
      <c r="N31" s="1"/>
      <c r="O31" s="1"/>
      <c r="P31" s="32"/>
      <c r="Q31" s="33"/>
      <c r="R31" s="33"/>
      <c r="S31" s="33"/>
      <c r="T31" s="277" t="s">
        <v>58</v>
      </c>
      <c r="U31" s="278"/>
      <c r="V31" s="282">
        <f>T21+SUM(V25:X28)</f>
        <v>1.2</v>
      </c>
      <c r="W31" s="282"/>
      <c r="X31" s="33" t="s">
        <v>33</v>
      </c>
      <c r="Y31" s="33"/>
      <c r="Z31" s="33"/>
      <c r="AA31" s="33"/>
      <c r="AB31" s="34"/>
      <c r="AC31" s="31"/>
      <c r="AD31" s="7"/>
      <c r="AE31" s="7"/>
      <c r="AF31" s="7"/>
      <c r="AG31" s="7"/>
      <c r="AH31" s="7"/>
      <c r="AI31" s="7"/>
      <c r="AJ31" s="7"/>
      <c r="AK31" s="7"/>
      <c r="AL31" s="7"/>
      <c r="AM31" s="7"/>
      <c r="AN31" s="7"/>
      <c r="AO31" s="7"/>
      <c r="AP31" s="7"/>
      <c r="AQ31" s="7"/>
    </row>
    <row r="32" spans="1:43" x14ac:dyDescent="0.75">
      <c r="A32" s="1"/>
      <c r="B32" s="1"/>
      <c r="C32" s="1"/>
      <c r="D32" s="1"/>
      <c r="E32" s="1"/>
      <c r="F32" s="1"/>
      <c r="G32" s="1"/>
      <c r="H32" s="1"/>
      <c r="I32" s="1"/>
      <c r="J32" s="1"/>
      <c r="K32" s="1"/>
      <c r="L32" s="1"/>
      <c r="M32" s="1"/>
      <c r="N32" s="1"/>
      <c r="O32" s="1"/>
      <c r="P32" s="32"/>
      <c r="Q32" s="33"/>
      <c r="R32" s="33"/>
      <c r="S32" s="33"/>
      <c r="T32" s="277" t="s">
        <v>59</v>
      </c>
      <c r="U32" s="278"/>
      <c r="V32" s="282">
        <f>T16-V31</f>
        <v>18.8</v>
      </c>
      <c r="W32" s="292"/>
      <c r="X32" s="33" t="s">
        <v>39</v>
      </c>
      <c r="Y32" s="33"/>
      <c r="Z32" s="33"/>
      <c r="AA32" s="33"/>
      <c r="AB32" s="34"/>
      <c r="AC32" s="31"/>
      <c r="AD32" s="7"/>
      <c r="AE32" s="7"/>
      <c r="AF32" s="7"/>
      <c r="AG32" s="7"/>
      <c r="AH32" s="7"/>
      <c r="AI32" s="7"/>
      <c r="AJ32" s="7"/>
      <c r="AK32" s="7"/>
      <c r="AL32" s="7"/>
      <c r="AM32" s="7"/>
      <c r="AN32" s="7"/>
      <c r="AO32" s="7"/>
      <c r="AP32" s="7"/>
      <c r="AQ32" s="7"/>
    </row>
    <row r="33" spans="1:43" x14ac:dyDescent="0.75">
      <c r="A33" s="1"/>
      <c r="B33" s="1"/>
      <c r="C33" s="1"/>
      <c r="D33" s="1"/>
      <c r="E33" s="1"/>
      <c r="F33" s="1"/>
      <c r="G33" s="1"/>
      <c r="H33" s="1"/>
      <c r="I33" s="1"/>
      <c r="J33" s="1"/>
      <c r="K33" s="1"/>
      <c r="L33" s="1"/>
      <c r="M33" s="1"/>
      <c r="N33" s="1"/>
      <c r="O33" s="1"/>
      <c r="P33" s="32"/>
      <c r="Q33" s="33"/>
      <c r="R33" s="33"/>
      <c r="S33" s="33"/>
      <c r="T33" s="33"/>
      <c r="U33" s="33"/>
      <c r="V33" s="33"/>
      <c r="W33" s="33"/>
      <c r="X33" s="33"/>
      <c r="Y33" s="33"/>
      <c r="Z33" s="33"/>
      <c r="AA33" s="33"/>
      <c r="AB33" s="34"/>
      <c r="AC33" s="31"/>
      <c r="AD33" s="7"/>
      <c r="AE33" s="7"/>
      <c r="AF33" s="7"/>
      <c r="AG33" s="7"/>
      <c r="AH33" s="7"/>
      <c r="AI33" s="7"/>
      <c r="AJ33" s="7"/>
      <c r="AK33" s="7"/>
      <c r="AL33" s="7"/>
      <c r="AM33" s="7"/>
      <c r="AN33" s="7"/>
      <c r="AO33" s="7"/>
      <c r="AP33" s="7"/>
      <c r="AQ33" s="7"/>
    </row>
    <row r="34" spans="1:43" ht="15.5" thickBot="1" x14ac:dyDescent="0.9">
      <c r="A34" s="1"/>
      <c r="B34" s="1"/>
      <c r="C34" s="1"/>
      <c r="D34" s="1"/>
      <c r="E34" s="1"/>
      <c r="F34" s="1"/>
      <c r="G34" s="1"/>
      <c r="H34" s="1"/>
      <c r="I34" s="1"/>
      <c r="J34" s="1"/>
      <c r="K34" s="1"/>
      <c r="L34" s="1"/>
      <c r="M34" s="1"/>
      <c r="N34" s="1"/>
      <c r="O34" s="1"/>
      <c r="P34" s="35"/>
      <c r="Q34" s="36"/>
      <c r="R34" s="36"/>
      <c r="S34" s="36"/>
      <c r="T34" s="36"/>
      <c r="U34" s="36"/>
      <c r="V34" s="36"/>
      <c r="W34" s="36"/>
      <c r="X34" s="36"/>
      <c r="Y34" s="36"/>
      <c r="Z34" s="36"/>
      <c r="AA34" s="36"/>
      <c r="AB34" s="37"/>
      <c r="AC34" s="31"/>
      <c r="AD34" s="7"/>
      <c r="AE34" s="7"/>
      <c r="AF34" s="7"/>
      <c r="AG34" s="7"/>
      <c r="AH34" s="7"/>
      <c r="AI34" s="7"/>
      <c r="AJ34" s="7"/>
      <c r="AK34" s="7"/>
      <c r="AL34" s="7"/>
      <c r="AM34" s="7"/>
      <c r="AN34" s="7"/>
      <c r="AO34" s="7"/>
      <c r="AP34" s="7"/>
      <c r="AQ34" s="7"/>
    </row>
    <row r="35" spans="1:43" x14ac:dyDescent="0.7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7"/>
      <c r="AD35" s="7"/>
      <c r="AE35" s="7"/>
      <c r="AF35" s="7"/>
      <c r="AG35" s="7"/>
      <c r="AH35" s="7"/>
      <c r="AI35" s="7"/>
      <c r="AJ35" s="7"/>
      <c r="AK35" s="7"/>
      <c r="AL35" s="7"/>
      <c r="AM35" s="7"/>
      <c r="AN35" s="7"/>
      <c r="AO35" s="7"/>
      <c r="AP35" s="7"/>
      <c r="AQ35" s="7"/>
    </row>
    <row r="36" spans="1:43" ht="15.5" thickBot="1" x14ac:dyDescent="0.9">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7"/>
      <c r="AD36" s="7"/>
      <c r="AE36" s="7"/>
      <c r="AF36" s="7"/>
      <c r="AG36" s="7"/>
      <c r="AH36" s="7"/>
      <c r="AI36" s="7"/>
      <c r="AJ36" s="7"/>
      <c r="AK36" s="7"/>
      <c r="AL36" s="7"/>
      <c r="AM36" s="7"/>
      <c r="AN36" s="7"/>
      <c r="AO36" s="7"/>
      <c r="AP36" s="7"/>
      <c r="AQ36" s="7"/>
    </row>
    <row r="37" spans="1:43" x14ac:dyDescent="0.75">
      <c r="A37" s="1"/>
      <c r="B37" s="1"/>
      <c r="C37" s="1"/>
      <c r="D37" s="1"/>
      <c r="E37" s="1"/>
      <c r="F37" s="1"/>
      <c r="G37" s="1"/>
      <c r="H37" s="1"/>
      <c r="I37" s="1"/>
      <c r="J37" s="1"/>
      <c r="K37" s="1"/>
      <c r="L37" s="1"/>
      <c r="M37" s="1"/>
      <c r="N37" s="1"/>
      <c r="O37" s="1"/>
      <c r="P37" s="38"/>
      <c r="Q37" s="39"/>
      <c r="R37" s="39"/>
      <c r="S37" s="39"/>
      <c r="T37" s="39"/>
      <c r="U37" s="39"/>
      <c r="V37" s="39"/>
      <c r="W37" s="39"/>
      <c r="X37" s="39"/>
      <c r="Y37" s="39"/>
      <c r="Z37" s="39"/>
      <c r="AA37" s="39"/>
      <c r="AB37" s="40"/>
      <c r="AC37" s="31"/>
      <c r="AD37" s="7"/>
      <c r="AE37" s="7"/>
      <c r="AF37" s="7"/>
      <c r="AG37" s="7"/>
      <c r="AH37" s="7"/>
      <c r="AI37" s="7"/>
      <c r="AJ37" s="7"/>
      <c r="AK37" s="7"/>
      <c r="AL37" s="7"/>
      <c r="AM37" s="7"/>
      <c r="AN37" s="7"/>
      <c r="AO37" s="7"/>
      <c r="AP37" s="7"/>
      <c r="AQ37" s="7"/>
    </row>
    <row r="38" spans="1:43" ht="15.5" thickBot="1" x14ac:dyDescent="0.9">
      <c r="A38" s="1"/>
      <c r="B38" s="1"/>
      <c r="C38" s="1"/>
      <c r="D38" s="1"/>
      <c r="E38" s="1"/>
      <c r="F38" s="1"/>
      <c r="G38" s="1"/>
      <c r="H38" s="1"/>
      <c r="I38" s="1"/>
      <c r="J38" s="1"/>
      <c r="K38" s="1"/>
      <c r="L38" s="1"/>
      <c r="M38" s="1"/>
      <c r="N38" s="1"/>
      <c r="O38" s="1"/>
      <c r="P38" s="41"/>
      <c r="Q38" s="42"/>
      <c r="R38" s="42" t="s">
        <v>225</v>
      </c>
      <c r="S38" s="42"/>
      <c r="T38" s="42"/>
      <c r="U38" s="42"/>
      <c r="V38" s="42"/>
      <c r="W38" s="42"/>
      <c r="X38" s="42"/>
      <c r="Y38" s="42"/>
      <c r="Z38" s="42"/>
      <c r="AA38" s="42"/>
      <c r="AB38" s="43"/>
      <c r="AC38" s="31"/>
      <c r="AD38" s="7"/>
      <c r="AE38" s="7"/>
      <c r="AF38" s="7"/>
      <c r="AG38" s="7"/>
      <c r="AH38" s="7"/>
      <c r="AI38" s="7"/>
      <c r="AJ38" s="7"/>
      <c r="AK38" s="7"/>
      <c r="AL38" s="7"/>
      <c r="AM38" s="7"/>
      <c r="AN38" s="7"/>
      <c r="AO38" s="7"/>
      <c r="AP38" s="7"/>
      <c r="AQ38" s="7"/>
    </row>
    <row r="39" spans="1:43" ht="31" thickBot="1" x14ac:dyDescent="0.9">
      <c r="A39" s="1"/>
      <c r="B39" s="1"/>
      <c r="C39" s="1"/>
      <c r="D39" s="1"/>
      <c r="E39" s="1"/>
      <c r="F39" s="1"/>
      <c r="G39" s="1"/>
      <c r="H39" s="1"/>
      <c r="I39" s="1"/>
      <c r="J39" s="1"/>
      <c r="K39" s="1"/>
      <c r="L39" s="1"/>
      <c r="M39" s="1"/>
      <c r="N39" s="1"/>
      <c r="O39" s="1"/>
      <c r="P39" s="41"/>
      <c r="Q39" s="42"/>
      <c r="R39" s="263" t="s">
        <v>60</v>
      </c>
      <c r="S39" s="264"/>
      <c r="T39" s="264"/>
      <c r="U39" s="264"/>
      <c r="V39" s="264"/>
      <c r="W39" s="264"/>
      <c r="X39" s="264"/>
      <c r="Y39" s="264"/>
      <c r="Z39" s="265"/>
      <c r="AA39" s="42"/>
      <c r="AB39" s="43"/>
      <c r="AC39" s="31"/>
      <c r="AD39" s="7"/>
      <c r="AE39" s="7"/>
      <c r="AF39" s="7"/>
      <c r="AG39" s="7"/>
      <c r="AH39" s="7"/>
      <c r="AI39" s="7"/>
      <c r="AJ39" s="7"/>
      <c r="AK39" s="7"/>
      <c r="AL39" s="7"/>
      <c r="AM39" s="7"/>
      <c r="AN39" s="7"/>
      <c r="AO39" s="7"/>
      <c r="AP39" s="7"/>
      <c r="AQ39" s="7"/>
    </row>
    <row r="40" spans="1:43" x14ac:dyDescent="0.75">
      <c r="A40" s="1"/>
      <c r="B40" s="1"/>
      <c r="C40" s="1"/>
      <c r="D40" s="1"/>
      <c r="E40" s="1"/>
      <c r="F40" s="1"/>
      <c r="G40" s="1"/>
      <c r="H40" s="1"/>
      <c r="I40" s="1"/>
      <c r="J40" s="1"/>
      <c r="K40" s="1"/>
      <c r="L40" s="1"/>
      <c r="M40" s="1"/>
      <c r="N40" s="1"/>
      <c r="O40" s="1"/>
      <c r="P40" s="41"/>
      <c r="Q40" s="42"/>
      <c r="R40" s="42"/>
      <c r="S40" s="42"/>
      <c r="T40" s="42"/>
      <c r="U40" s="42"/>
      <c r="V40" s="42"/>
      <c r="W40" s="42"/>
      <c r="X40" s="42"/>
      <c r="Y40" s="42"/>
      <c r="Z40" s="42"/>
      <c r="AA40" s="42"/>
      <c r="AB40" s="43"/>
      <c r="AC40" s="31"/>
      <c r="AD40" s="7"/>
      <c r="AE40" s="7"/>
      <c r="AF40" s="7"/>
      <c r="AG40" s="7"/>
      <c r="AH40" s="7"/>
      <c r="AI40" s="7"/>
      <c r="AJ40" s="7"/>
      <c r="AK40" s="7"/>
      <c r="AL40" s="7"/>
      <c r="AM40" s="7"/>
      <c r="AN40" s="7"/>
      <c r="AO40" s="7"/>
      <c r="AP40" s="7"/>
      <c r="AQ40" s="7"/>
    </row>
    <row r="41" spans="1:43" x14ac:dyDescent="0.75">
      <c r="A41" s="1"/>
      <c r="B41" s="1"/>
      <c r="C41" s="1"/>
      <c r="D41" s="1"/>
      <c r="E41" s="1"/>
      <c r="F41" s="1"/>
      <c r="G41" s="1"/>
      <c r="H41" s="1"/>
      <c r="I41" s="1"/>
      <c r="J41" s="1"/>
      <c r="K41" s="1"/>
      <c r="L41" s="1"/>
      <c r="M41" s="1"/>
      <c r="N41" s="1"/>
      <c r="O41" s="1"/>
      <c r="P41" s="41"/>
      <c r="Q41" s="42"/>
      <c r="R41" s="42"/>
      <c r="S41" s="42"/>
      <c r="T41" s="42"/>
      <c r="U41" s="42"/>
      <c r="V41" s="42"/>
      <c r="W41" s="42"/>
      <c r="X41" s="42"/>
      <c r="Y41" s="42"/>
      <c r="Z41" s="42"/>
      <c r="AA41" s="42"/>
      <c r="AB41" s="43"/>
      <c r="AC41" s="31"/>
      <c r="AD41" s="7"/>
      <c r="AE41" s="7"/>
      <c r="AF41" s="7"/>
      <c r="AG41" s="7"/>
      <c r="AH41" s="7"/>
      <c r="AI41" s="7"/>
      <c r="AJ41" s="7"/>
      <c r="AK41" s="7"/>
      <c r="AL41" s="7"/>
      <c r="AM41" s="7"/>
      <c r="AN41" s="7"/>
      <c r="AO41" s="7"/>
      <c r="AP41" s="7"/>
      <c r="AQ41" s="7"/>
    </row>
    <row r="42" spans="1:43" x14ac:dyDescent="0.75">
      <c r="A42" s="1"/>
      <c r="B42" s="1"/>
      <c r="C42" s="1"/>
      <c r="D42" s="1"/>
      <c r="E42" s="1"/>
      <c r="F42" s="1"/>
      <c r="G42" s="1"/>
      <c r="H42" s="1"/>
      <c r="I42" s="1"/>
      <c r="J42" s="1"/>
      <c r="K42" s="1"/>
      <c r="L42" s="1"/>
      <c r="M42" s="1"/>
      <c r="N42" s="1"/>
      <c r="O42" s="1"/>
      <c r="P42" s="41"/>
      <c r="Q42" s="42"/>
      <c r="R42" s="42"/>
      <c r="S42" s="42"/>
      <c r="T42" s="42"/>
      <c r="U42" s="42"/>
      <c r="V42" s="42"/>
      <c r="W42" s="42"/>
      <c r="X42" s="42"/>
      <c r="Y42" s="42"/>
      <c r="Z42" s="42"/>
      <c r="AA42" s="42"/>
      <c r="AB42" s="43"/>
      <c r="AC42" s="31"/>
      <c r="AD42" s="7"/>
      <c r="AE42" s="7"/>
      <c r="AF42" s="7"/>
      <c r="AG42" s="7"/>
      <c r="AH42" s="7"/>
      <c r="AI42" s="7"/>
      <c r="AJ42" s="7"/>
      <c r="AK42" s="7"/>
      <c r="AL42" s="7"/>
      <c r="AM42" s="7"/>
      <c r="AN42" s="7"/>
      <c r="AO42" s="7"/>
      <c r="AP42" s="7"/>
      <c r="AQ42" s="7"/>
    </row>
    <row r="43" spans="1:43" x14ac:dyDescent="0.75">
      <c r="A43" s="1"/>
      <c r="B43" s="1"/>
      <c r="C43" s="1"/>
      <c r="D43" s="1"/>
      <c r="E43" s="1"/>
      <c r="F43" s="1"/>
      <c r="G43" s="1"/>
      <c r="H43" s="1"/>
      <c r="I43" s="1"/>
      <c r="J43" s="1"/>
      <c r="K43" s="1"/>
      <c r="L43" s="1"/>
      <c r="M43" s="1"/>
      <c r="N43" s="1"/>
      <c r="O43" s="1"/>
      <c r="P43" s="41"/>
      <c r="Q43" s="42"/>
      <c r="R43" s="42"/>
      <c r="S43" s="42"/>
      <c r="T43" s="42"/>
      <c r="U43" s="42"/>
      <c r="V43" s="42"/>
      <c r="W43" s="42"/>
      <c r="X43" s="42"/>
      <c r="Y43" s="42"/>
      <c r="Z43" s="42"/>
      <c r="AA43" s="42"/>
      <c r="AB43" s="43"/>
      <c r="AC43" s="31"/>
      <c r="AD43" s="7"/>
      <c r="AE43" s="7"/>
      <c r="AF43" s="7"/>
      <c r="AG43" s="7"/>
      <c r="AH43" s="7"/>
      <c r="AI43" s="7"/>
      <c r="AJ43" s="7"/>
      <c r="AK43" s="7"/>
      <c r="AL43" s="7"/>
      <c r="AM43" s="7"/>
      <c r="AN43" s="7"/>
      <c r="AO43" s="7"/>
      <c r="AP43" s="7"/>
      <c r="AQ43" s="7"/>
    </row>
    <row r="44" spans="1:43" x14ac:dyDescent="0.75">
      <c r="A44" s="1"/>
      <c r="B44" s="1"/>
      <c r="C44" s="1"/>
      <c r="D44" s="1"/>
      <c r="E44" s="1"/>
      <c r="F44" s="1"/>
      <c r="G44" s="1"/>
      <c r="H44" s="1"/>
      <c r="I44" s="1"/>
      <c r="J44" s="1"/>
      <c r="K44" s="1"/>
      <c r="L44" s="1"/>
      <c r="M44" s="1"/>
      <c r="N44" s="1"/>
      <c r="O44" s="1"/>
      <c r="P44" s="41"/>
      <c r="Q44" s="42"/>
      <c r="R44" s="42"/>
      <c r="S44" s="42"/>
      <c r="T44" s="42"/>
      <c r="U44" s="42"/>
      <c r="V44" s="42"/>
      <c r="W44" s="42"/>
      <c r="X44" s="42"/>
      <c r="Y44" s="42"/>
      <c r="Z44" s="42"/>
      <c r="AA44" s="42"/>
      <c r="AB44" s="43"/>
      <c r="AC44" s="31"/>
      <c r="AD44" s="7"/>
      <c r="AE44" s="7"/>
      <c r="AF44" s="7"/>
      <c r="AG44" s="7"/>
      <c r="AH44" s="7"/>
      <c r="AI44" s="7"/>
      <c r="AJ44" s="7"/>
      <c r="AK44" s="7"/>
      <c r="AL44" s="7"/>
      <c r="AM44" s="7"/>
      <c r="AN44" s="7"/>
      <c r="AO44" s="7"/>
      <c r="AP44" s="7"/>
      <c r="AQ44" s="7"/>
    </row>
    <row r="45" spans="1:43" x14ac:dyDescent="0.75">
      <c r="A45" s="1"/>
      <c r="B45" s="1"/>
      <c r="C45" s="1"/>
      <c r="D45" s="1"/>
      <c r="E45" s="1"/>
      <c r="F45" s="1"/>
      <c r="G45" s="1"/>
      <c r="H45" s="1"/>
      <c r="I45" s="1"/>
      <c r="J45" s="1"/>
      <c r="K45" s="1"/>
      <c r="L45" s="1"/>
      <c r="M45" s="1"/>
      <c r="N45" s="1"/>
      <c r="O45" s="1"/>
      <c r="P45" s="41"/>
      <c r="Q45" s="42"/>
      <c r="R45" s="42"/>
      <c r="S45" s="42"/>
      <c r="T45" s="42"/>
      <c r="U45" s="42"/>
      <c r="V45" s="42"/>
      <c r="W45" s="42"/>
      <c r="X45" s="42"/>
      <c r="Y45" s="42"/>
      <c r="Z45" s="42"/>
      <c r="AA45" s="42"/>
      <c r="AB45" s="43"/>
      <c r="AC45" s="31"/>
      <c r="AD45" s="7"/>
      <c r="AE45" s="7"/>
      <c r="AF45" s="7"/>
      <c r="AG45" s="7"/>
      <c r="AH45" s="7"/>
      <c r="AI45" s="7"/>
      <c r="AJ45" s="7"/>
      <c r="AK45" s="7"/>
      <c r="AL45" s="7"/>
      <c r="AM45" s="7"/>
      <c r="AN45" s="7"/>
      <c r="AO45" s="7"/>
      <c r="AP45" s="7"/>
      <c r="AQ45" s="7"/>
    </row>
    <row r="46" spans="1:43" x14ac:dyDescent="0.75">
      <c r="A46" s="1"/>
      <c r="B46" s="1"/>
      <c r="C46" s="1"/>
      <c r="D46" s="1"/>
      <c r="E46" s="1"/>
      <c r="F46" s="1"/>
      <c r="G46" s="1"/>
      <c r="H46" s="1"/>
      <c r="I46" s="1"/>
      <c r="J46" s="1"/>
      <c r="K46" s="1"/>
      <c r="L46" s="1"/>
      <c r="M46" s="1"/>
      <c r="N46" s="1"/>
      <c r="O46" s="1"/>
      <c r="P46" s="41"/>
      <c r="Q46" s="42"/>
      <c r="R46" s="42"/>
      <c r="S46" s="42"/>
      <c r="T46" s="42"/>
      <c r="U46" s="42"/>
      <c r="V46" s="42"/>
      <c r="W46" s="42"/>
      <c r="X46" s="42"/>
      <c r="Y46" s="42"/>
      <c r="Z46" s="42"/>
      <c r="AA46" s="42"/>
      <c r="AB46" s="43"/>
      <c r="AC46" s="31"/>
      <c r="AD46" s="7"/>
      <c r="AE46" s="7"/>
      <c r="AF46" s="7"/>
      <c r="AG46" s="7"/>
      <c r="AH46" s="7"/>
      <c r="AI46" s="7"/>
      <c r="AJ46" s="7"/>
      <c r="AK46" s="7"/>
      <c r="AL46" s="7"/>
      <c r="AM46" s="7"/>
      <c r="AN46" s="7"/>
      <c r="AO46" s="7"/>
      <c r="AP46" s="7"/>
      <c r="AQ46" s="7"/>
    </row>
    <row r="47" spans="1:43" x14ac:dyDescent="0.75">
      <c r="A47" s="1"/>
      <c r="B47" s="1"/>
      <c r="C47" s="1"/>
      <c r="D47" s="1"/>
      <c r="E47" s="1"/>
      <c r="F47" s="1"/>
      <c r="G47" s="1"/>
      <c r="H47" s="1"/>
      <c r="I47" s="1"/>
      <c r="J47" s="1"/>
      <c r="K47" s="1"/>
      <c r="L47" s="1"/>
      <c r="M47" s="1"/>
      <c r="N47" s="1"/>
      <c r="O47" s="1"/>
      <c r="P47" s="41"/>
      <c r="Q47" s="42"/>
      <c r="R47" s="276" t="s">
        <v>36</v>
      </c>
      <c r="S47" s="276"/>
      <c r="T47" s="276"/>
      <c r="U47" s="191"/>
      <c r="V47" s="42"/>
      <c r="W47" s="42"/>
      <c r="X47" s="42"/>
      <c r="Y47" s="42"/>
      <c r="Z47" s="42"/>
      <c r="AA47" s="42"/>
      <c r="AB47" s="43"/>
      <c r="AC47" s="31"/>
      <c r="AD47" s="7"/>
      <c r="AE47" s="7"/>
      <c r="AF47" s="7"/>
      <c r="AG47" s="7"/>
      <c r="AH47" s="7"/>
      <c r="AI47" s="7"/>
      <c r="AJ47" s="7"/>
      <c r="AK47" s="7"/>
      <c r="AL47" s="7"/>
      <c r="AM47" s="7"/>
      <c r="AN47" s="7"/>
      <c r="AO47" s="7"/>
      <c r="AP47" s="7"/>
      <c r="AQ47" s="7"/>
    </row>
    <row r="48" spans="1:43" x14ac:dyDescent="0.75">
      <c r="A48" s="1"/>
      <c r="B48" s="1"/>
      <c r="C48" s="1"/>
      <c r="D48" s="1"/>
      <c r="E48" s="1"/>
      <c r="F48" s="1"/>
      <c r="G48" s="1"/>
      <c r="H48" s="1"/>
      <c r="I48" s="1"/>
      <c r="J48" s="1"/>
      <c r="K48" s="1"/>
      <c r="L48" s="1"/>
      <c r="M48" s="1"/>
      <c r="N48" s="1"/>
      <c r="O48" s="1"/>
      <c r="P48" s="41"/>
      <c r="Q48" s="42"/>
      <c r="R48" s="293" t="s">
        <v>37</v>
      </c>
      <c r="S48" s="293"/>
      <c r="T48" s="197">
        <v>1</v>
      </c>
      <c r="U48" s="42" t="s">
        <v>38</v>
      </c>
      <c r="V48" s="42"/>
      <c r="W48" s="42"/>
      <c r="X48" s="42"/>
      <c r="Y48" s="42"/>
      <c r="Z48" s="42"/>
      <c r="AA48" s="42"/>
      <c r="AB48" s="43"/>
      <c r="AC48" s="31"/>
      <c r="AD48" s="7"/>
      <c r="AE48" s="7"/>
      <c r="AF48" s="7"/>
      <c r="AG48" s="7"/>
      <c r="AH48" s="7"/>
      <c r="AI48" s="7"/>
      <c r="AJ48" s="7"/>
      <c r="AK48" s="7"/>
      <c r="AL48" s="7"/>
      <c r="AM48" s="7"/>
      <c r="AN48" s="7"/>
      <c r="AO48" s="7"/>
      <c r="AP48" s="7"/>
      <c r="AQ48" s="7"/>
    </row>
    <row r="49" spans="1:43" x14ac:dyDescent="0.75">
      <c r="A49" s="1"/>
      <c r="B49" s="1"/>
      <c r="C49" s="1"/>
      <c r="D49" s="1"/>
      <c r="E49" s="1"/>
      <c r="F49" s="1"/>
      <c r="G49" s="1"/>
      <c r="H49" s="1"/>
      <c r="I49" s="1"/>
      <c r="J49" s="1"/>
      <c r="K49" s="1"/>
      <c r="L49" s="1"/>
      <c r="M49" s="1"/>
      <c r="N49" s="1"/>
      <c r="O49" s="1"/>
      <c r="P49" s="41"/>
      <c r="Q49" s="42"/>
      <c r="R49" s="293"/>
      <c r="S49" s="293"/>
      <c r="T49" s="193">
        <f>10*LOG10(T48)</f>
        <v>0</v>
      </c>
      <c r="U49" s="42" t="s">
        <v>39</v>
      </c>
      <c r="V49" s="42"/>
      <c r="W49" s="276" t="s">
        <v>40</v>
      </c>
      <c r="X49" s="276"/>
      <c r="Y49" s="276"/>
      <c r="Z49" s="42"/>
      <c r="AA49" s="42"/>
      <c r="AB49" s="43"/>
      <c r="AC49" s="31"/>
      <c r="AD49" s="7"/>
      <c r="AE49" s="7"/>
      <c r="AF49" s="7"/>
      <c r="AG49" s="7"/>
      <c r="AH49" s="7"/>
      <c r="AI49" s="7"/>
      <c r="AJ49" s="7"/>
      <c r="AK49" s="7"/>
      <c r="AL49" s="7"/>
      <c r="AM49" s="7"/>
      <c r="AN49" s="7"/>
      <c r="AO49" s="7"/>
      <c r="AP49" s="7"/>
      <c r="AQ49" s="7"/>
    </row>
    <row r="50" spans="1:43" x14ac:dyDescent="0.75">
      <c r="A50" s="1"/>
      <c r="B50" s="1"/>
      <c r="C50" s="1"/>
      <c r="D50" s="1"/>
      <c r="E50" s="1"/>
      <c r="F50" s="1"/>
      <c r="G50" s="1"/>
      <c r="H50" s="1"/>
      <c r="I50" s="1"/>
      <c r="J50" s="1"/>
      <c r="K50" s="1"/>
      <c r="L50" s="1"/>
      <c r="M50" s="1"/>
      <c r="N50" s="1"/>
      <c r="O50" s="1"/>
      <c r="P50" s="41"/>
      <c r="Q50" s="42"/>
      <c r="R50" s="293"/>
      <c r="S50" s="293"/>
      <c r="T50" s="193">
        <f>T49+30</f>
        <v>30</v>
      </c>
      <c r="U50" s="42" t="s">
        <v>41</v>
      </c>
      <c r="V50" s="42"/>
      <c r="W50" s="283" t="s">
        <v>42</v>
      </c>
      <c r="X50" s="283"/>
      <c r="Y50" s="198"/>
      <c r="Z50" s="42" t="s">
        <v>27</v>
      </c>
      <c r="AA50" s="42"/>
      <c r="AB50" s="43"/>
      <c r="AC50" s="31"/>
      <c r="AD50" s="7"/>
      <c r="AE50" s="7"/>
      <c r="AF50" s="7"/>
      <c r="AG50" s="7"/>
      <c r="AH50" s="7"/>
      <c r="AI50" s="7"/>
      <c r="AJ50" s="7"/>
      <c r="AK50" s="7"/>
      <c r="AL50" s="7"/>
      <c r="AM50" s="7"/>
      <c r="AN50" s="7"/>
      <c r="AO50" s="7"/>
      <c r="AP50" s="7"/>
      <c r="AQ50" s="7"/>
    </row>
    <row r="51" spans="1:43" x14ac:dyDescent="0.75">
      <c r="A51" s="1"/>
      <c r="B51" s="1"/>
      <c r="C51" s="1"/>
      <c r="D51" s="1"/>
      <c r="E51" s="1"/>
      <c r="F51" s="1"/>
      <c r="G51" s="1"/>
      <c r="H51" s="1"/>
      <c r="I51" s="1"/>
      <c r="J51" s="1"/>
      <c r="K51" s="1"/>
      <c r="L51" s="1"/>
      <c r="M51" s="1"/>
      <c r="N51" s="1"/>
      <c r="O51" s="1"/>
      <c r="P51" s="41"/>
      <c r="Q51" s="42"/>
      <c r="R51" s="42"/>
      <c r="S51" s="42"/>
      <c r="T51" s="42"/>
      <c r="U51" s="42"/>
      <c r="V51" s="42"/>
      <c r="W51" s="283" t="s">
        <v>43</v>
      </c>
      <c r="X51" s="283"/>
      <c r="Y51" s="198"/>
      <c r="Z51" s="42" t="s">
        <v>27</v>
      </c>
      <c r="AA51" s="42"/>
      <c r="AB51" s="43"/>
      <c r="AC51" s="31"/>
      <c r="AD51" s="7"/>
      <c r="AE51" s="7"/>
      <c r="AF51" s="7"/>
      <c r="AG51" s="7"/>
      <c r="AH51" s="7"/>
      <c r="AI51" s="7"/>
      <c r="AJ51" s="7"/>
      <c r="AK51" s="7"/>
      <c r="AL51" s="7"/>
      <c r="AM51" s="7"/>
      <c r="AN51" s="7"/>
      <c r="AO51" s="7"/>
      <c r="AP51" s="7"/>
      <c r="AQ51" s="7"/>
    </row>
    <row r="52" spans="1:43" x14ac:dyDescent="0.75">
      <c r="A52" s="1"/>
      <c r="B52" s="1"/>
      <c r="C52" s="1"/>
      <c r="D52" s="1"/>
      <c r="E52" s="1"/>
      <c r="F52" s="1"/>
      <c r="G52" s="1"/>
      <c r="H52" s="1"/>
      <c r="I52" s="1"/>
      <c r="J52" s="1"/>
      <c r="K52" s="1"/>
      <c r="L52" s="1"/>
      <c r="M52" s="1"/>
      <c r="N52" s="1"/>
      <c r="O52" s="1"/>
      <c r="P52" s="41"/>
      <c r="Q52" s="42"/>
      <c r="R52" s="276" t="s">
        <v>44</v>
      </c>
      <c r="S52" s="276"/>
      <c r="T52" s="276"/>
      <c r="U52" s="191"/>
      <c r="V52" s="42"/>
      <c r="W52" s="283" t="s">
        <v>45</v>
      </c>
      <c r="X52" s="283"/>
      <c r="Y52" s="198"/>
      <c r="Z52" s="42" t="s">
        <v>27</v>
      </c>
      <c r="AA52" s="42"/>
      <c r="AB52" s="43"/>
      <c r="AC52" s="31"/>
      <c r="AD52" s="7"/>
      <c r="AE52" s="7"/>
      <c r="AF52" s="7"/>
      <c r="AG52" s="7"/>
      <c r="AH52" s="7"/>
      <c r="AI52" s="7"/>
      <c r="AJ52" s="7"/>
      <c r="AK52" s="7"/>
      <c r="AL52" s="7"/>
      <c r="AM52" s="7"/>
      <c r="AN52" s="7"/>
      <c r="AO52" s="7"/>
      <c r="AP52" s="7"/>
      <c r="AQ52" s="7"/>
    </row>
    <row r="53" spans="1:43" x14ac:dyDescent="0.75">
      <c r="A53" s="1"/>
      <c r="B53" s="1"/>
      <c r="C53" s="1"/>
      <c r="D53" s="1"/>
      <c r="E53" s="1"/>
      <c r="F53" s="1"/>
      <c r="G53" s="1"/>
      <c r="H53" s="1"/>
      <c r="I53" s="1"/>
      <c r="J53" s="1"/>
      <c r="K53" s="1"/>
      <c r="L53" s="1"/>
      <c r="M53" s="1"/>
      <c r="N53" s="1"/>
      <c r="O53" s="1"/>
      <c r="P53" s="41"/>
      <c r="Q53" s="42"/>
      <c r="R53" s="283" t="s">
        <v>46</v>
      </c>
      <c r="S53" s="283"/>
      <c r="T53" s="198"/>
      <c r="U53" s="42" t="s">
        <v>47</v>
      </c>
      <c r="V53" s="42"/>
      <c r="W53" s="283" t="s">
        <v>48</v>
      </c>
      <c r="X53" s="283"/>
      <c r="Y53" s="194">
        <f>SUM(Y50:Y52)</f>
        <v>0</v>
      </c>
      <c r="Z53" s="42" t="s">
        <v>27</v>
      </c>
      <c r="AA53" s="42"/>
      <c r="AB53" s="43"/>
      <c r="AC53" s="31"/>
      <c r="AD53" s="7"/>
      <c r="AE53" s="7"/>
      <c r="AF53" s="7"/>
      <c r="AG53" s="7"/>
      <c r="AH53" s="7"/>
      <c r="AI53" s="7"/>
      <c r="AJ53" s="7"/>
      <c r="AK53" s="7"/>
      <c r="AL53" s="7"/>
      <c r="AM53" s="7"/>
      <c r="AN53" s="7"/>
      <c r="AO53" s="7"/>
      <c r="AP53" s="7"/>
      <c r="AQ53" s="7"/>
    </row>
    <row r="54" spans="1:43" x14ac:dyDescent="0.75">
      <c r="A54" s="1"/>
      <c r="B54" s="1"/>
      <c r="C54" s="1"/>
      <c r="D54" s="1"/>
      <c r="E54" s="1"/>
      <c r="F54" s="1"/>
      <c r="G54" s="1"/>
      <c r="H54" s="1"/>
      <c r="I54" s="1"/>
      <c r="J54" s="1"/>
      <c r="K54" s="1"/>
      <c r="L54" s="1"/>
      <c r="M54" s="1"/>
      <c r="N54" s="1"/>
      <c r="O54" s="1"/>
      <c r="P54" s="41"/>
      <c r="Q54" s="42"/>
      <c r="R54" s="283" t="s">
        <v>49</v>
      </c>
      <c r="S54" s="283"/>
      <c r="T54" s="193">
        <v>0.2</v>
      </c>
      <c r="U54" s="42" t="s">
        <v>33</v>
      </c>
      <c r="V54" s="42"/>
      <c r="W54" s="42"/>
      <c r="X54" s="42"/>
      <c r="Y54" s="42"/>
      <c r="Z54" s="42"/>
      <c r="AA54" s="42"/>
      <c r="AB54" s="43"/>
      <c r="AC54" s="31"/>
      <c r="AD54" s="7"/>
      <c r="AE54" s="7"/>
      <c r="AF54" s="7"/>
      <c r="AG54" s="7"/>
      <c r="AH54" s="7"/>
      <c r="AI54" s="7"/>
      <c r="AJ54" s="7"/>
      <c r="AK54" s="7"/>
      <c r="AL54" s="7"/>
      <c r="AM54" s="7"/>
      <c r="AN54" s="7"/>
      <c r="AO54" s="7"/>
      <c r="AP54" s="7"/>
      <c r="AQ54" s="7"/>
    </row>
    <row r="55" spans="1:43" x14ac:dyDescent="0.75">
      <c r="A55" s="1"/>
      <c r="B55" s="1"/>
      <c r="C55" s="1"/>
      <c r="D55" s="1"/>
      <c r="E55" s="1"/>
      <c r="F55" s="1"/>
      <c r="G55" s="1"/>
      <c r="H55" s="1"/>
      <c r="I55" s="1"/>
      <c r="J55" s="1"/>
      <c r="K55" s="1"/>
      <c r="L55" s="1"/>
      <c r="M55" s="1"/>
      <c r="N55" s="1"/>
      <c r="O55" s="1"/>
      <c r="P55" s="41"/>
      <c r="Q55" s="42"/>
      <c r="R55" s="42"/>
      <c r="S55" s="42"/>
      <c r="T55" s="42"/>
      <c r="U55" s="42"/>
      <c r="V55" s="42"/>
      <c r="W55" s="42"/>
      <c r="X55" s="42"/>
      <c r="Y55" s="42"/>
      <c r="Z55" s="42"/>
      <c r="AA55" s="42"/>
      <c r="AB55" s="43"/>
      <c r="AC55" s="31"/>
      <c r="AD55" s="7"/>
      <c r="AE55" s="7"/>
      <c r="AF55" s="7"/>
      <c r="AG55" s="7"/>
      <c r="AH55" s="7"/>
      <c r="AI55" s="7"/>
      <c r="AJ55" s="7"/>
      <c r="AK55" s="7"/>
      <c r="AL55" s="7"/>
      <c r="AM55" s="7"/>
      <c r="AN55" s="7"/>
      <c r="AO55" s="7"/>
      <c r="AP55" s="7"/>
      <c r="AQ55" s="7"/>
    </row>
    <row r="56" spans="1:43" x14ac:dyDescent="0.75">
      <c r="A56" s="1"/>
      <c r="B56" s="1"/>
      <c r="C56" s="1"/>
      <c r="D56" s="1"/>
      <c r="E56" s="1"/>
      <c r="F56" s="1"/>
      <c r="G56" s="1"/>
      <c r="H56" s="1"/>
      <c r="I56" s="1"/>
      <c r="J56" s="1"/>
      <c r="K56" s="1"/>
      <c r="L56" s="1"/>
      <c r="M56" s="1"/>
      <c r="N56" s="1"/>
      <c r="O56" s="1"/>
      <c r="P56" s="41"/>
      <c r="Q56" s="42"/>
      <c r="R56" s="276" t="s">
        <v>50</v>
      </c>
      <c r="S56" s="276"/>
      <c r="T56" s="276"/>
      <c r="U56" s="276"/>
      <c r="V56" s="276"/>
      <c r="W56" s="276"/>
      <c r="X56" s="276"/>
      <c r="Y56" s="191"/>
      <c r="Z56" s="191"/>
      <c r="AA56" s="42"/>
      <c r="AB56" s="43"/>
      <c r="AC56" s="31"/>
      <c r="AD56" s="7"/>
      <c r="AE56" s="7"/>
      <c r="AF56" s="7"/>
      <c r="AG56" s="7"/>
      <c r="AH56" s="7"/>
      <c r="AI56" s="7"/>
      <c r="AJ56" s="7"/>
      <c r="AK56" s="7"/>
      <c r="AL56" s="7"/>
      <c r="AM56" s="7"/>
      <c r="AN56" s="7"/>
      <c r="AO56" s="7"/>
      <c r="AP56" s="7"/>
      <c r="AQ56" s="7"/>
    </row>
    <row r="57" spans="1:43" x14ac:dyDescent="0.75">
      <c r="A57" s="1"/>
      <c r="B57" s="1"/>
      <c r="C57" s="1"/>
      <c r="D57" s="1"/>
      <c r="E57" s="1"/>
      <c r="F57" s="1"/>
      <c r="G57" s="1"/>
      <c r="H57" s="1"/>
      <c r="I57" s="1"/>
      <c r="J57" s="1"/>
      <c r="K57" s="1"/>
      <c r="L57" s="1"/>
      <c r="M57" s="1"/>
      <c r="N57" s="1"/>
      <c r="O57" s="1"/>
      <c r="P57" s="41"/>
      <c r="Q57" s="42"/>
      <c r="R57" s="283" t="s">
        <v>51</v>
      </c>
      <c r="S57" s="283"/>
      <c r="T57" s="283"/>
      <c r="U57" s="283"/>
      <c r="V57" s="286">
        <v>0</v>
      </c>
      <c r="W57" s="287"/>
      <c r="X57" s="288"/>
      <c r="Y57" s="42" t="s">
        <v>52</v>
      </c>
      <c r="Z57" s="42"/>
      <c r="AA57" s="42"/>
      <c r="AB57" s="43"/>
      <c r="AC57" s="31"/>
      <c r="AD57" s="7"/>
      <c r="AE57" s="7"/>
      <c r="AF57" s="7"/>
      <c r="AG57" s="7"/>
      <c r="AH57" s="7"/>
      <c r="AI57" s="7"/>
      <c r="AJ57" s="7"/>
      <c r="AK57" s="7"/>
      <c r="AL57" s="7"/>
      <c r="AM57" s="7"/>
      <c r="AN57" s="7"/>
      <c r="AO57" s="7"/>
      <c r="AP57" s="7"/>
      <c r="AQ57" s="7"/>
    </row>
    <row r="58" spans="1:43" x14ac:dyDescent="0.75">
      <c r="A58" s="1"/>
      <c r="B58" s="1"/>
      <c r="C58" s="1"/>
      <c r="D58" s="1"/>
      <c r="E58" s="1"/>
      <c r="F58" s="1"/>
      <c r="G58" s="1"/>
      <c r="H58" s="1"/>
      <c r="I58" s="1"/>
      <c r="J58" s="1"/>
      <c r="K58" s="1"/>
      <c r="L58" s="1"/>
      <c r="M58" s="1"/>
      <c r="N58" s="1"/>
      <c r="O58" s="1"/>
      <c r="P58" s="41"/>
      <c r="Q58" s="42"/>
      <c r="R58" s="283" t="s">
        <v>53</v>
      </c>
      <c r="S58" s="283"/>
      <c r="T58" s="283"/>
      <c r="U58" s="283"/>
      <c r="V58" s="289">
        <v>0.2</v>
      </c>
      <c r="W58" s="290"/>
      <c r="X58" s="291"/>
      <c r="Y58" s="42" t="s">
        <v>33</v>
      </c>
      <c r="Z58" s="42"/>
      <c r="AA58" s="42"/>
      <c r="AB58" s="43"/>
      <c r="AC58" s="31"/>
      <c r="AD58" s="7"/>
      <c r="AE58" s="7"/>
      <c r="AF58" s="7"/>
      <c r="AG58" s="7"/>
      <c r="AH58" s="7"/>
      <c r="AI58" s="7"/>
      <c r="AJ58" s="7"/>
      <c r="AK58" s="7"/>
      <c r="AL58" s="7"/>
      <c r="AM58" s="7"/>
      <c r="AN58" s="7"/>
      <c r="AO58" s="7"/>
      <c r="AP58" s="7"/>
      <c r="AQ58" s="7"/>
    </row>
    <row r="59" spans="1:43" x14ac:dyDescent="0.75">
      <c r="A59" s="1"/>
      <c r="B59" s="1"/>
      <c r="C59" s="1"/>
      <c r="D59" s="1"/>
      <c r="E59" s="1"/>
      <c r="F59" s="1"/>
      <c r="G59" s="1"/>
      <c r="H59" s="1"/>
      <c r="I59" s="1"/>
      <c r="J59" s="1"/>
      <c r="K59" s="1"/>
      <c r="L59" s="1"/>
      <c r="M59" s="1"/>
      <c r="N59" s="1"/>
      <c r="O59" s="1"/>
      <c r="P59" s="41"/>
      <c r="Q59" s="42"/>
      <c r="R59" s="283" t="s">
        <v>54</v>
      </c>
      <c r="S59" s="283"/>
      <c r="T59" s="283"/>
      <c r="U59" s="283"/>
      <c r="V59" s="286"/>
      <c r="W59" s="287"/>
      <c r="X59" s="288"/>
      <c r="Y59" s="42" t="s">
        <v>33</v>
      </c>
      <c r="Z59" s="42"/>
      <c r="AA59" s="42"/>
      <c r="AB59" s="43"/>
      <c r="AC59" s="31"/>
      <c r="AD59" s="7"/>
      <c r="AE59" s="7"/>
      <c r="AF59" s="7"/>
      <c r="AG59" s="7"/>
      <c r="AH59" s="7"/>
      <c r="AI59" s="7"/>
      <c r="AJ59" s="7"/>
      <c r="AK59" s="7"/>
      <c r="AL59" s="7"/>
      <c r="AM59" s="7"/>
      <c r="AN59" s="7"/>
      <c r="AO59" s="7"/>
      <c r="AP59" s="7"/>
      <c r="AQ59" s="7"/>
    </row>
    <row r="60" spans="1:43" x14ac:dyDescent="0.75">
      <c r="A60" s="1"/>
      <c r="B60" s="1"/>
      <c r="C60" s="1"/>
      <c r="D60" s="1"/>
      <c r="E60" s="1"/>
      <c r="F60" s="1"/>
      <c r="G60" s="1"/>
      <c r="H60" s="1"/>
      <c r="I60" s="1"/>
      <c r="J60" s="1"/>
      <c r="K60" s="1"/>
      <c r="L60" s="1"/>
      <c r="M60" s="1"/>
      <c r="N60" s="1"/>
      <c r="O60" s="1"/>
      <c r="P60" s="41"/>
      <c r="Q60" s="42"/>
      <c r="R60" s="283" t="s">
        <v>55</v>
      </c>
      <c r="S60" s="283"/>
      <c r="T60" s="283"/>
      <c r="U60" s="283"/>
      <c r="V60" s="286"/>
      <c r="W60" s="287"/>
      <c r="X60" s="288"/>
      <c r="Y60" s="42" t="s">
        <v>33</v>
      </c>
      <c r="Z60" s="42"/>
      <c r="AA60" s="42"/>
      <c r="AB60" s="43"/>
      <c r="AC60" s="31"/>
      <c r="AD60" s="7"/>
      <c r="AE60" s="7"/>
      <c r="AF60" s="7"/>
      <c r="AG60" s="7"/>
      <c r="AH60" s="7"/>
      <c r="AI60" s="7"/>
      <c r="AJ60" s="7"/>
      <c r="AK60" s="7"/>
      <c r="AL60" s="7"/>
      <c r="AM60" s="7"/>
      <c r="AN60" s="7"/>
      <c r="AO60" s="7"/>
      <c r="AP60" s="7"/>
      <c r="AQ60" s="7"/>
    </row>
    <row r="61" spans="1:43" x14ac:dyDescent="0.75">
      <c r="A61" s="1"/>
      <c r="B61" s="1"/>
      <c r="C61" s="1"/>
      <c r="D61" s="1"/>
      <c r="E61" s="1"/>
      <c r="F61" s="1"/>
      <c r="G61" s="1"/>
      <c r="H61" s="1"/>
      <c r="I61" s="1"/>
      <c r="J61" s="1"/>
      <c r="K61" s="1"/>
      <c r="L61" s="1"/>
      <c r="M61" s="1"/>
      <c r="N61" s="1"/>
      <c r="O61" s="1"/>
      <c r="P61" s="41"/>
      <c r="Q61" s="42"/>
      <c r="R61" s="283" t="s">
        <v>56</v>
      </c>
      <c r="S61" s="283"/>
      <c r="T61" s="283"/>
      <c r="U61" s="283"/>
      <c r="V61" s="286"/>
      <c r="W61" s="287"/>
      <c r="X61" s="288"/>
      <c r="Y61" s="42" t="s">
        <v>33</v>
      </c>
      <c r="Z61" s="42"/>
      <c r="AA61" s="42"/>
      <c r="AB61" s="43"/>
      <c r="AC61" s="31"/>
      <c r="AD61" s="7"/>
      <c r="AE61" s="7"/>
      <c r="AF61" s="7"/>
      <c r="AG61" s="7"/>
      <c r="AH61" s="7"/>
      <c r="AI61" s="7"/>
      <c r="AJ61" s="7"/>
      <c r="AK61" s="7"/>
      <c r="AL61" s="7"/>
      <c r="AM61" s="7"/>
      <c r="AN61" s="7"/>
      <c r="AO61" s="7"/>
      <c r="AP61" s="7"/>
      <c r="AQ61" s="7"/>
    </row>
    <row r="62" spans="1:43" x14ac:dyDescent="0.75">
      <c r="A62" s="1"/>
      <c r="B62" s="1"/>
      <c r="C62" s="1"/>
      <c r="D62" s="1"/>
      <c r="E62" s="1"/>
      <c r="F62" s="1"/>
      <c r="G62" s="1"/>
      <c r="H62" s="1"/>
      <c r="I62" s="1"/>
      <c r="J62" s="1"/>
      <c r="K62" s="1"/>
      <c r="L62" s="1"/>
      <c r="M62" s="1"/>
      <c r="N62" s="1"/>
      <c r="O62" s="1"/>
      <c r="P62" s="41"/>
      <c r="Q62" s="42"/>
      <c r="R62" s="42"/>
      <c r="S62" s="42"/>
      <c r="T62" s="42"/>
      <c r="U62" s="42"/>
      <c r="V62" s="42"/>
      <c r="W62" s="42"/>
      <c r="X62" s="42"/>
      <c r="Y62" s="42"/>
      <c r="Z62" s="42"/>
      <c r="AA62" s="42"/>
      <c r="AB62" s="43"/>
      <c r="AC62" s="31"/>
      <c r="AD62" s="7"/>
      <c r="AE62" s="7"/>
      <c r="AF62" s="7"/>
      <c r="AG62" s="7"/>
      <c r="AH62" s="7"/>
      <c r="AI62" s="7"/>
      <c r="AJ62" s="7"/>
      <c r="AK62" s="7"/>
      <c r="AL62" s="7"/>
      <c r="AM62" s="7"/>
      <c r="AN62" s="7"/>
      <c r="AO62" s="7"/>
      <c r="AP62" s="7"/>
      <c r="AQ62" s="7"/>
    </row>
    <row r="63" spans="1:43" x14ac:dyDescent="0.75">
      <c r="A63" s="1"/>
      <c r="B63" s="1"/>
      <c r="C63" s="1"/>
      <c r="D63" s="1"/>
      <c r="E63" s="1"/>
      <c r="F63" s="1"/>
      <c r="G63" s="1"/>
      <c r="H63" s="1"/>
      <c r="I63" s="1"/>
      <c r="J63" s="1"/>
      <c r="K63" s="1"/>
      <c r="L63" s="1"/>
      <c r="M63" s="1"/>
      <c r="N63" s="1"/>
      <c r="O63" s="1"/>
      <c r="P63" s="41"/>
      <c r="Q63" s="42"/>
      <c r="R63" s="42"/>
      <c r="S63" s="42"/>
      <c r="T63" s="276" t="s">
        <v>57</v>
      </c>
      <c r="U63" s="276"/>
      <c r="V63" s="276"/>
      <c r="W63" s="276"/>
      <c r="X63" s="276"/>
      <c r="Y63" s="42"/>
      <c r="Z63" s="42"/>
      <c r="AA63" s="42"/>
      <c r="AB63" s="43"/>
      <c r="AC63" s="31"/>
      <c r="AD63" s="7"/>
      <c r="AE63" s="7"/>
      <c r="AF63" s="7"/>
      <c r="AG63" s="7"/>
      <c r="AH63" s="7"/>
      <c r="AI63" s="7"/>
      <c r="AJ63" s="7"/>
      <c r="AK63" s="7"/>
      <c r="AL63" s="7"/>
      <c r="AM63" s="7"/>
      <c r="AN63" s="7"/>
      <c r="AO63" s="7"/>
      <c r="AP63" s="7"/>
      <c r="AQ63" s="7"/>
    </row>
    <row r="64" spans="1:43" x14ac:dyDescent="0.75">
      <c r="A64" s="1"/>
      <c r="B64" s="1"/>
      <c r="C64" s="1"/>
      <c r="D64" s="1"/>
      <c r="E64" s="1"/>
      <c r="F64" s="1"/>
      <c r="G64" s="1"/>
      <c r="H64" s="1"/>
      <c r="I64" s="1"/>
      <c r="J64" s="1"/>
      <c r="K64" s="1"/>
      <c r="L64" s="1"/>
      <c r="M64" s="1"/>
      <c r="N64" s="1"/>
      <c r="O64" s="1"/>
      <c r="P64" s="41"/>
      <c r="Q64" s="42"/>
      <c r="R64" s="42"/>
      <c r="S64" s="42"/>
      <c r="T64" s="283" t="s">
        <v>58</v>
      </c>
      <c r="U64" s="283"/>
      <c r="V64" s="284">
        <f>T54+SUM(V58:X61)</f>
        <v>0.4</v>
      </c>
      <c r="W64" s="285"/>
      <c r="X64" s="42" t="s">
        <v>33</v>
      </c>
      <c r="Y64" s="42"/>
      <c r="Z64" s="42"/>
      <c r="AA64" s="42"/>
      <c r="AB64" s="43"/>
      <c r="AC64" s="31"/>
      <c r="AD64" s="7"/>
      <c r="AE64" s="7"/>
      <c r="AF64" s="7"/>
      <c r="AG64" s="7"/>
      <c r="AH64" s="7"/>
      <c r="AI64" s="7"/>
      <c r="AJ64" s="7"/>
      <c r="AK64" s="7"/>
      <c r="AL64" s="7"/>
      <c r="AM64" s="7"/>
      <c r="AN64" s="7"/>
      <c r="AO64" s="7"/>
      <c r="AP64" s="7"/>
      <c r="AQ64" s="7"/>
    </row>
    <row r="65" spans="1:43" x14ac:dyDescent="0.75">
      <c r="A65" s="1"/>
      <c r="B65" s="1"/>
      <c r="C65" s="1"/>
      <c r="D65" s="1"/>
      <c r="E65" s="1"/>
      <c r="F65" s="1"/>
      <c r="G65" s="1"/>
      <c r="H65" s="1"/>
      <c r="I65" s="1"/>
      <c r="J65" s="1"/>
      <c r="K65" s="1"/>
      <c r="L65" s="1"/>
      <c r="M65" s="1"/>
      <c r="N65" s="1"/>
      <c r="O65" s="1"/>
      <c r="P65" s="41"/>
      <c r="Q65" s="42"/>
      <c r="R65" s="42"/>
      <c r="S65" s="42"/>
      <c r="T65" s="283" t="s">
        <v>59</v>
      </c>
      <c r="U65" s="283"/>
      <c r="V65" s="284">
        <f>T49-V64</f>
        <v>-0.4</v>
      </c>
      <c r="W65" s="285"/>
      <c r="X65" s="42" t="s">
        <v>39</v>
      </c>
      <c r="Y65" s="42"/>
      <c r="Z65" s="42"/>
      <c r="AA65" s="42"/>
      <c r="AB65" s="43"/>
      <c r="AC65" s="31"/>
      <c r="AD65" s="7"/>
      <c r="AE65" s="7"/>
      <c r="AF65" s="7"/>
      <c r="AG65" s="7"/>
      <c r="AH65" s="7"/>
      <c r="AI65" s="7"/>
      <c r="AJ65" s="7"/>
      <c r="AK65" s="7"/>
      <c r="AL65" s="7"/>
      <c r="AM65" s="7"/>
      <c r="AN65" s="7"/>
      <c r="AO65" s="7"/>
      <c r="AP65" s="7"/>
      <c r="AQ65" s="7"/>
    </row>
    <row r="66" spans="1:43" x14ac:dyDescent="0.75">
      <c r="A66" s="1"/>
      <c r="B66" s="1"/>
      <c r="C66" s="1"/>
      <c r="D66" s="1"/>
      <c r="E66" s="1"/>
      <c r="F66" s="1"/>
      <c r="G66" s="1"/>
      <c r="H66" s="1"/>
      <c r="I66" s="1"/>
      <c r="J66" s="1"/>
      <c r="K66" s="1"/>
      <c r="L66" s="1"/>
      <c r="M66" s="1"/>
      <c r="N66" s="1"/>
      <c r="O66" s="1"/>
      <c r="P66" s="41"/>
      <c r="Q66" s="42"/>
      <c r="R66" s="42"/>
      <c r="S66" s="42"/>
      <c r="T66" s="42"/>
      <c r="U66" s="42"/>
      <c r="V66" s="42"/>
      <c r="W66" s="42"/>
      <c r="X66" s="42"/>
      <c r="Y66" s="42"/>
      <c r="Z66" s="42"/>
      <c r="AA66" s="42"/>
      <c r="AB66" s="43"/>
      <c r="AC66" s="31"/>
      <c r="AD66" s="7"/>
      <c r="AE66" s="7"/>
      <c r="AF66" s="7"/>
      <c r="AG66" s="7"/>
      <c r="AH66" s="7"/>
      <c r="AI66" s="7"/>
      <c r="AJ66" s="7"/>
      <c r="AK66" s="7"/>
      <c r="AL66" s="7"/>
      <c r="AM66" s="7"/>
      <c r="AN66" s="7"/>
      <c r="AO66" s="7"/>
      <c r="AP66" s="7"/>
      <c r="AQ66" s="7"/>
    </row>
    <row r="67" spans="1:43" ht="15.5" thickBot="1" x14ac:dyDescent="0.9">
      <c r="A67" s="1"/>
      <c r="B67" s="1"/>
      <c r="C67" s="1"/>
      <c r="D67" s="1"/>
      <c r="E67" s="1"/>
      <c r="F67" s="1"/>
      <c r="G67" s="1"/>
      <c r="H67" s="1"/>
      <c r="I67" s="1"/>
      <c r="J67" s="1"/>
      <c r="K67" s="1"/>
      <c r="L67" s="1"/>
      <c r="M67" s="1"/>
      <c r="N67" s="1"/>
      <c r="O67" s="1"/>
      <c r="P67" s="44"/>
      <c r="Q67" s="45"/>
      <c r="R67" s="45"/>
      <c r="S67" s="45"/>
      <c r="T67" s="45"/>
      <c r="U67" s="45"/>
      <c r="V67" s="45"/>
      <c r="W67" s="45"/>
      <c r="X67" s="45"/>
      <c r="Y67" s="45"/>
      <c r="Z67" s="45"/>
      <c r="AA67" s="45"/>
      <c r="AB67" s="46"/>
      <c r="AC67" s="31"/>
      <c r="AD67" s="7"/>
      <c r="AE67" s="7"/>
      <c r="AF67" s="7"/>
      <c r="AG67" s="7"/>
      <c r="AH67" s="7"/>
      <c r="AI67" s="7"/>
      <c r="AJ67" s="7"/>
      <c r="AK67" s="7"/>
      <c r="AL67" s="7"/>
      <c r="AM67" s="7"/>
      <c r="AN67" s="7"/>
      <c r="AO67" s="7"/>
      <c r="AP67" s="7"/>
      <c r="AQ67" s="7"/>
    </row>
    <row r="68" spans="1:43" x14ac:dyDescent="0.7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7"/>
      <c r="AD68" s="7"/>
      <c r="AE68" s="7"/>
      <c r="AF68" s="7"/>
      <c r="AG68" s="7"/>
      <c r="AH68" s="7"/>
      <c r="AI68" s="7"/>
      <c r="AJ68" s="7"/>
      <c r="AK68" s="7"/>
      <c r="AL68" s="7"/>
      <c r="AM68" s="7"/>
      <c r="AN68" s="7"/>
      <c r="AO68" s="7"/>
      <c r="AP68" s="7"/>
      <c r="AQ68" s="7"/>
    </row>
  </sheetData>
  <mergeCells count="56">
    <mergeCell ref="W19:X19"/>
    <mergeCell ref="R20:S20"/>
    <mergeCell ref="W20:X20"/>
    <mergeCell ref="R21:S21"/>
    <mergeCell ref="R19:T19"/>
    <mergeCell ref="R2:Z2"/>
    <mergeCell ref="R6:Z6"/>
    <mergeCell ref="R15:S17"/>
    <mergeCell ref="W17:X17"/>
    <mergeCell ref="W18:X18"/>
    <mergeCell ref="R14:T14"/>
    <mergeCell ref="W16:Y16"/>
    <mergeCell ref="R56:X56"/>
    <mergeCell ref="R28:U28"/>
    <mergeCell ref="V28:X28"/>
    <mergeCell ref="T31:U31"/>
    <mergeCell ref="V31:W31"/>
    <mergeCell ref="R54:S54"/>
    <mergeCell ref="T32:U32"/>
    <mergeCell ref="V32:W32"/>
    <mergeCell ref="R39:Z39"/>
    <mergeCell ref="R48:S50"/>
    <mergeCell ref="W50:X50"/>
    <mergeCell ref="W51:X51"/>
    <mergeCell ref="W52:X52"/>
    <mergeCell ref="R53:S53"/>
    <mergeCell ref="W53:X53"/>
    <mergeCell ref="R52:T52"/>
    <mergeCell ref="R59:U59"/>
    <mergeCell ref="V59:X59"/>
    <mergeCell ref="R60:U60"/>
    <mergeCell ref="V60:X60"/>
    <mergeCell ref="R57:U57"/>
    <mergeCell ref="V57:X57"/>
    <mergeCell ref="R58:U58"/>
    <mergeCell ref="V58:X58"/>
    <mergeCell ref="T65:U65"/>
    <mergeCell ref="V65:W65"/>
    <mergeCell ref="R61:U61"/>
    <mergeCell ref="V61:X61"/>
    <mergeCell ref="T63:X63"/>
    <mergeCell ref="T64:U64"/>
    <mergeCell ref="V64:W64"/>
    <mergeCell ref="R47:T47"/>
    <mergeCell ref="W49:Y49"/>
    <mergeCell ref="AA30:AB30"/>
    <mergeCell ref="R23:X23"/>
    <mergeCell ref="T30:W30"/>
    <mergeCell ref="R26:U26"/>
    <mergeCell ref="V26:X26"/>
    <mergeCell ref="R27:U27"/>
    <mergeCell ref="V27:X27"/>
    <mergeCell ref="R24:U24"/>
    <mergeCell ref="V24:X24"/>
    <mergeCell ref="R25:U25"/>
    <mergeCell ref="V25:X25"/>
  </mergeCells>
  <pageMargins left="0.7" right="0.7" top="0.75" bottom="0.75" header="0.3" footer="0.3"/>
  <pageSetup orientation="portrait" horizontalDpi="0"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8A9DF-3E3A-49B8-9D63-D0B441C06CDE}">
  <sheetPr>
    <tabColor rgb="FFE1CDFF"/>
  </sheetPr>
  <dimension ref="A1:AQ91"/>
  <sheetViews>
    <sheetView tabSelected="1" topLeftCell="A16" zoomScale="80" zoomScaleNormal="80" workbookViewId="0">
      <selection activeCell="V38" sqref="V38:X38"/>
    </sheetView>
  </sheetViews>
  <sheetFormatPr defaultColWidth="0" defaultRowHeight="14.75" customHeight="1" zeroHeight="1" x14ac:dyDescent="0.75"/>
  <cols>
    <col min="1" max="17" width="3.2265625" customWidth="1"/>
    <col min="18" max="26" width="8.7265625" customWidth="1"/>
    <col min="27" max="43" width="3.2265625" customWidth="1"/>
    <col min="44" max="16384" width="8.7265625" hidden="1"/>
  </cols>
  <sheetData>
    <row r="1" spans="1:43" ht="14.75" customHeight="1" thickBot="1" x14ac:dyDescent="0.9">
      <c r="A1" s="1"/>
      <c r="B1" s="1"/>
      <c r="C1" s="1"/>
      <c r="D1" s="1"/>
      <c r="E1" s="1"/>
      <c r="F1" s="1"/>
      <c r="G1" s="1"/>
      <c r="H1" s="1"/>
      <c r="I1" s="1"/>
      <c r="J1" s="1"/>
      <c r="K1" s="1"/>
      <c r="L1" s="1"/>
      <c r="M1" s="1"/>
      <c r="N1" s="1"/>
      <c r="O1" s="1"/>
      <c r="P1" s="1"/>
      <c r="Q1" s="1"/>
      <c r="R1" s="1"/>
      <c r="S1" s="1"/>
      <c r="T1" s="1"/>
      <c r="U1" s="2"/>
      <c r="V1" s="1"/>
      <c r="W1" s="1"/>
      <c r="X1" s="1"/>
      <c r="Y1" s="1"/>
      <c r="Z1" s="1"/>
      <c r="AA1" s="1"/>
      <c r="AB1" s="1"/>
      <c r="AC1" s="1"/>
      <c r="AD1" s="1"/>
      <c r="AE1" s="1"/>
      <c r="AF1" s="1"/>
      <c r="AG1" s="1"/>
      <c r="AH1" s="1"/>
      <c r="AI1" s="1"/>
      <c r="AJ1" s="1"/>
      <c r="AK1" s="1"/>
      <c r="AL1" s="1"/>
      <c r="AM1" s="1"/>
      <c r="AN1" s="1"/>
      <c r="AO1" s="1"/>
      <c r="AP1" s="1"/>
      <c r="AQ1" s="1"/>
    </row>
    <row r="2" spans="1:43" ht="14.75" customHeight="1" thickBot="1" x14ac:dyDescent="0.9">
      <c r="A2" s="7"/>
      <c r="B2" s="7"/>
      <c r="C2" s="7"/>
      <c r="D2" s="7"/>
      <c r="E2" s="7"/>
      <c r="F2" s="7"/>
      <c r="G2" s="7"/>
      <c r="H2" s="7"/>
      <c r="I2" s="7"/>
      <c r="J2" s="7"/>
      <c r="K2" s="7"/>
      <c r="L2" s="7"/>
      <c r="M2" s="7"/>
      <c r="N2" s="7"/>
      <c r="O2" s="7"/>
      <c r="P2" s="7"/>
      <c r="Q2" s="7"/>
      <c r="R2" s="267" t="s">
        <v>0</v>
      </c>
      <c r="S2" s="268"/>
      <c r="T2" s="268"/>
      <c r="U2" s="268"/>
      <c r="V2" s="268"/>
      <c r="W2" s="268"/>
      <c r="X2" s="268"/>
      <c r="Y2" s="268"/>
      <c r="Z2" s="269"/>
      <c r="AA2" s="7"/>
      <c r="AB2" s="7"/>
      <c r="AC2" s="7"/>
      <c r="AD2" s="7"/>
      <c r="AE2" s="7"/>
      <c r="AF2" s="7"/>
      <c r="AG2" s="7"/>
      <c r="AH2" s="7"/>
      <c r="AI2" s="7"/>
      <c r="AJ2" s="7"/>
      <c r="AK2" s="7"/>
      <c r="AL2" s="7"/>
      <c r="AM2" s="7"/>
      <c r="AN2" s="7"/>
      <c r="AO2" s="7"/>
      <c r="AP2" s="7"/>
      <c r="AQ2" s="7"/>
    </row>
    <row r="3" spans="1:43" ht="15.5" thickBot="1" x14ac:dyDescent="0.9">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row>
    <row r="4" spans="1:43" x14ac:dyDescent="0.75">
      <c r="A4" s="1"/>
      <c r="B4" s="1"/>
      <c r="C4" s="1"/>
      <c r="D4" s="1"/>
      <c r="E4" s="1"/>
      <c r="F4" s="1"/>
      <c r="G4" s="1"/>
      <c r="H4" s="1"/>
      <c r="I4" s="1"/>
      <c r="J4" s="1"/>
      <c r="K4" s="1"/>
      <c r="L4" s="1"/>
      <c r="M4" s="1"/>
      <c r="N4" s="1"/>
      <c r="O4" s="1"/>
      <c r="P4" s="28"/>
      <c r="Q4" s="29"/>
      <c r="R4" s="29"/>
      <c r="S4" s="29"/>
      <c r="T4" s="29"/>
      <c r="U4" s="29"/>
      <c r="V4" s="29"/>
      <c r="W4" s="29"/>
      <c r="X4" s="29"/>
      <c r="Y4" s="29"/>
      <c r="Z4" s="29"/>
      <c r="AA4" s="29"/>
      <c r="AB4" s="30"/>
      <c r="AC4" s="1"/>
      <c r="AD4" s="1"/>
      <c r="AE4" s="1"/>
      <c r="AF4" s="1"/>
      <c r="AG4" s="1"/>
      <c r="AH4" s="1"/>
      <c r="AI4" s="1"/>
      <c r="AJ4" s="1"/>
      <c r="AK4" s="1"/>
      <c r="AL4" s="1"/>
      <c r="AM4" s="1"/>
      <c r="AN4" s="1"/>
      <c r="AO4" s="1"/>
      <c r="AP4" s="1"/>
      <c r="AQ4" s="1"/>
    </row>
    <row r="5" spans="1:43" ht="15.5" thickBot="1" x14ac:dyDescent="0.9">
      <c r="A5" s="1"/>
      <c r="B5" s="1"/>
      <c r="C5" s="1"/>
      <c r="D5" s="1"/>
      <c r="E5" s="1"/>
      <c r="F5" s="1"/>
      <c r="G5" s="1"/>
      <c r="H5" s="1"/>
      <c r="I5" s="1"/>
      <c r="J5" s="1"/>
      <c r="K5" s="1"/>
      <c r="L5" s="1"/>
      <c r="M5" s="1"/>
      <c r="N5" s="1"/>
      <c r="O5" s="1"/>
      <c r="P5" s="32"/>
      <c r="Q5" s="33"/>
      <c r="R5" s="33"/>
      <c r="S5" s="33"/>
      <c r="T5" s="33"/>
      <c r="U5" s="33"/>
      <c r="V5" s="33"/>
      <c r="W5" s="33"/>
      <c r="X5" s="33"/>
      <c r="Y5" s="33"/>
      <c r="Z5" s="33"/>
      <c r="AA5" s="33"/>
      <c r="AB5" s="34"/>
      <c r="AC5" s="1"/>
      <c r="AD5" s="1"/>
      <c r="AE5" s="1"/>
      <c r="AF5" s="1"/>
      <c r="AG5" s="1"/>
      <c r="AH5" s="1"/>
      <c r="AI5" s="1"/>
      <c r="AJ5" s="1"/>
      <c r="AK5" s="1"/>
      <c r="AL5" s="1"/>
      <c r="AM5" s="1"/>
      <c r="AN5" s="1"/>
      <c r="AO5" s="1"/>
      <c r="AP5" s="1"/>
      <c r="AQ5" s="1"/>
    </row>
    <row r="6" spans="1:43" ht="31" thickBot="1" x14ac:dyDescent="0.9">
      <c r="A6" s="1"/>
      <c r="B6" s="1"/>
      <c r="C6" s="1"/>
      <c r="D6" s="1"/>
      <c r="E6" s="1"/>
      <c r="F6" s="1"/>
      <c r="G6" s="1"/>
      <c r="H6" s="1"/>
      <c r="I6" s="1"/>
      <c r="J6" s="1"/>
      <c r="K6" s="1"/>
      <c r="L6" s="1"/>
      <c r="M6" s="1"/>
      <c r="N6" s="1"/>
      <c r="O6" s="1"/>
      <c r="P6" s="32"/>
      <c r="Q6" s="33"/>
      <c r="R6" s="263" t="s">
        <v>61</v>
      </c>
      <c r="S6" s="264"/>
      <c r="T6" s="264"/>
      <c r="U6" s="264"/>
      <c r="V6" s="264"/>
      <c r="W6" s="264"/>
      <c r="X6" s="264"/>
      <c r="Y6" s="264"/>
      <c r="Z6" s="265"/>
      <c r="AA6" s="33"/>
      <c r="AB6" s="34"/>
      <c r="AC6" s="1"/>
      <c r="AD6" s="1"/>
      <c r="AE6" s="1"/>
      <c r="AF6" s="1"/>
      <c r="AG6" s="1"/>
      <c r="AH6" s="1"/>
      <c r="AI6" s="1"/>
      <c r="AJ6" s="1"/>
      <c r="AK6" s="1"/>
      <c r="AL6" s="1"/>
      <c r="AM6" s="1"/>
      <c r="AN6" s="1"/>
      <c r="AO6" s="1"/>
      <c r="AP6" s="1"/>
      <c r="AQ6" s="1"/>
    </row>
    <row r="7" spans="1:43" x14ac:dyDescent="0.75">
      <c r="A7" s="1"/>
      <c r="B7" s="1"/>
      <c r="C7" s="1"/>
      <c r="D7" s="1"/>
      <c r="E7" s="1"/>
      <c r="F7" s="1"/>
      <c r="G7" s="1"/>
      <c r="H7" s="1"/>
      <c r="I7" s="1"/>
      <c r="J7" s="1"/>
      <c r="K7" s="1"/>
      <c r="L7" s="1"/>
      <c r="M7" s="1"/>
      <c r="N7" s="1"/>
      <c r="O7" s="1"/>
      <c r="P7" s="32"/>
      <c r="Q7" s="33"/>
      <c r="R7" s="33"/>
      <c r="S7" s="33"/>
      <c r="T7" s="33"/>
      <c r="U7" s="33"/>
      <c r="V7" s="33"/>
      <c r="W7" s="33"/>
      <c r="X7" s="33"/>
      <c r="Y7" s="33"/>
      <c r="Z7" s="33"/>
      <c r="AA7" s="33"/>
      <c r="AB7" s="34"/>
      <c r="AC7" s="1"/>
      <c r="AD7" s="1"/>
      <c r="AE7" s="1"/>
      <c r="AF7" s="1"/>
      <c r="AG7" s="1"/>
      <c r="AH7" s="1"/>
      <c r="AI7" s="1"/>
      <c r="AJ7" s="1"/>
      <c r="AK7" s="1"/>
      <c r="AL7" s="1"/>
      <c r="AM7" s="1"/>
      <c r="AN7" s="1"/>
      <c r="AO7" s="1"/>
      <c r="AP7" s="1"/>
      <c r="AQ7" s="1"/>
    </row>
    <row r="8" spans="1:43" x14ac:dyDescent="0.75">
      <c r="A8" s="1"/>
      <c r="B8" s="1"/>
      <c r="C8" s="1"/>
      <c r="D8" s="1"/>
      <c r="E8" s="1"/>
      <c r="F8" s="1"/>
      <c r="G8" s="1"/>
      <c r="H8" s="1"/>
      <c r="I8" s="1"/>
      <c r="J8" s="1"/>
      <c r="K8" s="1"/>
      <c r="L8" s="1"/>
      <c r="M8" s="1"/>
      <c r="N8" s="1"/>
      <c r="O8" s="1"/>
      <c r="P8" s="32"/>
      <c r="Q8" s="33"/>
      <c r="R8" s="33"/>
      <c r="S8" s="33"/>
      <c r="T8" s="33"/>
      <c r="U8" s="33"/>
      <c r="V8" s="33"/>
      <c r="W8" s="33"/>
      <c r="X8" s="33"/>
      <c r="Y8" s="33"/>
      <c r="Z8" s="33"/>
      <c r="AA8" s="33"/>
      <c r="AB8" s="34"/>
      <c r="AC8" s="1"/>
      <c r="AD8" s="1"/>
      <c r="AE8" s="1"/>
      <c r="AF8" s="1"/>
      <c r="AG8" s="1"/>
      <c r="AH8" s="1"/>
      <c r="AI8" s="1"/>
      <c r="AJ8" s="1"/>
      <c r="AK8" s="1"/>
      <c r="AL8" s="1"/>
      <c r="AM8" s="1"/>
      <c r="AN8" s="1"/>
      <c r="AO8" s="1"/>
      <c r="AP8" s="1"/>
      <c r="AQ8" s="1"/>
    </row>
    <row r="9" spans="1:43" x14ac:dyDescent="0.75">
      <c r="A9" s="1"/>
      <c r="B9" s="1"/>
      <c r="C9" s="1"/>
      <c r="D9" s="1"/>
      <c r="E9" s="1"/>
      <c r="F9" s="1"/>
      <c r="G9" s="1"/>
      <c r="H9" s="1"/>
      <c r="I9" s="1"/>
      <c r="J9" s="1"/>
      <c r="K9" s="1"/>
      <c r="L9" s="1"/>
      <c r="M9" s="1"/>
      <c r="N9" s="1"/>
      <c r="O9" s="1"/>
      <c r="P9" s="32"/>
      <c r="Q9" s="33"/>
      <c r="R9" s="33"/>
      <c r="S9" s="33"/>
      <c r="T9" s="33"/>
      <c r="U9" s="33"/>
      <c r="V9" s="33"/>
      <c r="W9" s="33"/>
      <c r="X9" s="33"/>
      <c r="Y9" s="33"/>
      <c r="Z9" s="33"/>
      <c r="AA9" s="33"/>
      <c r="AB9" s="34"/>
      <c r="AC9" s="1"/>
      <c r="AD9" s="1"/>
      <c r="AE9" s="1"/>
      <c r="AF9" s="1"/>
      <c r="AG9" s="1"/>
      <c r="AH9" s="1"/>
      <c r="AI9" s="1"/>
      <c r="AJ9" s="1"/>
      <c r="AK9" s="1"/>
      <c r="AL9" s="1"/>
      <c r="AM9" s="1"/>
      <c r="AN9" s="1"/>
      <c r="AO9" s="1"/>
      <c r="AP9" s="1"/>
      <c r="AQ9" s="1"/>
    </row>
    <row r="10" spans="1:43" x14ac:dyDescent="0.75">
      <c r="A10" s="1"/>
      <c r="B10" s="1"/>
      <c r="C10" s="1"/>
      <c r="D10" s="1"/>
      <c r="E10" s="1"/>
      <c r="F10" s="1"/>
      <c r="G10" s="1"/>
      <c r="H10" s="1"/>
      <c r="I10" s="1"/>
      <c r="J10" s="1"/>
      <c r="K10" s="1"/>
      <c r="L10" s="1"/>
      <c r="M10" s="1"/>
      <c r="N10" s="1"/>
      <c r="O10" s="1"/>
      <c r="P10" s="32"/>
      <c r="Q10" s="33"/>
      <c r="R10" s="33"/>
      <c r="S10" s="33"/>
      <c r="T10" s="33"/>
      <c r="U10" s="33"/>
      <c r="V10" s="33"/>
      <c r="W10" s="33"/>
      <c r="X10" s="33"/>
      <c r="Y10" s="33"/>
      <c r="Z10" s="33"/>
      <c r="AA10" s="33"/>
      <c r="AB10" s="34"/>
      <c r="AC10" s="1"/>
      <c r="AD10" s="1"/>
      <c r="AE10" s="1"/>
      <c r="AF10" s="1"/>
      <c r="AG10" s="1"/>
      <c r="AH10" s="1"/>
      <c r="AI10" s="1"/>
      <c r="AJ10" s="1"/>
      <c r="AK10" s="1"/>
      <c r="AL10" s="1"/>
      <c r="AM10" s="1"/>
      <c r="AN10" s="1"/>
      <c r="AO10" s="1"/>
      <c r="AP10" s="1"/>
      <c r="AQ10" s="1"/>
    </row>
    <row r="11" spans="1:43" x14ac:dyDescent="0.75">
      <c r="A11" s="1"/>
      <c r="B11" s="1"/>
      <c r="C11" s="1"/>
      <c r="D11" s="1"/>
      <c r="E11" s="1"/>
      <c r="F11" s="1"/>
      <c r="G11" s="1"/>
      <c r="H11" s="1"/>
      <c r="I11" s="1"/>
      <c r="J11" s="1"/>
      <c r="K11" s="1"/>
      <c r="L11" s="1"/>
      <c r="M11" s="1"/>
      <c r="N11" s="1"/>
      <c r="O11" s="1"/>
      <c r="P11" s="32"/>
      <c r="Q11" s="33"/>
      <c r="R11" s="33"/>
      <c r="S11" s="33"/>
      <c r="T11" s="33"/>
      <c r="U11" s="33"/>
      <c r="V11" s="33"/>
      <c r="W11" s="33"/>
      <c r="X11" s="33"/>
      <c r="Y11" s="33"/>
      <c r="Z11" s="33"/>
      <c r="AA11" s="33"/>
      <c r="AB11" s="34"/>
      <c r="AC11" s="1"/>
      <c r="AD11" s="1"/>
      <c r="AE11" s="1"/>
      <c r="AF11" s="1"/>
      <c r="AG11" s="1"/>
      <c r="AH11" s="1"/>
      <c r="AI11" s="1"/>
      <c r="AJ11" s="1"/>
      <c r="AK11" s="1"/>
      <c r="AL11" s="1"/>
      <c r="AM11" s="1"/>
      <c r="AN11" s="1"/>
      <c r="AO11" s="1"/>
      <c r="AP11" s="1"/>
      <c r="AQ11" s="1"/>
    </row>
    <row r="12" spans="1:43" x14ac:dyDescent="0.75">
      <c r="A12" s="1"/>
      <c r="B12" s="1"/>
      <c r="C12" s="1"/>
      <c r="D12" s="1"/>
      <c r="E12" s="1"/>
      <c r="F12" s="1"/>
      <c r="G12" s="1"/>
      <c r="H12" s="1"/>
      <c r="I12" s="1"/>
      <c r="J12" s="1"/>
      <c r="K12" s="1"/>
      <c r="L12" s="1"/>
      <c r="M12" s="1"/>
      <c r="N12" s="1"/>
      <c r="O12" s="1"/>
      <c r="P12" s="32"/>
      <c r="Q12" s="33"/>
      <c r="R12" s="33"/>
      <c r="S12" s="33"/>
      <c r="T12" s="33"/>
      <c r="U12" s="33"/>
      <c r="V12" s="33"/>
      <c r="W12" s="33"/>
      <c r="X12" s="33"/>
      <c r="Y12" s="33"/>
      <c r="Z12" s="33"/>
      <c r="AA12" s="33"/>
      <c r="AB12" s="34"/>
      <c r="AC12" s="1"/>
      <c r="AD12" s="1"/>
      <c r="AE12" s="1"/>
      <c r="AF12" s="1"/>
      <c r="AG12" s="1"/>
      <c r="AH12" s="1"/>
      <c r="AI12" s="1"/>
      <c r="AJ12" s="1"/>
      <c r="AK12" s="1"/>
      <c r="AL12" s="1"/>
      <c r="AM12" s="1"/>
      <c r="AN12" s="1"/>
      <c r="AO12" s="1"/>
      <c r="AP12" s="1"/>
      <c r="AQ12" s="1"/>
    </row>
    <row r="13" spans="1:43" x14ac:dyDescent="0.75">
      <c r="A13" s="1"/>
      <c r="B13" s="1"/>
      <c r="C13" s="1"/>
      <c r="D13" s="1"/>
      <c r="E13" s="1"/>
      <c r="F13" s="1"/>
      <c r="G13" s="1"/>
      <c r="H13" s="1"/>
      <c r="I13" s="1"/>
      <c r="J13" s="1"/>
      <c r="K13" s="1"/>
      <c r="L13" s="1"/>
      <c r="M13" s="1"/>
      <c r="N13" s="1"/>
      <c r="O13" s="1"/>
      <c r="P13" s="32"/>
      <c r="Q13" s="33"/>
      <c r="R13" s="33"/>
      <c r="S13" s="33"/>
      <c r="T13" s="33"/>
      <c r="U13" s="33"/>
      <c r="V13" s="33"/>
      <c r="W13" s="33"/>
      <c r="X13" s="33"/>
      <c r="Y13" s="33"/>
      <c r="Z13" s="33"/>
      <c r="AA13" s="33"/>
      <c r="AB13" s="34"/>
      <c r="AC13" s="1"/>
      <c r="AD13" s="1"/>
      <c r="AE13" s="1"/>
      <c r="AF13" s="1"/>
      <c r="AG13" s="1"/>
      <c r="AH13" s="1"/>
      <c r="AI13" s="1"/>
      <c r="AJ13" s="1"/>
      <c r="AK13" s="1"/>
      <c r="AL13" s="1"/>
      <c r="AM13" s="1"/>
      <c r="AN13" s="1"/>
      <c r="AO13" s="1"/>
      <c r="AP13" s="1"/>
      <c r="AQ13" s="1"/>
    </row>
    <row r="14" spans="1:43" x14ac:dyDescent="0.75">
      <c r="A14" s="1"/>
      <c r="B14" s="1"/>
      <c r="C14" s="1"/>
      <c r="D14" s="1"/>
      <c r="E14" s="1"/>
      <c r="F14" s="1"/>
      <c r="G14" s="1"/>
      <c r="H14" s="1"/>
      <c r="I14" s="1"/>
      <c r="J14" s="1"/>
      <c r="K14" s="1"/>
      <c r="L14" s="1"/>
      <c r="M14" s="1"/>
      <c r="N14" s="1"/>
      <c r="O14" s="1"/>
      <c r="P14" s="32"/>
      <c r="Q14" s="33"/>
      <c r="R14" s="33"/>
      <c r="S14" s="33"/>
      <c r="T14" s="33"/>
      <c r="U14" s="33"/>
      <c r="V14" s="33"/>
      <c r="W14" s="33"/>
      <c r="X14" s="33"/>
      <c r="Y14" s="33"/>
      <c r="Z14" s="33"/>
      <c r="AA14" s="33"/>
      <c r="AB14" s="34"/>
      <c r="AC14" s="1"/>
      <c r="AD14" s="1"/>
      <c r="AE14" s="1"/>
      <c r="AF14" s="1"/>
      <c r="AG14" s="1"/>
      <c r="AH14" s="1"/>
      <c r="AI14" s="1"/>
      <c r="AJ14" s="1"/>
      <c r="AK14" s="1"/>
      <c r="AL14" s="1"/>
      <c r="AM14" s="1"/>
      <c r="AN14" s="1"/>
      <c r="AO14" s="1"/>
      <c r="AP14" s="1"/>
      <c r="AQ14" s="1"/>
    </row>
    <row r="15" spans="1:43" x14ac:dyDescent="0.75">
      <c r="A15" s="1"/>
      <c r="B15" s="1"/>
      <c r="C15" s="1"/>
      <c r="D15" s="1"/>
      <c r="E15" s="1"/>
      <c r="F15" s="1"/>
      <c r="G15" s="1"/>
      <c r="H15" s="1"/>
      <c r="I15" s="1"/>
      <c r="J15" s="1"/>
      <c r="K15" s="1"/>
      <c r="L15" s="1"/>
      <c r="M15" s="1"/>
      <c r="N15" s="1"/>
      <c r="O15" s="1"/>
      <c r="P15" s="32"/>
      <c r="Q15" s="33"/>
      <c r="R15" s="33"/>
      <c r="S15" s="33"/>
      <c r="T15" s="33"/>
      <c r="U15" s="33"/>
      <c r="V15" s="33"/>
      <c r="W15" s="33"/>
      <c r="X15" s="33"/>
      <c r="Y15" s="33"/>
      <c r="Z15" s="33"/>
      <c r="AA15" s="33"/>
      <c r="AB15" s="34"/>
      <c r="AC15" s="1"/>
      <c r="AD15" s="1"/>
      <c r="AE15" s="1"/>
      <c r="AF15" s="1"/>
      <c r="AG15" s="1"/>
      <c r="AH15" s="1"/>
      <c r="AI15" s="1"/>
      <c r="AJ15" s="1"/>
      <c r="AK15" s="1"/>
      <c r="AL15" s="1"/>
      <c r="AM15" s="1"/>
      <c r="AN15" s="1"/>
      <c r="AO15" s="1"/>
      <c r="AP15" s="1"/>
      <c r="AQ15" s="1"/>
    </row>
    <row r="16" spans="1:43" x14ac:dyDescent="0.75">
      <c r="A16" s="1"/>
      <c r="B16" s="1"/>
      <c r="C16" s="1"/>
      <c r="D16" s="1"/>
      <c r="E16" s="1"/>
      <c r="F16" s="1"/>
      <c r="G16" s="1"/>
      <c r="H16" s="1"/>
      <c r="I16" s="1"/>
      <c r="J16" s="1"/>
      <c r="K16" s="1"/>
      <c r="L16" s="1"/>
      <c r="M16" s="1"/>
      <c r="N16" s="1"/>
      <c r="O16" s="1"/>
      <c r="P16" s="32"/>
      <c r="Q16" s="33"/>
      <c r="R16" s="33"/>
      <c r="S16" s="33"/>
      <c r="T16" s="33"/>
      <c r="U16" s="33"/>
      <c r="V16" s="33"/>
      <c r="W16" s="33"/>
      <c r="X16" s="33"/>
      <c r="Y16" s="33"/>
      <c r="Z16" s="33"/>
      <c r="AA16" s="33"/>
      <c r="AB16" s="34"/>
      <c r="AC16" s="1"/>
      <c r="AD16" s="1"/>
      <c r="AE16" s="1"/>
      <c r="AF16" s="1"/>
      <c r="AG16" s="1"/>
      <c r="AH16" s="1"/>
      <c r="AI16" s="1"/>
      <c r="AJ16" s="1"/>
      <c r="AK16" s="1"/>
      <c r="AL16" s="1"/>
      <c r="AM16" s="1"/>
      <c r="AN16" s="1"/>
      <c r="AO16" s="1"/>
      <c r="AP16" s="1"/>
      <c r="AQ16" s="1"/>
    </row>
    <row r="17" spans="1:43" x14ac:dyDescent="0.75">
      <c r="A17" s="1"/>
      <c r="B17" s="1"/>
      <c r="C17" s="1"/>
      <c r="D17" s="1"/>
      <c r="E17" s="1"/>
      <c r="F17" s="1"/>
      <c r="G17" s="1"/>
      <c r="H17" s="1"/>
      <c r="I17" s="1"/>
      <c r="J17" s="1"/>
      <c r="K17" s="1"/>
      <c r="L17" s="1"/>
      <c r="M17" s="1"/>
      <c r="N17" s="1"/>
      <c r="O17" s="1"/>
      <c r="P17" s="32"/>
      <c r="Q17" s="33"/>
      <c r="R17" s="33"/>
      <c r="S17" s="33"/>
      <c r="T17" s="33"/>
      <c r="U17" s="33"/>
      <c r="V17" s="33"/>
      <c r="W17" s="33"/>
      <c r="X17" s="33"/>
      <c r="Y17" s="33"/>
      <c r="Z17" s="33"/>
      <c r="AA17" s="33"/>
      <c r="AB17" s="34"/>
      <c r="AC17" s="1"/>
      <c r="AD17" s="1"/>
      <c r="AE17" s="1"/>
      <c r="AF17" s="1"/>
      <c r="AG17" s="1"/>
      <c r="AH17" s="1"/>
      <c r="AI17" s="1"/>
      <c r="AJ17" s="1"/>
      <c r="AK17" s="1"/>
      <c r="AL17" s="1"/>
      <c r="AM17" s="1"/>
      <c r="AN17" s="1"/>
      <c r="AO17" s="1"/>
      <c r="AP17" s="1"/>
      <c r="AQ17" s="1"/>
    </row>
    <row r="18" spans="1:43" x14ac:dyDescent="0.75">
      <c r="A18" s="1"/>
      <c r="B18" s="1"/>
      <c r="C18" s="1"/>
      <c r="D18" s="1"/>
      <c r="E18" s="1"/>
      <c r="F18" s="1"/>
      <c r="G18" s="1"/>
      <c r="H18" s="1"/>
      <c r="I18" s="1"/>
      <c r="J18" s="1"/>
      <c r="K18" s="1"/>
      <c r="L18" s="1"/>
      <c r="M18" s="1"/>
      <c r="N18" s="1"/>
      <c r="O18" s="1"/>
      <c r="P18" s="32"/>
      <c r="Q18" s="33"/>
      <c r="R18" s="33"/>
      <c r="S18" s="33"/>
      <c r="T18" s="33"/>
      <c r="U18" s="33"/>
      <c r="V18" s="33"/>
      <c r="W18" s="33"/>
      <c r="X18" s="33"/>
      <c r="Y18" s="33"/>
      <c r="Z18" s="33"/>
      <c r="AA18" s="33"/>
      <c r="AB18" s="34"/>
      <c r="AC18" s="1"/>
      <c r="AD18" s="1"/>
      <c r="AE18" s="1"/>
      <c r="AF18" s="1"/>
      <c r="AG18" s="1"/>
      <c r="AH18" s="1"/>
      <c r="AI18" s="1"/>
      <c r="AJ18" s="1"/>
      <c r="AK18" s="1"/>
      <c r="AL18" s="1"/>
      <c r="AM18" s="1"/>
      <c r="AN18" s="1"/>
      <c r="AO18" s="1"/>
      <c r="AP18" s="1"/>
      <c r="AQ18" s="1"/>
    </row>
    <row r="19" spans="1:43" x14ac:dyDescent="0.75">
      <c r="A19" s="1"/>
      <c r="B19" s="1"/>
      <c r="C19" s="1"/>
      <c r="D19" s="1"/>
      <c r="E19" s="1"/>
      <c r="F19" s="1"/>
      <c r="G19" s="1"/>
      <c r="H19" s="1"/>
      <c r="I19" s="1"/>
      <c r="J19" s="1"/>
      <c r="K19" s="1"/>
      <c r="L19" s="1"/>
      <c r="M19" s="1"/>
      <c r="N19" s="1"/>
      <c r="O19" s="1"/>
      <c r="P19" s="32"/>
      <c r="Q19" s="33"/>
      <c r="R19" s="279" t="s">
        <v>62</v>
      </c>
      <c r="S19" s="279"/>
      <c r="T19" s="279"/>
      <c r="U19" s="179"/>
      <c r="V19" s="33"/>
      <c r="W19" s="279" t="s">
        <v>63</v>
      </c>
      <c r="X19" s="279"/>
      <c r="Y19" s="279"/>
      <c r="Z19" s="179"/>
      <c r="AA19" s="33"/>
      <c r="AB19" s="34"/>
      <c r="AC19" s="1"/>
      <c r="AD19" s="1"/>
      <c r="AE19" s="1"/>
      <c r="AF19" s="1"/>
      <c r="AG19" s="1"/>
      <c r="AH19" s="1"/>
      <c r="AI19" s="1"/>
      <c r="AJ19" s="1"/>
      <c r="AK19" s="1"/>
      <c r="AL19" s="1"/>
      <c r="AM19" s="1"/>
      <c r="AN19" s="1"/>
      <c r="AO19" s="1"/>
      <c r="AP19" s="1"/>
      <c r="AQ19" s="1"/>
    </row>
    <row r="20" spans="1:43" x14ac:dyDescent="0.75">
      <c r="A20" s="1"/>
      <c r="B20" s="1"/>
      <c r="C20" s="1"/>
      <c r="D20" s="1"/>
      <c r="E20" s="1"/>
      <c r="F20" s="1"/>
      <c r="G20" s="1"/>
      <c r="H20" s="1"/>
      <c r="I20" s="1"/>
      <c r="J20" s="1"/>
      <c r="K20" s="1"/>
      <c r="L20" s="1"/>
      <c r="M20" s="1"/>
      <c r="N20" s="1"/>
      <c r="O20" s="1"/>
      <c r="P20" s="32"/>
      <c r="Q20" s="33"/>
      <c r="R20" s="277" t="s">
        <v>46</v>
      </c>
      <c r="S20" s="278"/>
      <c r="T20" s="200"/>
      <c r="U20" s="33" t="s">
        <v>47</v>
      </c>
      <c r="V20" s="33"/>
      <c r="W20" s="277" t="s">
        <v>42</v>
      </c>
      <c r="X20" s="278"/>
      <c r="Y20" s="195"/>
      <c r="Z20" s="33" t="s">
        <v>27</v>
      </c>
      <c r="AA20" s="33"/>
      <c r="AB20" s="34"/>
      <c r="AC20" s="1"/>
      <c r="AD20" s="1"/>
      <c r="AE20" s="1"/>
      <c r="AF20" s="1"/>
      <c r="AG20" s="1"/>
      <c r="AH20" s="1"/>
      <c r="AI20" s="1"/>
      <c r="AJ20" s="1"/>
      <c r="AK20" s="1"/>
      <c r="AL20" s="1"/>
      <c r="AM20" s="1"/>
      <c r="AN20" s="1"/>
      <c r="AO20" s="1"/>
      <c r="AP20" s="1"/>
      <c r="AQ20" s="1"/>
    </row>
    <row r="21" spans="1:43" x14ac:dyDescent="0.75">
      <c r="A21" s="1"/>
      <c r="B21" s="1"/>
      <c r="C21" s="1"/>
      <c r="D21" s="1"/>
      <c r="E21" s="1"/>
      <c r="F21" s="1"/>
      <c r="G21" s="1"/>
      <c r="H21" s="1"/>
      <c r="I21" s="1"/>
      <c r="J21" s="1"/>
      <c r="K21" s="1"/>
      <c r="L21" s="1"/>
      <c r="M21" s="1"/>
      <c r="N21" s="1"/>
      <c r="O21" s="1"/>
      <c r="P21" s="32"/>
      <c r="Q21" s="33"/>
      <c r="R21" s="277" t="s">
        <v>49</v>
      </c>
      <c r="S21" s="281"/>
      <c r="T21" s="199">
        <v>0.2</v>
      </c>
      <c r="U21" s="33" t="s">
        <v>33</v>
      </c>
      <c r="V21" s="33"/>
      <c r="W21" s="277" t="s">
        <v>43</v>
      </c>
      <c r="X21" s="278"/>
      <c r="Y21" s="195"/>
      <c r="Z21" s="33" t="s">
        <v>27</v>
      </c>
      <c r="AA21" s="33"/>
      <c r="AB21" s="34"/>
      <c r="AC21" s="1"/>
      <c r="AD21" s="1"/>
      <c r="AE21" s="1"/>
      <c r="AF21" s="1"/>
      <c r="AG21" s="1"/>
      <c r="AH21" s="1"/>
      <c r="AI21" s="1"/>
      <c r="AJ21" s="1"/>
      <c r="AK21" s="1"/>
      <c r="AL21" s="1"/>
      <c r="AM21" s="1"/>
      <c r="AN21" s="1"/>
      <c r="AO21" s="1"/>
      <c r="AP21" s="1"/>
      <c r="AQ21" s="1"/>
    </row>
    <row r="22" spans="1:43" x14ac:dyDescent="0.75">
      <c r="A22" s="1"/>
      <c r="B22" s="1"/>
      <c r="C22" s="1"/>
      <c r="D22" s="1"/>
      <c r="E22" s="1"/>
      <c r="F22" s="1"/>
      <c r="G22" s="1"/>
      <c r="H22" s="1"/>
      <c r="I22" s="1"/>
      <c r="J22" s="1"/>
      <c r="K22" s="1"/>
      <c r="L22" s="1"/>
      <c r="M22" s="1"/>
      <c r="N22" s="1"/>
      <c r="O22" s="1"/>
      <c r="P22" s="32"/>
      <c r="Q22" s="33"/>
      <c r="R22" s="33"/>
      <c r="S22" s="33"/>
      <c r="T22" s="33"/>
      <c r="U22" s="33"/>
      <c r="V22" s="33"/>
      <c r="W22" s="277" t="s">
        <v>45</v>
      </c>
      <c r="X22" s="278"/>
      <c r="Y22" s="195"/>
      <c r="Z22" s="33" t="s">
        <v>27</v>
      </c>
      <c r="AA22" s="33"/>
      <c r="AB22" s="34"/>
      <c r="AC22" s="1"/>
      <c r="AD22" s="1"/>
      <c r="AE22" s="1"/>
      <c r="AF22" s="1"/>
      <c r="AG22" s="1"/>
      <c r="AH22" s="1"/>
      <c r="AI22" s="1"/>
      <c r="AJ22" s="1"/>
      <c r="AK22" s="1"/>
      <c r="AL22" s="1"/>
      <c r="AM22" s="1"/>
      <c r="AN22" s="1"/>
      <c r="AO22" s="1"/>
      <c r="AP22" s="1"/>
      <c r="AQ22" s="1"/>
    </row>
    <row r="23" spans="1:43" x14ac:dyDescent="0.75">
      <c r="A23" s="1"/>
      <c r="B23" s="1"/>
      <c r="C23" s="1"/>
      <c r="D23" s="1"/>
      <c r="E23" s="1"/>
      <c r="F23" s="1"/>
      <c r="G23" s="1"/>
      <c r="H23" s="1"/>
      <c r="I23" s="1"/>
      <c r="J23" s="1"/>
      <c r="K23" s="1"/>
      <c r="L23" s="1"/>
      <c r="M23" s="1"/>
      <c r="N23" s="1"/>
      <c r="O23" s="1"/>
      <c r="P23" s="32"/>
      <c r="Q23" s="33"/>
      <c r="R23" s="33"/>
      <c r="S23" s="33"/>
      <c r="T23" s="33"/>
      <c r="U23" s="33"/>
      <c r="V23" s="33"/>
      <c r="W23" s="277" t="s">
        <v>48</v>
      </c>
      <c r="X23" s="281"/>
      <c r="Y23" s="194">
        <f>SUM(Y20:Y22)</f>
        <v>0</v>
      </c>
      <c r="Z23" s="33" t="s">
        <v>27</v>
      </c>
      <c r="AA23" s="33"/>
      <c r="AB23" s="34"/>
      <c r="AC23" s="1"/>
      <c r="AD23" s="1"/>
      <c r="AE23" s="1"/>
      <c r="AF23" s="1"/>
      <c r="AG23" s="1"/>
      <c r="AH23" s="1"/>
      <c r="AI23" s="1"/>
      <c r="AJ23" s="1"/>
      <c r="AK23" s="1"/>
      <c r="AL23" s="1"/>
      <c r="AM23" s="1"/>
      <c r="AN23" s="1"/>
      <c r="AO23" s="1"/>
      <c r="AP23" s="1"/>
      <c r="AQ23" s="1"/>
    </row>
    <row r="24" spans="1:43" x14ac:dyDescent="0.75">
      <c r="A24" s="1"/>
      <c r="B24" s="1"/>
      <c r="C24" s="1"/>
      <c r="D24" s="1"/>
      <c r="E24" s="1"/>
      <c r="F24" s="1"/>
      <c r="G24" s="1"/>
      <c r="H24" s="1"/>
      <c r="I24" s="1"/>
      <c r="J24" s="1"/>
      <c r="K24" s="1"/>
      <c r="L24" s="1"/>
      <c r="M24" s="1"/>
      <c r="N24" s="1"/>
      <c r="O24" s="1"/>
      <c r="P24" s="32"/>
      <c r="Q24" s="33"/>
      <c r="R24" s="33"/>
      <c r="S24" s="33"/>
      <c r="T24" s="33"/>
      <c r="U24" s="33"/>
      <c r="V24" s="33"/>
      <c r="W24" s="47"/>
      <c r="X24" s="47"/>
      <c r="Y24" s="48"/>
      <c r="Z24" s="33"/>
      <c r="AA24" s="33"/>
      <c r="AB24" s="34"/>
      <c r="AC24" s="1"/>
      <c r="AD24" s="1"/>
      <c r="AE24" s="1"/>
      <c r="AF24" s="1"/>
      <c r="AG24" s="1"/>
      <c r="AH24" s="1"/>
      <c r="AI24" s="1"/>
      <c r="AJ24" s="1"/>
      <c r="AK24" s="1"/>
      <c r="AL24" s="1"/>
      <c r="AM24" s="1"/>
      <c r="AN24" s="1"/>
      <c r="AO24" s="1"/>
      <c r="AP24" s="1"/>
      <c r="AQ24" s="1"/>
    </row>
    <row r="25" spans="1:43" x14ac:dyDescent="0.75">
      <c r="A25" s="1"/>
      <c r="B25" s="1"/>
      <c r="C25" s="1"/>
      <c r="D25" s="1"/>
      <c r="E25" s="1"/>
      <c r="F25" s="1"/>
      <c r="G25" s="1"/>
      <c r="H25" s="1"/>
      <c r="I25" s="1"/>
      <c r="J25" s="1"/>
      <c r="K25" s="1"/>
      <c r="L25" s="1"/>
      <c r="M25" s="1"/>
      <c r="N25" s="1"/>
      <c r="O25" s="1"/>
      <c r="P25" s="32"/>
      <c r="Q25" s="33"/>
      <c r="R25" s="279" t="s">
        <v>50</v>
      </c>
      <c r="S25" s="279"/>
      <c r="T25" s="279"/>
      <c r="U25" s="279"/>
      <c r="V25" s="279"/>
      <c r="W25" s="279"/>
      <c r="X25" s="279"/>
      <c r="Y25" s="179"/>
      <c r="Z25" s="179"/>
      <c r="AA25" s="33"/>
      <c r="AB25" s="34"/>
      <c r="AC25" s="1"/>
      <c r="AD25" s="1"/>
      <c r="AE25" s="1"/>
      <c r="AF25" s="1"/>
      <c r="AG25" s="1"/>
      <c r="AH25" s="1"/>
      <c r="AI25" s="1"/>
      <c r="AJ25" s="1"/>
      <c r="AK25" s="1"/>
      <c r="AL25" s="1"/>
      <c r="AM25" s="1"/>
      <c r="AN25" s="1"/>
      <c r="AO25" s="1"/>
      <c r="AP25" s="1"/>
      <c r="AQ25" s="1"/>
    </row>
    <row r="26" spans="1:43" x14ac:dyDescent="0.75">
      <c r="A26" s="1"/>
      <c r="B26" s="1"/>
      <c r="C26" s="1"/>
      <c r="D26" s="1"/>
      <c r="E26" s="1"/>
      <c r="F26" s="1"/>
      <c r="G26" s="1"/>
      <c r="H26" s="1"/>
      <c r="I26" s="1"/>
      <c r="J26" s="1"/>
      <c r="K26" s="1"/>
      <c r="L26" s="1"/>
      <c r="M26" s="1"/>
      <c r="N26" s="1"/>
      <c r="O26" s="1"/>
      <c r="P26" s="32"/>
      <c r="Q26" s="33"/>
      <c r="R26" s="277" t="s">
        <v>51</v>
      </c>
      <c r="S26" s="277"/>
      <c r="T26" s="277"/>
      <c r="U26" s="278"/>
      <c r="V26" s="280">
        <v>0</v>
      </c>
      <c r="W26" s="280"/>
      <c r="X26" s="280"/>
      <c r="Y26" s="33"/>
      <c r="Z26" s="33"/>
      <c r="AA26" s="33"/>
      <c r="AB26" s="34"/>
      <c r="AC26" s="1"/>
      <c r="AD26" s="1"/>
      <c r="AE26" s="1"/>
      <c r="AF26" s="1"/>
      <c r="AG26" s="1"/>
      <c r="AH26" s="1"/>
      <c r="AI26" s="1"/>
      <c r="AJ26" s="1"/>
      <c r="AK26" s="1"/>
      <c r="AL26" s="1"/>
      <c r="AM26" s="1"/>
      <c r="AN26" s="1"/>
      <c r="AO26" s="1"/>
      <c r="AP26" s="1"/>
      <c r="AQ26" s="1"/>
    </row>
    <row r="27" spans="1:43" x14ac:dyDescent="0.75">
      <c r="A27" s="1"/>
      <c r="B27" s="1"/>
      <c r="C27" s="1"/>
      <c r="D27" s="1"/>
      <c r="E27" s="1"/>
      <c r="F27" s="1"/>
      <c r="G27" s="1"/>
      <c r="H27" s="1"/>
      <c r="I27" s="1"/>
      <c r="J27" s="1"/>
      <c r="K27" s="1"/>
      <c r="L27" s="1"/>
      <c r="M27" s="1"/>
      <c r="N27" s="1"/>
      <c r="O27" s="1"/>
      <c r="P27" s="32"/>
      <c r="Q27" s="33"/>
      <c r="R27" s="277" t="s">
        <v>53</v>
      </c>
      <c r="S27" s="277"/>
      <c r="T27" s="277"/>
      <c r="U27" s="281"/>
      <c r="V27" s="292">
        <v>0.2</v>
      </c>
      <c r="W27" s="292"/>
      <c r="X27" s="292"/>
      <c r="Y27" s="33" t="s">
        <v>33</v>
      </c>
      <c r="Z27" s="33"/>
      <c r="AA27" s="33"/>
      <c r="AB27" s="34"/>
      <c r="AC27" s="1"/>
      <c r="AD27" s="1"/>
      <c r="AE27" s="1"/>
      <c r="AF27" s="1"/>
      <c r="AG27" s="1"/>
      <c r="AH27" s="1"/>
      <c r="AI27" s="1"/>
      <c r="AJ27" s="1"/>
      <c r="AK27" s="1"/>
      <c r="AL27" s="1"/>
      <c r="AM27" s="1"/>
      <c r="AN27" s="1"/>
      <c r="AO27" s="1"/>
      <c r="AP27" s="1"/>
      <c r="AQ27" s="1"/>
    </row>
    <row r="28" spans="1:43" x14ac:dyDescent="0.75">
      <c r="A28" s="1"/>
      <c r="B28" s="1"/>
      <c r="C28" s="1"/>
      <c r="D28" s="1"/>
      <c r="E28" s="1"/>
      <c r="F28" s="1"/>
      <c r="G28" s="1"/>
      <c r="H28" s="1"/>
      <c r="I28" s="1"/>
      <c r="J28" s="1"/>
      <c r="K28" s="1"/>
      <c r="L28" s="1"/>
      <c r="M28" s="1"/>
      <c r="N28" s="1"/>
      <c r="O28" s="1"/>
      <c r="P28" s="32"/>
      <c r="Q28" s="33"/>
      <c r="R28" s="277" t="s">
        <v>64</v>
      </c>
      <c r="S28" s="277"/>
      <c r="T28" s="277"/>
      <c r="U28" s="278"/>
      <c r="V28" s="280">
        <v>0</v>
      </c>
      <c r="W28" s="280"/>
      <c r="X28" s="280"/>
      <c r="Y28" s="33" t="s">
        <v>33</v>
      </c>
      <c r="Z28" s="33"/>
      <c r="AA28" s="33"/>
      <c r="AB28" s="34"/>
      <c r="AC28" s="1"/>
      <c r="AD28" s="1"/>
      <c r="AE28" s="1"/>
      <c r="AF28" s="1"/>
      <c r="AG28" s="1"/>
      <c r="AH28" s="1"/>
      <c r="AI28" s="1"/>
      <c r="AJ28" s="1"/>
      <c r="AK28" s="1"/>
      <c r="AL28" s="1"/>
      <c r="AM28" s="1"/>
      <c r="AN28" s="1"/>
      <c r="AO28" s="1"/>
      <c r="AP28" s="1"/>
      <c r="AQ28" s="1"/>
    </row>
    <row r="29" spans="1:43" x14ac:dyDescent="0.75">
      <c r="A29" s="1"/>
      <c r="B29" s="1"/>
      <c r="C29" s="1"/>
      <c r="D29" s="1"/>
      <c r="E29" s="1"/>
      <c r="F29" s="1"/>
      <c r="G29" s="1"/>
      <c r="H29" s="1"/>
      <c r="I29" s="1"/>
      <c r="J29" s="1"/>
      <c r="K29" s="1"/>
      <c r="L29" s="1"/>
      <c r="M29" s="1"/>
      <c r="N29" s="1"/>
      <c r="O29" s="1"/>
      <c r="P29" s="32"/>
      <c r="Q29" s="33"/>
      <c r="R29" s="277" t="s">
        <v>55</v>
      </c>
      <c r="S29" s="277"/>
      <c r="T29" s="277"/>
      <c r="U29" s="278"/>
      <c r="V29" s="280">
        <v>0</v>
      </c>
      <c r="W29" s="280"/>
      <c r="X29" s="280"/>
      <c r="Y29" s="33" t="s">
        <v>33</v>
      </c>
      <c r="Z29" s="33"/>
      <c r="AA29" s="33"/>
      <c r="AB29" s="34"/>
      <c r="AC29" s="1"/>
      <c r="AD29" s="1"/>
      <c r="AE29" s="1"/>
      <c r="AF29" s="1"/>
      <c r="AG29" s="1"/>
      <c r="AH29" s="1"/>
      <c r="AI29" s="1"/>
      <c r="AJ29" s="1"/>
      <c r="AK29" s="1"/>
      <c r="AL29" s="1"/>
      <c r="AM29" s="1"/>
      <c r="AN29" s="1"/>
      <c r="AO29" s="1"/>
      <c r="AP29" s="1"/>
      <c r="AQ29" s="1"/>
    </row>
    <row r="30" spans="1:43" x14ac:dyDescent="0.75">
      <c r="A30" s="1"/>
      <c r="B30" s="1"/>
      <c r="C30" s="1"/>
      <c r="D30" s="1"/>
      <c r="E30" s="1"/>
      <c r="F30" s="1"/>
      <c r="G30" s="1"/>
      <c r="H30" s="1"/>
      <c r="I30" s="1"/>
      <c r="J30" s="1"/>
      <c r="K30" s="1"/>
      <c r="L30" s="1"/>
      <c r="M30" s="1"/>
      <c r="N30" s="1"/>
      <c r="O30" s="1"/>
      <c r="P30" s="32"/>
      <c r="Q30" s="33"/>
      <c r="R30" s="33"/>
      <c r="S30" s="33"/>
      <c r="T30" s="33"/>
      <c r="U30" s="33"/>
      <c r="V30" s="33"/>
      <c r="W30" s="33"/>
      <c r="X30" s="33"/>
      <c r="Y30" s="33"/>
      <c r="Z30" s="33"/>
      <c r="AA30" s="33"/>
      <c r="AB30" s="34"/>
      <c r="AC30" s="1"/>
      <c r="AD30" s="1"/>
      <c r="AE30" s="1"/>
      <c r="AF30" s="1"/>
      <c r="AG30" s="1"/>
      <c r="AH30" s="1"/>
      <c r="AI30" s="1"/>
      <c r="AJ30" s="1"/>
      <c r="AK30" s="1"/>
      <c r="AL30" s="1"/>
      <c r="AM30" s="1"/>
      <c r="AN30" s="1"/>
      <c r="AO30" s="1"/>
      <c r="AP30" s="1"/>
      <c r="AQ30" s="1"/>
    </row>
    <row r="31" spans="1:43" x14ac:dyDescent="0.75">
      <c r="A31" s="1"/>
      <c r="B31" s="1"/>
      <c r="C31" s="1"/>
      <c r="D31" s="1"/>
      <c r="E31" s="1"/>
      <c r="F31" s="1"/>
      <c r="G31" s="1"/>
      <c r="H31" s="1"/>
      <c r="I31" s="1"/>
      <c r="J31" s="1"/>
      <c r="K31" s="1"/>
      <c r="L31" s="1"/>
      <c r="M31" s="1"/>
      <c r="N31" s="1"/>
      <c r="O31" s="1"/>
      <c r="P31" s="32"/>
      <c r="Q31" s="33"/>
      <c r="R31" s="33"/>
      <c r="S31" s="33"/>
      <c r="T31" s="279" t="s">
        <v>65</v>
      </c>
      <c r="U31" s="279"/>
      <c r="V31" s="279"/>
      <c r="W31" s="279"/>
      <c r="X31" s="179"/>
      <c r="Y31" s="33"/>
      <c r="Z31" s="33"/>
      <c r="AA31" s="33"/>
      <c r="AB31" s="34"/>
      <c r="AC31" s="1"/>
      <c r="AD31" s="1"/>
      <c r="AE31" s="1"/>
      <c r="AF31" s="1"/>
      <c r="AG31" s="1"/>
      <c r="AH31" s="1"/>
      <c r="AI31" s="1"/>
      <c r="AJ31" s="1"/>
      <c r="AK31" s="1"/>
      <c r="AL31" s="1"/>
      <c r="AM31" s="1"/>
      <c r="AN31" s="1"/>
      <c r="AO31" s="1"/>
      <c r="AP31" s="1"/>
      <c r="AQ31" s="1"/>
    </row>
    <row r="32" spans="1:43" x14ac:dyDescent="0.75">
      <c r="A32" s="1"/>
      <c r="B32" s="1"/>
      <c r="C32" s="1"/>
      <c r="D32" s="1"/>
      <c r="E32" s="1"/>
      <c r="F32" s="1"/>
      <c r="G32" s="1"/>
      <c r="H32" s="1"/>
      <c r="I32" s="1"/>
      <c r="J32" s="1"/>
      <c r="K32" s="1"/>
      <c r="L32" s="1"/>
      <c r="M32" s="1"/>
      <c r="N32" s="1"/>
      <c r="O32" s="1"/>
      <c r="P32" s="32"/>
      <c r="Q32" s="33"/>
      <c r="R32" s="33"/>
      <c r="S32" s="33"/>
      <c r="T32" s="298" t="s">
        <v>58</v>
      </c>
      <c r="U32" s="299"/>
      <c r="V32" s="292">
        <f>T21+SUM(V27:X29)</f>
        <v>0.4</v>
      </c>
      <c r="W32" s="292"/>
      <c r="X32" s="33" t="s">
        <v>33</v>
      </c>
      <c r="Y32" s="33"/>
      <c r="Z32" s="33"/>
      <c r="AA32" s="33"/>
      <c r="AB32" s="34"/>
      <c r="AC32" s="1"/>
      <c r="AD32" s="1"/>
      <c r="AE32" s="1"/>
      <c r="AF32" s="1"/>
      <c r="AG32" s="1"/>
      <c r="AH32" s="1"/>
      <c r="AI32" s="1"/>
      <c r="AJ32" s="1"/>
      <c r="AK32" s="1"/>
      <c r="AL32" s="1"/>
      <c r="AM32" s="1"/>
      <c r="AN32" s="1"/>
      <c r="AO32" s="1"/>
      <c r="AP32" s="1"/>
      <c r="AQ32" s="1"/>
    </row>
    <row r="33" spans="1:43" x14ac:dyDescent="0.75">
      <c r="A33" s="1"/>
      <c r="B33" s="1"/>
      <c r="C33" s="1"/>
      <c r="D33" s="1"/>
      <c r="E33" s="1"/>
      <c r="F33" s="1"/>
      <c r="G33" s="1"/>
      <c r="H33" s="1"/>
      <c r="I33" s="1"/>
      <c r="J33" s="1"/>
      <c r="K33" s="1"/>
      <c r="L33" s="1"/>
      <c r="M33" s="1"/>
      <c r="N33" s="1"/>
      <c r="O33" s="1"/>
      <c r="P33" s="32"/>
      <c r="Q33" s="33"/>
      <c r="R33" s="49"/>
      <c r="S33" s="49"/>
      <c r="T33" s="49"/>
      <c r="U33" s="49"/>
      <c r="V33" s="49"/>
      <c r="W33" s="49"/>
      <c r="X33" s="49"/>
      <c r="Y33" s="49"/>
      <c r="Z33" s="49"/>
      <c r="AA33" s="33"/>
      <c r="AB33" s="34"/>
      <c r="AC33" s="1"/>
      <c r="AD33" s="1"/>
      <c r="AE33" s="1"/>
      <c r="AF33" s="1"/>
      <c r="AG33" s="1"/>
      <c r="AH33" s="1"/>
      <c r="AI33" s="1"/>
      <c r="AJ33" s="1"/>
      <c r="AK33" s="1"/>
      <c r="AL33" s="1"/>
      <c r="AM33" s="1"/>
      <c r="AN33" s="1"/>
      <c r="AO33" s="1"/>
      <c r="AP33" s="1"/>
      <c r="AQ33" s="1"/>
    </row>
    <row r="34" spans="1:43" x14ac:dyDescent="0.75">
      <c r="A34" s="1"/>
      <c r="B34" s="1"/>
      <c r="C34" s="1"/>
      <c r="D34" s="1"/>
      <c r="E34" s="1"/>
      <c r="F34" s="1"/>
      <c r="G34" s="1"/>
      <c r="H34" s="1"/>
      <c r="I34" s="1"/>
      <c r="J34" s="1"/>
      <c r="K34" s="1"/>
      <c r="L34" s="1"/>
      <c r="M34" s="1"/>
      <c r="N34" s="1"/>
      <c r="O34" s="1"/>
      <c r="P34" s="32"/>
      <c r="Q34" s="33"/>
      <c r="R34" s="297" t="s">
        <v>66</v>
      </c>
      <c r="S34" s="297"/>
      <c r="T34" s="297"/>
      <c r="U34" s="297"/>
      <c r="V34" s="297"/>
      <c r="W34" s="297"/>
      <c r="X34" s="297"/>
      <c r="Y34" s="202"/>
      <c r="Z34" s="202"/>
      <c r="AA34" s="33"/>
      <c r="AB34" s="34"/>
      <c r="AC34" s="1"/>
      <c r="AD34" s="1"/>
      <c r="AE34" s="1"/>
      <c r="AF34" s="1"/>
      <c r="AG34" s="1"/>
      <c r="AH34" s="1"/>
      <c r="AI34" s="1"/>
      <c r="AJ34" s="1"/>
      <c r="AK34" s="1"/>
      <c r="AL34" s="1"/>
      <c r="AM34" s="1"/>
      <c r="AN34" s="1"/>
      <c r="AO34" s="1"/>
      <c r="AP34" s="1"/>
      <c r="AQ34" s="1"/>
    </row>
    <row r="35" spans="1:43" x14ac:dyDescent="0.75">
      <c r="A35" s="1"/>
      <c r="B35" s="1"/>
      <c r="C35" s="1"/>
      <c r="D35" s="1"/>
      <c r="E35" s="1"/>
      <c r="F35" s="1"/>
      <c r="G35" s="1"/>
      <c r="H35" s="1"/>
      <c r="I35" s="1"/>
      <c r="J35" s="1"/>
      <c r="K35" s="1"/>
      <c r="L35" s="1"/>
      <c r="M35" s="1"/>
      <c r="N35" s="1"/>
      <c r="O35" s="1"/>
      <c r="P35" s="32"/>
      <c r="Q35" s="33"/>
      <c r="R35" s="277" t="s">
        <v>67</v>
      </c>
      <c r="S35" s="277"/>
      <c r="T35" s="277"/>
      <c r="U35" s="201" t="s">
        <v>68</v>
      </c>
      <c r="V35" s="282">
        <f>10^-(V32/10)</f>
        <v>0.91201083935590965</v>
      </c>
      <c r="W35" s="282"/>
      <c r="X35" s="282"/>
      <c r="Y35" s="33"/>
      <c r="Z35" s="33"/>
      <c r="AA35" s="33"/>
      <c r="AB35" s="34"/>
      <c r="AC35" s="1"/>
      <c r="AD35" s="1"/>
      <c r="AE35" s="1"/>
      <c r="AF35" s="1"/>
      <c r="AG35" s="1"/>
      <c r="AH35" s="1"/>
      <c r="AI35" s="1"/>
      <c r="AJ35" s="1"/>
      <c r="AK35" s="1"/>
      <c r="AL35" s="1"/>
      <c r="AM35" s="1"/>
      <c r="AN35" s="1"/>
      <c r="AO35" s="1"/>
      <c r="AP35" s="1"/>
      <c r="AQ35" s="1"/>
    </row>
    <row r="36" spans="1:43" ht="16.75" x14ac:dyDescent="0.95">
      <c r="A36" s="1"/>
      <c r="B36" s="1"/>
      <c r="C36" s="1"/>
      <c r="D36" s="1"/>
      <c r="E36" s="1"/>
      <c r="F36" s="1"/>
      <c r="G36" s="1"/>
      <c r="H36" s="1"/>
      <c r="I36" s="1"/>
      <c r="J36" s="1"/>
      <c r="K36" s="1"/>
      <c r="L36" s="1"/>
      <c r="M36" s="1"/>
      <c r="N36" s="1"/>
      <c r="O36" s="1"/>
      <c r="P36" s="32"/>
      <c r="Q36" s="33"/>
      <c r="R36" s="277" t="s">
        <v>69</v>
      </c>
      <c r="S36" s="277"/>
      <c r="T36" s="277"/>
      <c r="U36" s="192" t="s">
        <v>70</v>
      </c>
      <c r="V36" s="280">
        <v>120</v>
      </c>
      <c r="W36" s="280"/>
      <c r="X36" s="280"/>
      <c r="Y36" s="33" t="s">
        <v>71</v>
      </c>
      <c r="Z36" s="33"/>
      <c r="AA36" s="33"/>
      <c r="AB36" s="34"/>
      <c r="AC36" s="1"/>
      <c r="AD36" s="1"/>
      <c r="AE36" s="1"/>
      <c r="AF36" s="1"/>
      <c r="AG36" s="1"/>
      <c r="AH36" s="1"/>
      <c r="AI36" s="1"/>
      <c r="AJ36" s="1"/>
      <c r="AK36" s="1"/>
      <c r="AL36" s="1"/>
      <c r="AM36" s="1"/>
      <c r="AN36" s="1"/>
      <c r="AO36" s="1"/>
      <c r="AP36" s="1"/>
      <c r="AQ36" s="1"/>
    </row>
    <row r="37" spans="1:43" ht="16.75" x14ac:dyDescent="0.95">
      <c r="A37" s="1"/>
      <c r="B37" s="1"/>
      <c r="C37" s="1"/>
      <c r="D37" s="1"/>
      <c r="E37" s="1"/>
      <c r="F37" s="1"/>
      <c r="G37" s="1"/>
      <c r="H37" s="1"/>
      <c r="I37" s="1"/>
      <c r="J37" s="1"/>
      <c r="K37" s="1"/>
      <c r="L37" s="1"/>
      <c r="M37" s="1"/>
      <c r="N37" s="1"/>
      <c r="O37" s="1"/>
      <c r="P37" s="32"/>
      <c r="Q37" s="33"/>
      <c r="R37" s="277" t="s">
        <v>72</v>
      </c>
      <c r="S37" s="277"/>
      <c r="T37" s="277"/>
      <c r="U37" s="192" t="s">
        <v>73</v>
      </c>
      <c r="V37" s="280">
        <v>290</v>
      </c>
      <c r="W37" s="280"/>
      <c r="X37" s="280"/>
      <c r="Y37" s="33" t="s">
        <v>71</v>
      </c>
      <c r="Z37" s="33"/>
      <c r="AA37" s="33"/>
      <c r="AB37" s="34"/>
      <c r="AC37" s="1"/>
      <c r="AD37" s="1"/>
      <c r="AE37" s="1"/>
      <c r="AF37" s="1"/>
      <c r="AG37" s="1"/>
      <c r="AH37" s="1"/>
      <c r="AI37" s="1"/>
      <c r="AJ37" s="1"/>
      <c r="AK37" s="1"/>
      <c r="AL37" s="1"/>
      <c r="AM37" s="1"/>
      <c r="AN37" s="1"/>
      <c r="AO37" s="1"/>
      <c r="AP37" s="1"/>
      <c r="AQ37" s="1"/>
    </row>
    <row r="38" spans="1:43" ht="16.75" x14ac:dyDescent="0.95">
      <c r="A38" s="1"/>
      <c r="B38" s="1"/>
      <c r="C38" s="1"/>
      <c r="D38" s="1"/>
      <c r="E38" s="1"/>
      <c r="F38" s="1"/>
      <c r="G38" s="1"/>
      <c r="H38" s="1"/>
      <c r="I38" s="1"/>
      <c r="J38" s="1"/>
      <c r="K38" s="1"/>
      <c r="L38" s="1"/>
      <c r="M38" s="1"/>
      <c r="N38" s="1"/>
      <c r="O38" s="1"/>
      <c r="P38" s="32"/>
      <c r="Q38" s="33"/>
      <c r="R38" s="277" t="s">
        <v>239</v>
      </c>
      <c r="S38" s="277"/>
      <c r="T38" s="277"/>
      <c r="U38" s="192" t="s">
        <v>75</v>
      </c>
      <c r="V38" s="280">
        <v>75</v>
      </c>
      <c r="W38" s="280"/>
      <c r="X38" s="280"/>
      <c r="Y38" s="33" t="s">
        <v>71</v>
      </c>
      <c r="Z38" s="33"/>
      <c r="AA38" s="33"/>
      <c r="AB38" s="34"/>
      <c r="AC38" s="1"/>
      <c r="AD38" s="1"/>
      <c r="AE38" s="1"/>
      <c r="AF38" s="1"/>
      <c r="AG38" s="1"/>
      <c r="AH38" s="1"/>
      <c r="AI38" s="1"/>
      <c r="AJ38" s="1"/>
      <c r="AK38" s="1"/>
      <c r="AL38" s="1"/>
      <c r="AM38" s="1"/>
      <c r="AN38" s="1"/>
      <c r="AO38" s="1"/>
      <c r="AP38" s="1"/>
      <c r="AQ38" s="1"/>
    </row>
    <row r="39" spans="1:43" ht="14.75" customHeight="1" x14ac:dyDescent="0.75">
      <c r="A39" s="1"/>
      <c r="B39" s="1"/>
      <c r="C39" s="1"/>
      <c r="D39" s="1"/>
      <c r="E39" s="1"/>
      <c r="F39" s="1"/>
      <c r="G39" s="1"/>
      <c r="H39" s="1"/>
      <c r="I39" s="1"/>
      <c r="J39" s="1"/>
      <c r="K39" s="1"/>
      <c r="L39" s="1"/>
      <c r="M39" s="1"/>
      <c r="N39" s="1"/>
      <c r="O39" s="1"/>
      <c r="P39" s="32"/>
      <c r="Q39" s="33"/>
      <c r="R39" s="294" t="s">
        <v>238</v>
      </c>
      <c r="S39" s="294"/>
      <c r="T39" s="294"/>
      <c r="U39" s="294" t="s">
        <v>77</v>
      </c>
      <c r="V39" s="280">
        <v>23</v>
      </c>
      <c r="W39" s="280"/>
      <c r="X39" s="280"/>
      <c r="Y39" s="33" t="s">
        <v>33</v>
      </c>
      <c r="Z39" s="33"/>
      <c r="AA39" s="33"/>
      <c r="AB39" s="34"/>
      <c r="AC39" s="1"/>
      <c r="AD39" s="1"/>
      <c r="AE39" s="1"/>
      <c r="AF39" s="1"/>
      <c r="AG39" s="1"/>
      <c r="AH39" s="1"/>
      <c r="AI39" s="1"/>
      <c r="AJ39" s="1"/>
      <c r="AK39" s="1"/>
      <c r="AL39" s="1"/>
      <c r="AM39" s="1"/>
      <c r="AN39" s="1"/>
      <c r="AO39" s="1"/>
      <c r="AP39" s="1"/>
      <c r="AQ39" s="1"/>
    </row>
    <row r="40" spans="1:43" x14ac:dyDescent="0.75">
      <c r="A40" s="1"/>
      <c r="B40" s="1"/>
      <c r="C40" s="1"/>
      <c r="D40" s="1"/>
      <c r="E40" s="1"/>
      <c r="F40" s="1"/>
      <c r="G40" s="1"/>
      <c r="H40" s="1"/>
      <c r="I40" s="1"/>
      <c r="J40" s="1"/>
      <c r="K40" s="1"/>
      <c r="L40" s="1"/>
      <c r="M40" s="1"/>
      <c r="N40" s="1"/>
      <c r="O40" s="1"/>
      <c r="P40" s="32"/>
      <c r="Q40" s="33"/>
      <c r="R40" s="294"/>
      <c r="S40" s="294"/>
      <c r="T40" s="294"/>
      <c r="U40" s="294"/>
      <c r="V40" s="282">
        <f>10^(V39/10)</f>
        <v>199.52623149688802</v>
      </c>
      <c r="W40" s="282"/>
      <c r="X40" s="282"/>
      <c r="Y40" s="33" t="s">
        <v>78</v>
      </c>
      <c r="Z40" s="33"/>
      <c r="AA40" s="33"/>
      <c r="AB40" s="34"/>
      <c r="AC40" s="1"/>
      <c r="AD40" s="1"/>
      <c r="AE40" s="1"/>
      <c r="AF40" s="1"/>
      <c r="AG40" s="1"/>
      <c r="AH40" s="1"/>
      <c r="AI40" s="1"/>
      <c r="AJ40" s="1"/>
      <c r="AK40" s="1"/>
      <c r="AL40" s="1"/>
      <c r="AM40" s="1"/>
      <c r="AN40" s="1"/>
      <c r="AO40" s="1"/>
      <c r="AP40" s="1"/>
      <c r="AQ40" s="1"/>
    </row>
    <row r="41" spans="1:43" ht="17.75" x14ac:dyDescent="0.95">
      <c r="A41" s="1"/>
      <c r="B41" s="1"/>
      <c r="C41" s="1"/>
      <c r="D41" s="1"/>
      <c r="E41" s="1"/>
      <c r="F41" s="1"/>
      <c r="G41" s="1"/>
      <c r="H41" s="1"/>
      <c r="I41" s="1"/>
      <c r="J41" s="1"/>
      <c r="K41" s="1"/>
      <c r="L41" s="1"/>
      <c r="M41" s="1"/>
      <c r="N41" s="1"/>
      <c r="O41" s="1"/>
      <c r="P41" s="32"/>
      <c r="Q41" s="33"/>
      <c r="R41" s="277" t="s">
        <v>79</v>
      </c>
      <c r="S41" s="277"/>
      <c r="T41" s="277"/>
      <c r="U41" s="192" t="s">
        <v>80</v>
      </c>
      <c r="V41" s="280">
        <v>500</v>
      </c>
      <c r="W41" s="280"/>
      <c r="X41" s="280"/>
      <c r="Y41" s="33" t="s">
        <v>71</v>
      </c>
      <c r="Z41" s="33"/>
      <c r="AA41" s="33"/>
      <c r="AB41" s="34"/>
      <c r="AC41" s="1"/>
      <c r="AD41" s="1"/>
      <c r="AE41" s="1"/>
      <c r="AF41" s="1"/>
      <c r="AG41" s="1"/>
      <c r="AH41" s="1"/>
      <c r="AI41" s="1"/>
      <c r="AJ41" s="1"/>
      <c r="AK41" s="1"/>
      <c r="AL41" s="1"/>
      <c r="AM41" s="1"/>
      <c r="AN41" s="1"/>
      <c r="AO41" s="1"/>
      <c r="AP41" s="1"/>
      <c r="AQ41" s="1"/>
    </row>
    <row r="42" spans="1:43" ht="16.75" x14ac:dyDescent="0.95">
      <c r="A42" s="1"/>
      <c r="B42" s="1"/>
      <c r="C42" s="1"/>
      <c r="D42" s="1"/>
      <c r="E42" s="1"/>
      <c r="F42" s="1"/>
      <c r="G42" s="1"/>
      <c r="H42" s="1"/>
      <c r="I42" s="1"/>
      <c r="J42" s="1"/>
      <c r="K42" s="1"/>
      <c r="L42" s="1"/>
      <c r="M42" s="1"/>
      <c r="N42" s="1"/>
      <c r="O42" s="1"/>
      <c r="P42" s="32"/>
      <c r="Q42" s="33"/>
      <c r="R42" s="277" t="s">
        <v>81</v>
      </c>
      <c r="S42" s="277"/>
      <c r="T42" s="277"/>
      <c r="U42" s="192" t="s">
        <v>82</v>
      </c>
      <c r="V42" s="282">
        <f>V36*V35+V37*(1-V35)+V38+(V41/V40)</f>
        <v>212.46409347763174</v>
      </c>
      <c r="W42" s="282"/>
      <c r="X42" s="282"/>
      <c r="Y42" s="33" t="s">
        <v>71</v>
      </c>
      <c r="Z42" s="33"/>
      <c r="AA42" s="33"/>
      <c r="AB42" s="34"/>
      <c r="AC42" s="1"/>
      <c r="AD42" s="1"/>
      <c r="AE42" s="1"/>
      <c r="AF42" s="1"/>
      <c r="AG42" s="1"/>
      <c r="AH42" s="1"/>
      <c r="AI42" s="1"/>
      <c r="AJ42" s="1"/>
      <c r="AK42" s="1"/>
      <c r="AL42" s="1"/>
      <c r="AM42" s="1"/>
      <c r="AN42" s="1"/>
      <c r="AO42" s="1"/>
      <c r="AP42" s="1"/>
      <c r="AQ42" s="1"/>
    </row>
    <row r="43" spans="1:43" x14ac:dyDescent="0.75">
      <c r="A43" s="1"/>
      <c r="B43" s="1"/>
      <c r="C43" s="1"/>
      <c r="D43" s="1"/>
      <c r="E43" s="1"/>
      <c r="F43" s="1"/>
      <c r="G43" s="1"/>
      <c r="H43" s="1"/>
      <c r="I43" s="1"/>
      <c r="J43" s="1"/>
      <c r="K43" s="1"/>
      <c r="L43" s="1"/>
      <c r="M43" s="1"/>
      <c r="N43" s="1"/>
      <c r="O43" s="1"/>
      <c r="P43" s="32"/>
      <c r="Q43" s="33"/>
      <c r="R43" s="33"/>
      <c r="S43" s="33"/>
      <c r="T43" s="33"/>
      <c r="U43" s="33"/>
      <c r="V43" s="33"/>
      <c r="W43" s="33"/>
      <c r="X43" s="33"/>
      <c r="Y43" s="33"/>
      <c r="Z43" s="33"/>
      <c r="AA43" s="33"/>
      <c r="AB43" s="34"/>
      <c r="AC43" s="1"/>
      <c r="AD43" s="1"/>
      <c r="AE43" s="1"/>
      <c r="AF43" s="1"/>
      <c r="AG43" s="1"/>
      <c r="AH43" s="1"/>
      <c r="AI43" s="1"/>
      <c r="AJ43" s="1"/>
      <c r="AK43" s="1"/>
      <c r="AL43" s="1"/>
      <c r="AM43" s="1"/>
      <c r="AN43" s="1"/>
      <c r="AO43" s="1"/>
      <c r="AP43" s="1"/>
      <c r="AQ43" s="1"/>
    </row>
    <row r="44" spans="1:43" ht="15.5" thickBot="1" x14ac:dyDescent="0.9">
      <c r="A44" s="1"/>
      <c r="B44" s="1"/>
      <c r="C44" s="1"/>
      <c r="D44" s="1"/>
      <c r="E44" s="1"/>
      <c r="F44" s="1"/>
      <c r="G44" s="1"/>
      <c r="H44" s="1"/>
      <c r="I44" s="1"/>
      <c r="J44" s="1"/>
      <c r="K44" s="1"/>
      <c r="L44" s="1"/>
      <c r="M44" s="1"/>
      <c r="N44" s="1"/>
      <c r="O44" s="1"/>
      <c r="P44" s="35"/>
      <c r="Q44" s="36"/>
      <c r="R44" s="36"/>
      <c r="S44" s="36"/>
      <c r="T44" s="36"/>
      <c r="U44" s="36"/>
      <c r="V44" s="36"/>
      <c r="W44" s="36"/>
      <c r="X44" s="36"/>
      <c r="Y44" s="36"/>
      <c r="Z44" s="36"/>
      <c r="AA44" s="36"/>
      <c r="AB44" s="37"/>
      <c r="AC44" s="1"/>
      <c r="AD44" s="1"/>
      <c r="AE44" s="1"/>
      <c r="AF44" s="1"/>
      <c r="AG44" s="1"/>
      <c r="AH44" s="1"/>
      <c r="AI44" s="1"/>
      <c r="AJ44" s="1"/>
      <c r="AK44" s="1"/>
      <c r="AL44" s="1"/>
      <c r="AM44" s="1"/>
      <c r="AN44" s="1"/>
      <c r="AO44" s="1"/>
      <c r="AP44" s="1"/>
      <c r="AQ44" s="1"/>
    </row>
    <row r="45" spans="1:43" x14ac:dyDescent="0.7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row>
    <row r="46" spans="1:43" ht="15.5" thickBot="1" x14ac:dyDescent="0.9">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row>
    <row r="47" spans="1:43" x14ac:dyDescent="0.75">
      <c r="A47" s="1"/>
      <c r="B47" s="1"/>
      <c r="C47" s="1"/>
      <c r="D47" s="1"/>
      <c r="E47" s="1"/>
      <c r="F47" s="1"/>
      <c r="G47" s="1"/>
      <c r="H47" s="1"/>
      <c r="I47" s="1"/>
      <c r="J47" s="1"/>
      <c r="K47" s="1"/>
      <c r="L47" s="1"/>
      <c r="M47" s="1"/>
      <c r="N47" s="1"/>
      <c r="O47" s="1"/>
      <c r="P47" s="38"/>
      <c r="Q47" s="39"/>
      <c r="R47" s="39"/>
      <c r="S47" s="39"/>
      <c r="T47" s="39"/>
      <c r="U47" s="39"/>
      <c r="V47" s="39"/>
      <c r="W47" s="39"/>
      <c r="X47" s="39"/>
      <c r="Y47" s="39"/>
      <c r="Z47" s="39"/>
      <c r="AA47" s="39"/>
      <c r="AB47" s="40"/>
      <c r="AC47" s="1"/>
      <c r="AD47" s="1"/>
      <c r="AE47" s="1"/>
      <c r="AF47" s="1"/>
      <c r="AG47" s="1"/>
      <c r="AH47" s="1"/>
      <c r="AI47" s="1"/>
      <c r="AJ47" s="1"/>
      <c r="AK47" s="1"/>
      <c r="AL47" s="1"/>
      <c r="AM47" s="1"/>
      <c r="AN47" s="1"/>
      <c r="AO47" s="1"/>
      <c r="AP47" s="1"/>
      <c r="AQ47" s="1"/>
    </row>
    <row r="48" spans="1:43" ht="15.5" thickBot="1" x14ac:dyDescent="0.9">
      <c r="A48" s="1"/>
      <c r="B48" s="1"/>
      <c r="C48" s="1"/>
      <c r="D48" s="1"/>
      <c r="E48" s="1"/>
      <c r="F48" s="1"/>
      <c r="G48" s="1"/>
      <c r="H48" s="1"/>
      <c r="I48" s="1"/>
      <c r="J48" s="1"/>
      <c r="K48" s="1"/>
      <c r="L48" s="1"/>
      <c r="M48" s="1"/>
      <c r="N48" s="1"/>
      <c r="O48" s="1"/>
      <c r="P48" s="41"/>
      <c r="Q48" s="42"/>
      <c r="R48" s="42"/>
      <c r="S48" s="42"/>
      <c r="T48" s="42"/>
      <c r="U48" s="42"/>
      <c r="V48" s="42"/>
      <c r="W48" s="42"/>
      <c r="X48" s="42"/>
      <c r="Y48" s="42"/>
      <c r="Z48" s="42"/>
      <c r="AA48" s="42"/>
      <c r="AB48" s="43"/>
      <c r="AC48" s="1"/>
      <c r="AD48" s="1"/>
      <c r="AE48" s="1"/>
      <c r="AF48" s="1"/>
      <c r="AG48" s="1"/>
      <c r="AH48" s="1"/>
      <c r="AI48" s="1"/>
      <c r="AJ48" s="1"/>
      <c r="AK48" s="1"/>
      <c r="AL48" s="1"/>
      <c r="AM48" s="1"/>
      <c r="AN48" s="1"/>
      <c r="AO48" s="1"/>
      <c r="AP48" s="1"/>
      <c r="AQ48" s="1"/>
    </row>
    <row r="49" spans="1:43" ht="31" thickBot="1" x14ac:dyDescent="0.9">
      <c r="A49" s="1"/>
      <c r="B49" s="1"/>
      <c r="C49" s="1"/>
      <c r="D49" s="1"/>
      <c r="E49" s="1"/>
      <c r="F49" s="1"/>
      <c r="G49" s="1"/>
      <c r="H49" s="1"/>
      <c r="I49" s="1"/>
      <c r="J49" s="1"/>
      <c r="K49" s="1"/>
      <c r="L49" s="1"/>
      <c r="M49" s="1"/>
      <c r="N49" s="1"/>
      <c r="O49" s="1"/>
      <c r="P49" s="41"/>
      <c r="Q49" s="42"/>
      <c r="R49" s="263" t="s">
        <v>83</v>
      </c>
      <c r="S49" s="264"/>
      <c r="T49" s="264"/>
      <c r="U49" s="264"/>
      <c r="V49" s="264"/>
      <c r="W49" s="264"/>
      <c r="X49" s="264"/>
      <c r="Y49" s="264"/>
      <c r="Z49" s="265"/>
      <c r="AA49" s="42"/>
      <c r="AB49" s="43"/>
      <c r="AC49" s="1"/>
      <c r="AD49" s="1"/>
      <c r="AE49" s="1"/>
      <c r="AF49" s="1"/>
      <c r="AG49" s="1"/>
      <c r="AH49" s="1"/>
      <c r="AI49" s="1"/>
      <c r="AJ49" s="1"/>
      <c r="AK49" s="1"/>
      <c r="AL49" s="1"/>
      <c r="AM49" s="1"/>
      <c r="AN49" s="1"/>
      <c r="AO49" s="1"/>
      <c r="AP49" s="1"/>
      <c r="AQ49" s="1"/>
    </row>
    <row r="50" spans="1:43" x14ac:dyDescent="0.75">
      <c r="A50" s="1"/>
      <c r="B50" s="1"/>
      <c r="C50" s="1"/>
      <c r="D50" s="1"/>
      <c r="E50" s="1"/>
      <c r="F50" s="1"/>
      <c r="G50" s="1"/>
      <c r="H50" s="1"/>
      <c r="I50" s="1"/>
      <c r="J50" s="1"/>
      <c r="K50" s="1"/>
      <c r="L50" s="1"/>
      <c r="M50" s="1"/>
      <c r="N50" s="1"/>
      <c r="O50" s="1"/>
      <c r="P50" s="41"/>
      <c r="Q50" s="42"/>
      <c r="R50" s="42"/>
      <c r="S50" s="42"/>
      <c r="T50" s="42"/>
      <c r="U50" s="42"/>
      <c r="V50" s="42"/>
      <c r="W50" s="42"/>
      <c r="X50" s="42"/>
      <c r="Y50" s="42"/>
      <c r="Z50" s="42"/>
      <c r="AA50" s="42"/>
      <c r="AB50" s="43"/>
      <c r="AC50" s="1"/>
      <c r="AD50" s="1"/>
      <c r="AE50" s="1"/>
      <c r="AF50" s="1"/>
      <c r="AG50" s="1"/>
      <c r="AH50" s="1"/>
      <c r="AI50" s="1"/>
      <c r="AJ50" s="1"/>
      <c r="AK50" s="1"/>
      <c r="AL50" s="1"/>
      <c r="AM50" s="1"/>
      <c r="AN50" s="1"/>
      <c r="AO50" s="1"/>
      <c r="AP50" s="1"/>
      <c r="AQ50" s="1"/>
    </row>
    <row r="51" spans="1:43" x14ac:dyDescent="0.75">
      <c r="A51" s="1"/>
      <c r="B51" s="1"/>
      <c r="C51" s="1"/>
      <c r="D51" s="1"/>
      <c r="E51" s="1"/>
      <c r="F51" s="1"/>
      <c r="G51" s="1"/>
      <c r="H51" s="1"/>
      <c r="I51" s="1"/>
      <c r="J51" s="1"/>
      <c r="K51" s="1"/>
      <c r="L51" s="1"/>
      <c r="M51" s="1"/>
      <c r="N51" s="1"/>
      <c r="O51" s="1"/>
      <c r="P51" s="41"/>
      <c r="Q51" s="42"/>
      <c r="R51" s="42"/>
      <c r="S51" s="42"/>
      <c r="T51" s="42"/>
      <c r="U51" s="42"/>
      <c r="V51" s="42"/>
      <c r="W51" s="42"/>
      <c r="X51" s="42"/>
      <c r="Y51" s="42"/>
      <c r="Z51" s="42"/>
      <c r="AA51" s="42"/>
      <c r="AB51" s="43"/>
      <c r="AC51" s="1"/>
      <c r="AD51" s="1"/>
      <c r="AE51" s="1"/>
      <c r="AF51" s="1"/>
      <c r="AG51" s="1"/>
      <c r="AH51" s="1"/>
      <c r="AI51" s="1"/>
      <c r="AJ51" s="1"/>
      <c r="AK51" s="1"/>
      <c r="AL51" s="1"/>
      <c r="AM51" s="1"/>
      <c r="AN51" s="1"/>
      <c r="AO51" s="1"/>
      <c r="AP51" s="1"/>
      <c r="AQ51" s="1"/>
    </row>
    <row r="52" spans="1:43" x14ac:dyDescent="0.75">
      <c r="A52" s="1"/>
      <c r="B52" s="1"/>
      <c r="C52" s="1"/>
      <c r="D52" s="1"/>
      <c r="E52" s="1"/>
      <c r="F52" s="1"/>
      <c r="G52" s="1"/>
      <c r="H52" s="1"/>
      <c r="I52" s="1"/>
      <c r="J52" s="1"/>
      <c r="K52" s="1"/>
      <c r="L52" s="1"/>
      <c r="M52" s="1"/>
      <c r="N52" s="1"/>
      <c r="O52" s="1"/>
      <c r="P52" s="41"/>
      <c r="Q52" s="42"/>
      <c r="R52" s="42"/>
      <c r="S52" s="42"/>
      <c r="T52" s="42"/>
      <c r="U52" s="42"/>
      <c r="V52" s="42"/>
      <c r="W52" s="42"/>
      <c r="X52" s="42"/>
      <c r="Y52" s="42"/>
      <c r="Z52" s="42"/>
      <c r="AA52" s="42"/>
      <c r="AB52" s="43"/>
      <c r="AC52" s="1"/>
      <c r="AD52" s="1"/>
      <c r="AE52" s="1"/>
      <c r="AF52" s="1"/>
      <c r="AG52" s="1"/>
      <c r="AH52" s="1"/>
      <c r="AI52" s="1"/>
      <c r="AJ52" s="1"/>
      <c r="AK52" s="1"/>
      <c r="AL52" s="1"/>
      <c r="AM52" s="1"/>
      <c r="AN52" s="1"/>
      <c r="AO52" s="1"/>
      <c r="AP52" s="1"/>
      <c r="AQ52" s="1"/>
    </row>
    <row r="53" spans="1:43" x14ac:dyDescent="0.75">
      <c r="A53" s="1"/>
      <c r="B53" s="1"/>
      <c r="C53" s="1"/>
      <c r="D53" s="1"/>
      <c r="E53" s="1"/>
      <c r="F53" s="1"/>
      <c r="G53" s="1"/>
      <c r="H53" s="1"/>
      <c r="I53" s="1"/>
      <c r="J53" s="1"/>
      <c r="K53" s="1"/>
      <c r="L53" s="1"/>
      <c r="M53" s="1"/>
      <c r="N53" s="1"/>
      <c r="O53" s="1"/>
      <c r="P53" s="41"/>
      <c r="Q53" s="42"/>
      <c r="R53" s="42"/>
      <c r="S53" s="42"/>
      <c r="T53" s="42"/>
      <c r="U53" s="42"/>
      <c r="V53" s="42"/>
      <c r="W53" s="42"/>
      <c r="X53" s="42"/>
      <c r="Y53" s="42"/>
      <c r="Z53" s="42"/>
      <c r="AA53" s="42"/>
      <c r="AB53" s="43"/>
      <c r="AC53" s="1"/>
      <c r="AD53" s="1"/>
      <c r="AE53" s="1"/>
      <c r="AF53" s="1"/>
      <c r="AG53" s="1"/>
      <c r="AH53" s="1"/>
      <c r="AI53" s="1"/>
      <c r="AJ53" s="1"/>
      <c r="AK53" s="1"/>
      <c r="AL53" s="1"/>
      <c r="AM53" s="1"/>
      <c r="AN53" s="1"/>
      <c r="AO53" s="1"/>
      <c r="AP53" s="1"/>
      <c r="AQ53" s="1"/>
    </row>
    <row r="54" spans="1:43" x14ac:dyDescent="0.75">
      <c r="A54" s="1"/>
      <c r="B54" s="1"/>
      <c r="C54" s="1"/>
      <c r="D54" s="1"/>
      <c r="E54" s="1"/>
      <c r="F54" s="1"/>
      <c r="G54" s="1"/>
      <c r="H54" s="1"/>
      <c r="I54" s="1"/>
      <c r="J54" s="1"/>
      <c r="K54" s="1"/>
      <c r="L54" s="1"/>
      <c r="M54" s="1"/>
      <c r="N54" s="1"/>
      <c r="O54" s="1"/>
      <c r="P54" s="41"/>
      <c r="Q54" s="42"/>
      <c r="R54" s="42"/>
      <c r="S54" s="42"/>
      <c r="T54" s="42"/>
      <c r="U54" s="42"/>
      <c r="V54" s="42"/>
      <c r="W54" s="42"/>
      <c r="X54" s="42"/>
      <c r="Y54" s="42"/>
      <c r="Z54" s="42"/>
      <c r="AA54" s="42"/>
      <c r="AB54" s="43"/>
      <c r="AC54" s="1"/>
      <c r="AD54" s="1"/>
      <c r="AE54" s="1"/>
      <c r="AF54" s="1"/>
      <c r="AG54" s="1"/>
      <c r="AH54" s="1"/>
      <c r="AI54" s="1"/>
      <c r="AJ54" s="1"/>
      <c r="AK54" s="1"/>
      <c r="AL54" s="1"/>
      <c r="AM54" s="1"/>
      <c r="AN54" s="1"/>
      <c r="AO54" s="1"/>
      <c r="AP54" s="1"/>
      <c r="AQ54" s="1"/>
    </row>
    <row r="55" spans="1:43" x14ac:dyDescent="0.75">
      <c r="A55" s="1"/>
      <c r="B55" s="1"/>
      <c r="C55" s="1"/>
      <c r="D55" s="1"/>
      <c r="E55" s="1"/>
      <c r="F55" s="1"/>
      <c r="G55" s="1"/>
      <c r="H55" s="1"/>
      <c r="I55" s="1"/>
      <c r="J55" s="1"/>
      <c r="K55" s="1"/>
      <c r="L55" s="1"/>
      <c r="M55" s="1"/>
      <c r="N55" s="1"/>
      <c r="O55" s="1"/>
      <c r="P55" s="41"/>
      <c r="Q55" s="42"/>
      <c r="R55" s="42"/>
      <c r="S55" s="42"/>
      <c r="T55" s="42"/>
      <c r="U55" s="42"/>
      <c r="V55" s="42"/>
      <c r="W55" s="42"/>
      <c r="X55" s="42"/>
      <c r="Y55" s="42"/>
      <c r="Z55" s="42"/>
      <c r="AA55" s="42"/>
      <c r="AB55" s="43"/>
      <c r="AC55" s="1"/>
      <c r="AD55" s="1"/>
      <c r="AE55" s="1"/>
      <c r="AF55" s="1"/>
      <c r="AG55" s="1"/>
      <c r="AH55" s="1"/>
      <c r="AI55" s="1"/>
      <c r="AJ55" s="1"/>
      <c r="AK55" s="1"/>
      <c r="AL55" s="1"/>
      <c r="AM55" s="1"/>
      <c r="AN55" s="1"/>
      <c r="AO55" s="1"/>
      <c r="AP55" s="1"/>
      <c r="AQ55" s="1"/>
    </row>
    <row r="56" spans="1:43" x14ac:dyDescent="0.75">
      <c r="A56" s="1"/>
      <c r="B56" s="1"/>
      <c r="C56" s="1"/>
      <c r="D56" s="1"/>
      <c r="E56" s="1"/>
      <c r="F56" s="1"/>
      <c r="G56" s="1"/>
      <c r="H56" s="1"/>
      <c r="I56" s="1"/>
      <c r="J56" s="1"/>
      <c r="K56" s="1"/>
      <c r="L56" s="1"/>
      <c r="M56" s="1"/>
      <c r="N56" s="1"/>
      <c r="O56" s="1"/>
      <c r="P56" s="41"/>
      <c r="Q56" s="42"/>
      <c r="R56" s="42"/>
      <c r="S56" s="42"/>
      <c r="T56" s="42"/>
      <c r="U56" s="42"/>
      <c r="V56" s="42"/>
      <c r="W56" s="42"/>
      <c r="X56" s="42"/>
      <c r="Y56" s="42"/>
      <c r="Z56" s="42"/>
      <c r="AA56" s="42"/>
      <c r="AB56" s="43"/>
      <c r="AC56" s="1"/>
      <c r="AD56" s="1"/>
      <c r="AE56" s="1"/>
      <c r="AF56" s="1"/>
      <c r="AG56" s="1"/>
      <c r="AH56" s="1"/>
      <c r="AI56" s="1"/>
      <c r="AJ56" s="1"/>
      <c r="AK56" s="1"/>
      <c r="AL56" s="1"/>
      <c r="AM56" s="1"/>
      <c r="AN56" s="1"/>
      <c r="AO56" s="1"/>
      <c r="AP56" s="1"/>
      <c r="AQ56" s="1"/>
    </row>
    <row r="57" spans="1:43" x14ac:dyDescent="0.75">
      <c r="A57" s="1"/>
      <c r="B57" s="1"/>
      <c r="C57" s="1"/>
      <c r="D57" s="1"/>
      <c r="E57" s="1"/>
      <c r="F57" s="1"/>
      <c r="G57" s="1"/>
      <c r="H57" s="1"/>
      <c r="I57" s="1"/>
      <c r="J57" s="1"/>
      <c r="K57" s="1"/>
      <c r="L57" s="1"/>
      <c r="M57" s="1"/>
      <c r="N57" s="1"/>
      <c r="O57" s="1"/>
      <c r="P57" s="41"/>
      <c r="Q57" s="42"/>
      <c r="R57" s="42"/>
      <c r="S57" s="42"/>
      <c r="T57" s="42"/>
      <c r="U57" s="42"/>
      <c r="V57" s="42"/>
      <c r="W57" s="42"/>
      <c r="X57" s="42"/>
      <c r="Y57" s="42"/>
      <c r="Z57" s="42"/>
      <c r="AA57" s="42"/>
      <c r="AB57" s="43"/>
      <c r="AC57" s="1"/>
      <c r="AD57" s="1"/>
      <c r="AE57" s="1"/>
      <c r="AF57" s="1"/>
      <c r="AG57" s="1"/>
      <c r="AH57" s="1"/>
      <c r="AI57" s="1"/>
      <c r="AJ57" s="1"/>
      <c r="AK57" s="1"/>
      <c r="AL57" s="1"/>
      <c r="AM57" s="1"/>
      <c r="AN57" s="1"/>
      <c r="AO57" s="1"/>
      <c r="AP57" s="1"/>
      <c r="AQ57" s="1"/>
    </row>
    <row r="58" spans="1:43" x14ac:dyDescent="0.75">
      <c r="A58" s="1"/>
      <c r="B58" s="1"/>
      <c r="C58" s="1"/>
      <c r="D58" s="1"/>
      <c r="E58" s="1"/>
      <c r="F58" s="1"/>
      <c r="G58" s="1"/>
      <c r="H58" s="1"/>
      <c r="I58" s="1"/>
      <c r="J58" s="1"/>
      <c r="K58" s="1"/>
      <c r="L58" s="1"/>
      <c r="M58" s="1"/>
      <c r="N58" s="1"/>
      <c r="O58" s="1"/>
      <c r="P58" s="41"/>
      <c r="Q58" s="42"/>
      <c r="R58" s="42"/>
      <c r="S58" s="42"/>
      <c r="T58" s="42"/>
      <c r="U58" s="42"/>
      <c r="V58" s="42"/>
      <c r="W58" s="42"/>
      <c r="X58" s="42"/>
      <c r="Y58" s="42"/>
      <c r="Z58" s="42"/>
      <c r="AA58" s="42"/>
      <c r="AB58" s="43"/>
      <c r="AC58" s="1"/>
      <c r="AD58" s="1"/>
      <c r="AE58" s="1"/>
      <c r="AF58" s="1"/>
      <c r="AG58" s="1"/>
      <c r="AH58" s="1"/>
      <c r="AI58" s="1"/>
      <c r="AJ58" s="1"/>
      <c r="AK58" s="1"/>
      <c r="AL58" s="1"/>
      <c r="AM58" s="1"/>
      <c r="AN58" s="1"/>
      <c r="AO58" s="1"/>
      <c r="AP58" s="1"/>
      <c r="AQ58" s="1"/>
    </row>
    <row r="59" spans="1:43" x14ac:dyDescent="0.75">
      <c r="A59" s="1"/>
      <c r="B59" s="1"/>
      <c r="C59" s="1"/>
      <c r="D59" s="1"/>
      <c r="E59" s="1"/>
      <c r="F59" s="1"/>
      <c r="G59" s="1"/>
      <c r="H59" s="1"/>
      <c r="I59" s="1"/>
      <c r="J59" s="1"/>
      <c r="K59" s="1"/>
      <c r="L59" s="1"/>
      <c r="M59" s="1"/>
      <c r="N59" s="1"/>
      <c r="O59" s="1"/>
      <c r="P59" s="41"/>
      <c r="Q59" s="42"/>
      <c r="R59" s="42"/>
      <c r="S59" s="42"/>
      <c r="T59" s="42"/>
      <c r="U59" s="42"/>
      <c r="V59" s="42"/>
      <c r="W59" s="42"/>
      <c r="X59" s="42"/>
      <c r="Y59" s="42"/>
      <c r="Z59" s="42"/>
      <c r="AA59" s="42"/>
      <c r="AB59" s="43"/>
      <c r="AC59" s="1"/>
      <c r="AD59" s="1"/>
      <c r="AE59" s="1"/>
      <c r="AF59" s="1"/>
      <c r="AG59" s="1"/>
      <c r="AH59" s="1"/>
      <c r="AI59" s="1"/>
      <c r="AJ59" s="1"/>
      <c r="AK59" s="1"/>
      <c r="AL59" s="1"/>
      <c r="AM59" s="1"/>
      <c r="AN59" s="1"/>
      <c r="AO59" s="1"/>
      <c r="AP59" s="1"/>
      <c r="AQ59" s="1"/>
    </row>
    <row r="60" spans="1:43" x14ac:dyDescent="0.75">
      <c r="A60" s="1"/>
      <c r="B60" s="1"/>
      <c r="C60" s="1"/>
      <c r="D60" s="1"/>
      <c r="E60" s="1"/>
      <c r="F60" s="1"/>
      <c r="G60" s="1"/>
      <c r="H60" s="1"/>
      <c r="I60" s="1"/>
      <c r="J60" s="1"/>
      <c r="K60" s="1"/>
      <c r="L60" s="1"/>
      <c r="M60" s="1"/>
      <c r="N60" s="1"/>
      <c r="O60" s="1"/>
      <c r="P60" s="41"/>
      <c r="Q60" s="42"/>
      <c r="R60" s="42"/>
      <c r="S60" s="42"/>
      <c r="T60" s="42"/>
      <c r="U60" s="42"/>
      <c r="V60" s="42"/>
      <c r="W60" s="42"/>
      <c r="X60" s="42"/>
      <c r="Y60" s="42"/>
      <c r="Z60" s="42"/>
      <c r="AA60" s="42"/>
      <c r="AB60" s="43"/>
      <c r="AC60" s="1"/>
      <c r="AD60" s="1"/>
      <c r="AE60" s="1"/>
      <c r="AF60" s="1"/>
      <c r="AG60" s="1"/>
      <c r="AH60" s="1"/>
      <c r="AI60" s="1"/>
      <c r="AJ60" s="1"/>
      <c r="AK60" s="1"/>
      <c r="AL60" s="1"/>
      <c r="AM60" s="1"/>
      <c r="AN60" s="1"/>
      <c r="AO60" s="1"/>
      <c r="AP60" s="1"/>
      <c r="AQ60" s="1"/>
    </row>
    <row r="61" spans="1:43" x14ac:dyDescent="0.75">
      <c r="A61" s="1"/>
      <c r="B61" s="1"/>
      <c r="C61" s="1"/>
      <c r="D61" s="1"/>
      <c r="E61" s="1"/>
      <c r="F61" s="1"/>
      <c r="G61" s="1"/>
      <c r="H61" s="1"/>
      <c r="I61" s="1"/>
      <c r="J61" s="1"/>
      <c r="K61" s="1"/>
      <c r="L61" s="1"/>
      <c r="M61" s="1"/>
      <c r="N61" s="1"/>
      <c r="O61" s="1"/>
      <c r="P61" s="41"/>
      <c r="Q61" s="42"/>
      <c r="R61" s="276" t="s">
        <v>62</v>
      </c>
      <c r="S61" s="276"/>
      <c r="T61" s="276"/>
      <c r="U61" s="191"/>
      <c r="V61" s="42"/>
      <c r="W61" s="276" t="s">
        <v>63</v>
      </c>
      <c r="X61" s="276"/>
      <c r="Y61" s="276"/>
      <c r="Z61" s="191"/>
      <c r="AA61" s="42"/>
      <c r="AB61" s="43"/>
      <c r="AC61" s="1"/>
      <c r="AD61" s="1"/>
      <c r="AE61" s="1"/>
      <c r="AF61" s="1"/>
      <c r="AG61" s="1"/>
      <c r="AH61" s="1"/>
      <c r="AI61" s="1"/>
      <c r="AJ61" s="1"/>
      <c r="AK61" s="1"/>
      <c r="AL61" s="1"/>
      <c r="AM61" s="1"/>
      <c r="AN61" s="1"/>
      <c r="AO61" s="1"/>
      <c r="AP61" s="1"/>
      <c r="AQ61" s="1"/>
    </row>
    <row r="62" spans="1:43" x14ac:dyDescent="0.75">
      <c r="A62" s="1"/>
      <c r="B62" s="1"/>
      <c r="C62" s="1"/>
      <c r="D62" s="1"/>
      <c r="E62" s="1"/>
      <c r="F62" s="1"/>
      <c r="G62" s="1"/>
      <c r="H62" s="1"/>
      <c r="I62" s="1"/>
      <c r="J62" s="1"/>
      <c r="K62" s="1"/>
      <c r="L62" s="1"/>
      <c r="M62" s="1"/>
      <c r="N62" s="1"/>
      <c r="O62" s="1"/>
      <c r="P62" s="41"/>
      <c r="Q62" s="42"/>
      <c r="R62" s="42" t="s">
        <v>46</v>
      </c>
      <c r="S62" s="42"/>
      <c r="T62" s="198">
        <v>9.1999999999999998E-2</v>
      </c>
      <c r="U62" s="42" t="s">
        <v>47</v>
      </c>
      <c r="V62" s="42"/>
      <c r="W62" s="42" t="s">
        <v>42</v>
      </c>
      <c r="X62" s="42"/>
      <c r="Y62" s="198">
        <v>2.5</v>
      </c>
      <c r="Z62" s="42" t="s">
        <v>27</v>
      </c>
      <c r="AA62" s="42"/>
      <c r="AB62" s="43"/>
      <c r="AC62" s="1"/>
      <c r="AD62" s="1"/>
      <c r="AE62" s="1"/>
      <c r="AF62" s="1"/>
      <c r="AG62" s="1"/>
      <c r="AH62" s="1"/>
      <c r="AI62" s="1"/>
      <c r="AJ62" s="1"/>
      <c r="AK62" s="1"/>
      <c r="AL62" s="1"/>
      <c r="AM62" s="1"/>
      <c r="AN62" s="1"/>
      <c r="AO62" s="1"/>
      <c r="AP62" s="1"/>
      <c r="AQ62" s="1"/>
    </row>
    <row r="63" spans="1:43" x14ac:dyDescent="0.75">
      <c r="A63" s="1"/>
      <c r="B63" s="1"/>
      <c r="C63" s="1"/>
      <c r="D63" s="1"/>
      <c r="E63" s="1"/>
      <c r="F63" s="1"/>
      <c r="G63" s="1"/>
      <c r="H63" s="1"/>
      <c r="I63" s="1"/>
      <c r="J63" s="1"/>
      <c r="K63" s="1"/>
      <c r="L63" s="1"/>
      <c r="M63" s="1"/>
      <c r="N63" s="1"/>
      <c r="O63" s="1"/>
      <c r="P63" s="41"/>
      <c r="Q63" s="42"/>
      <c r="R63" s="42" t="s">
        <v>49</v>
      </c>
      <c r="S63" s="42"/>
      <c r="T63" s="204">
        <f>T62*Y65</f>
        <v>0.28519999999999995</v>
      </c>
      <c r="U63" s="42" t="s">
        <v>33</v>
      </c>
      <c r="V63" s="42"/>
      <c r="W63" s="42" t="s">
        <v>43</v>
      </c>
      <c r="X63" s="42"/>
      <c r="Y63" s="198">
        <v>0.3</v>
      </c>
      <c r="Z63" s="42" t="s">
        <v>27</v>
      </c>
      <c r="AA63" s="42"/>
      <c r="AB63" s="43"/>
      <c r="AC63" s="1"/>
      <c r="AD63" s="1"/>
      <c r="AE63" s="1"/>
      <c r="AF63" s="1"/>
      <c r="AG63" s="1"/>
      <c r="AH63" s="1"/>
      <c r="AI63" s="1"/>
      <c r="AJ63" s="1"/>
      <c r="AK63" s="1"/>
      <c r="AL63" s="1"/>
      <c r="AM63" s="1"/>
      <c r="AN63" s="1"/>
      <c r="AO63" s="1"/>
      <c r="AP63" s="1"/>
      <c r="AQ63" s="1"/>
    </row>
    <row r="64" spans="1:43" x14ac:dyDescent="0.75">
      <c r="A64" s="1"/>
      <c r="B64" s="1"/>
      <c r="C64" s="1"/>
      <c r="D64" s="1"/>
      <c r="E64" s="1"/>
      <c r="F64" s="1"/>
      <c r="G64" s="1"/>
      <c r="H64" s="1"/>
      <c r="I64" s="1"/>
      <c r="J64" s="1"/>
      <c r="K64" s="1"/>
      <c r="L64" s="1"/>
      <c r="M64" s="1"/>
      <c r="N64" s="1"/>
      <c r="O64" s="1"/>
      <c r="P64" s="41"/>
      <c r="Q64" s="42"/>
      <c r="R64" s="42"/>
      <c r="S64" s="42"/>
      <c r="T64" s="42"/>
      <c r="U64" s="42"/>
      <c r="V64" s="42"/>
      <c r="W64" s="42" t="s">
        <v>45</v>
      </c>
      <c r="X64" s="42"/>
      <c r="Y64" s="198">
        <v>0.3</v>
      </c>
      <c r="Z64" s="42" t="s">
        <v>27</v>
      </c>
      <c r="AA64" s="42"/>
      <c r="AB64" s="43"/>
      <c r="AC64" s="1"/>
      <c r="AD64" s="1"/>
      <c r="AE64" s="1"/>
      <c r="AF64" s="1"/>
      <c r="AG64" s="1"/>
      <c r="AH64" s="1"/>
      <c r="AI64" s="1"/>
      <c r="AJ64" s="1"/>
      <c r="AK64" s="1"/>
      <c r="AL64" s="1"/>
      <c r="AM64" s="1"/>
      <c r="AN64" s="1"/>
      <c r="AO64" s="1"/>
      <c r="AP64" s="1"/>
      <c r="AQ64" s="1"/>
    </row>
    <row r="65" spans="1:43" x14ac:dyDescent="0.75">
      <c r="A65" s="1"/>
      <c r="B65" s="1"/>
      <c r="C65" s="1"/>
      <c r="D65" s="1"/>
      <c r="E65" s="1"/>
      <c r="F65" s="1"/>
      <c r="G65" s="1"/>
      <c r="H65" s="1"/>
      <c r="I65" s="1"/>
      <c r="J65" s="1"/>
      <c r="K65" s="1"/>
      <c r="L65" s="1"/>
      <c r="M65" s="1"/>
      <c r="N65" s="1"/>
      <c r="O65" s="1"/>
      <c r="P65" s="41"/>
      <c r="Q65" s="42"/>
      <c r="R65" s="276" t="s">
        <v>84</v>
      </c>
      <c r="S65" s="276"/>
      <c r="T65" s="276"/>
      <c r="U65" s="191"/>
      <c r="V65" s="42"/>
      <c r="W65" s="42" t="s">
        <v>48</v>
      </c>
      <c r="X65" s="42"/>
      <c r="Y65" s="204">
        <f>SUM(Y62:Y64)</f>
        <v>3.0999999999999996</v>
      </c>
      <c r="Z65" s="42" t="s">
        <v>27</v>
      </c>
      <c r="AA65" s="42"/>
      <c r="AB65" s="43"/>
      <c r="AC65" s="1"/>
      <c r="AD65" s="1"/>
      <c r="AE65" s="1"/>
      <c r="AF65" s="1"/>
      <c r="AG65" s="1"/>
      <c r="AH65" s="1"/>
      <c r="AI65" s="1"/>
      <c r="AJ65" s="1"/>
      <c r="AK65" s="1"/>
      <c r="AL65" s="1"/>
      <c r="AM65" s="1"/>
      <c r="AN65" s="1"/>
      <c r="AO65" s="1"/>
      <c r="AP65" s="1"/>
      <c r="AQ65" s="1"/>
    </row>
    <row r="66" spans="1:43" x14ac:dyDescent="0.75">
      <c r="A66" s="1"/>
      <c r="B66" s="1"/>
      <c r="C66" s="1"/>
      <c r="D66" s="1"/>
      <c r="E66" s="1"/>
      <c r="F66" s="1"/>
      <c r="G66" s="1"/>
      <c r="H66" s="1"/>
      <c r="I66" s="1"/>
      <c r="J66" s="1"/>
      <c r="K66" s="1"/>
      <c r="L66" s="1"/>
      <c r="M66" s="1"/>
      <c r="N66" s="1"/>
      <c r="O66" s="1"/>
      <c r="P66" s="41"/>
      <c r="Q66" s="42"/>
      <c r="R66" s="42" t="s">
        <v>46</v>
      </c>
      <c r="S66" s="42"/>
      <c r="T66" s="198">
        <v>9.1999999999999998E-2</v>
      </c>
      <c r="U66" s="42" t="s">
        <v>47</v>
      </c>
      <c r="V66" s="42"/>
      <c r="W66" s="42"/>
      <c r="X66" s="42"/>
      <c r="Y66" s="42"/>
      <c r="Z66" s="42"/>
      <c r="AA66" s="42"/>
      <c r="AB66" s="43"/>
      <c r="AC66" s="1"/>
      <c r="AD66" s="1"/>
      <c r="AE66" s="1"/>
      <c r="AF66" s="1"/>
      <c r="AG66" s="1"/>
      <c r="AH66" s="1"/>
      <c r="AI66" s="1"/>
      <c r="AJ66" s="1"/>
      <c r="AK66" s="1"/>
      <c r="AL66" s="1"/>
      <c r="AM66" s="1"/>
      <c r="AN66" s="1"/>
      <c r="AO66" s="1"/>
      <c r="AP66" s="1"/>
      <c r="AQ66" s="1"/>
    </row>
    <row r="67" spans="1:43" x14ac:dyDescent="0.75">
      <c r="A67" s="1"/>
      <c r="B67" s="1"/>
      <c r="C67" s="1"/>
      <c r="D67" s="1"/>
      <c r="E67" s="1"/>
      <c r="F67" s="1"/>
      <c r="G67" s="1"/>
      <c r="H67" s="1"/>
      <c r="I67" s="1"/>
      <c r="J67" s="1"/>
      <c r="K67" s="1"/>
      <c r="L67" s="1"/>
      <c r="M67" s="1"/>
      <c r="N67" s="1"/>
      <c r="O67" s="1"/>
      <c r="P67" s="41"/>
      <c r="Q67" s="42"/>
      <c r="R67" s="42" t="s">
        <v>85</v>
      </c>
      <c r="S67" s="42"/>
      <c r="T67" s="198">
        <v>25</v>
      </c>
      <c r="U67" s="42" t="s">
        <v>47</v>
      </c>
      <c r="V67" s="42"/>
      <c r="W67" s="42"/>
      <c r="X67" s="42"/>
      <c r="Y67" s="42"/>
      <c r="Z67" s="42"/>
      <c r="AA67" s="42"/>
      <c r="AB67" s="43"/>
      <c r="AC67" s="1"/>
      <c r="AD67" s="1"/>
      <c r="AE67" s="1"/>
      <c r="AF67" s="1"/>
      <c r="AG67" s="1"/>
      <c r="AH67" s="1"/>
      <c r="AI67" s="1"/>
      <c r="AJ67" s="1"/>
      <c r="AK67" s="1"/>
      <c r="AL67" s="1"/>
      <c r="AM67" s="1"/>
      <c r="AN67" s="1"/>
      <c r="AO67" s="1"/>
      <c r="AP67" s="1"/>
      <c r="AQ67" s="1"/>
    </row>
    <row r="68" spans="1:43" x14ac:dyDescent="0.75">
      <c r="A68" s="1"/>
      <c r="B68" s="1"/>
      <c r="C68" s="1"/>
      <c r="D68" s="1"/>
      <c r="E68" s="1"/>
      <c r="F68" s="1"/>
      <c r="G68" s="1"/>
      <c r="H68" s="1"/>
      <c r="I68" s="1"/>
      <c r="J68" s="1"/>
      <c r="K68" s="1"/>
      <c r="L68" s="1"/>
      <c r="M68" s="1"/>
      <c r="N68" s="1"/>
      <c r="O68" s="1"/>
      <c r="P68" s="41"/>
      <c r="Q68" s="42"/>
      <c r="R68" s="42" t="s">
        <v>49</v>
      </c>
      <c r="S68" s="42"/>
      <c r="T68" s="204">
        <f>T67*T66</f>
        <v>2.2999999999999998</v>
      </c>
      <c r="U68" s="42" t="s">
        <v>33</v>
      </c>
      <c r="V68" s="42"/>
      <c r="W68" s="42"/>
      <c r="X68" s="42"/>
      <c r="Y68" s="42"/>
      <c r="Z68" s="42"/>
      <c r="AA68" s="42"/>
      <c r="AB68" s="43"/>
      <c r="AC68" s="1"/>
      <c r="AD68" s="1"/>
      <c r="AE68" s="1"/>
      <c r="AF68" s="1"/>
      <c r="AG68" s="1"/>
      <c r="AH68" s="1"/>
      <c r="AI68" s="1"/>
      <c r="AJ68" s="1"/>
      <c r="AK68" s="1"/>
      <c r="AL68" s="1"/>
      <c r="AM68" s="1"/>
      <c r="AN68" s="1"/>
      <c r="AO68" s="1"/>
      <c r="AP68" s="1"/>
      <c r="AQ68" s="1"/>
    </row>
    <row r="69" spans="1:43" x14ac:dyDescent="0.75">
      <c r="A69" s="1"/>
      <c r="B69" s="1"/>
      <c r="C69" s="1"/>
      <c r="D69" s="1"/>
      <c r="E69" s="1"/>
      <c r="F69" s="1"/>
      <c r="G69" s="1"/>
      <c r="H69" s="1"/>
      <c r="I69" s="1"/>
      <c r="J69" s="1"/>
      <c r="K69" s="1"/>
      <c r="L69" s="1"/>
      <c r="M69" s="1"/>
      <c r="N69" s="1"/>
      <c r="O69" s="1"/>
      <c r="P69" s="41"/>
      <c r="Q69" s="42"/>
      <c r="R69" s="42"/>
      <c r="S69" s="42"/>
      <c r="T69" s="42"/>
      <c r="U69" s="42"/>
      <c r="V69" s="42"/>
      <c r="W69" s="42"/>
      <c r="X69" s="42"/>
      <c r="Y69" s="42"/>
      <c r="Z69" s="42"/>
      <c r="AA69" s="42"/>
      <c r="AB69" s="43"/>
      <c r="AC69" s="1"/>
      <c r="AD69" s="1"/>
      <c r="AE69" s="1"/>
      <c r="AF69" s="1"/>
      <c r="AG69" s="1"/>
      <c r="AH69" s="1"/>
      <c r="AI69" s="1"/>
      <c r="AJ69" s="1"/>
      <c r="AK69" s="1"/>
      <c r="AL69" s="1"/>
      <c r="AM69" s="1"/>
      <c r="AN69" s="1"/>
      <c r="AO69" s="1"/>
      <c r="AP69" s="1"/>
      <c r="AQ69" s="1"/>
    </row>
    <row r="70" spans="1:43" x14ac:dyDescent="0.75">
      <c r="A70" s="1"/>
      <c r="B70" s="1"/>
      <c r="C70" s="1"/>
      <c r="D70" s="1"/>
      <c r="E70" s="1"/>
      <c r="F70" s="1"/>
      <c r="G70" s="1"/>
      <c r="H70" s="1"/>
      <c r="I70" s="1"/>
      <c r="J70" s="1"/>
      <c r="K70" s="1"/>
      <c r="L70" s="1"/>
      <c r="M70" s="1"/>
      <c r="N70" s="1"/>
      <c r="O70" s="1"/>
      <c r="P70" s="41"/>
      <c r="Q70" s="42"/>
      <c r="R70" s="276" t="s">
        <v>50</v>
      </c>
      <c r="S70" s="276"/>
      <c r="T70" s="276"/>
      <c r="U70" s="276"/>
      <c r="V70" s="276"/>
      <c r="W70" s="276"/>
      <c r="X70" s="276"/>
      <c r="Y70" s="191"/>
      <c r="Z70" s="191"/>
      <c r="AA70" s="42"/>
      <c r="AB70" s="43"/>
      <c r="AC70" s="1"/>
      <c r="AD70" s="1"/>
      <c r="AE70" s="1"/>
      <c r="AF70" s="1"/>
      <c r="AG70" s="1"/>
      <c r="AH70" s="1"/>
      <c r="AI70" s="1"/>
      <c r="AJ70" s="1"/>
      <c r="AK70" s="1"/>
      <c r="AL70" s="1"/>
      <c r="AM70" s="1"/>
      <c r="AN70" s="1"/>
      <c r="AO70" s="1"/>
      <c r="AP70" s="1"/>
      <c r="AQ70" s="1"/>
    </row>
    <row r="71" spans="1:43" x14ac:dyDescent="0.75">
      <c r="A71" s="1"/>
      <c r="B71" s="1"/>
      <c r="C71" s="1"/>
      <c r="D71" s="1"/>
      <c r="E71" s="1"/>
      <c r="F71" s="1"/>
      <c r="G71" s="1"/>
      <c r="H71" s="1"/>
      <c r="I71" s="1"/>
      <c r="J71" s="1"/>
      <c r="K71" s="1"/>
      <c r="L71" s="1"/>
      <c r="M71" s="1"/>
      <c r="N71" s="1"/>
      <c r="O71" s="1"/>
      <c r="P71" s="41"/>
      <c r="Q71" s="42"/>
      <c r="R71" s="42" t="s">
        <v>51</v>
      </c>
      <c r="S71" s="42"/>
      <c r="T71" s="42"/>
      <c r="U71" s="42"/>
      <c r="V71" s="286">
        <v>4</v>
      </c>
      <c r="W71" s="287"/>
      <c r="X71" s="288"/>
      <c r="Y71" s="42"/>
      <c r="Z71" s="42"/>
      <c r="AA71" s="42"/>
      <c r="AB71" s="43"/>
      <c r="AC71" s="1"/>
      <c r="AD71" s="1"/>
      <c r="AE71" s="1"/>
      <c r="AF71" s="1"/>
      <c r="AG71" s="1"/>
      <c r="AH71" s="1"/>
      <c r="AI71" s="1"/>
      <c r="AJ71" s="1"/>
      <c r="AK71" s="1"/>
      <c r="AL71" s="1"/>
      <c r="AM71" s="1"/>
      <c r="AN71" s="1"/>
      <c r="AO71" s="1"/>
      <c r="AP71" s="1"/>
      <c r="AQ71" s="1"/>
    </row>
    <row r="72" spans="1:43" x14ac:dyDescent="0.75">
      <c r="A72" s="1"/>
      <c r="B72" s="1"/>
      <c r="C72" s="1"/>
      <c r="D72" s="1"/>
      <c r="E72" s="1"/>
      <c r="F72" s="1"/>
      <c r="G72" s="1"/>
      <c r="H72" s="1"/>
      <c r="I72" s="1"/>
      <c r="J72" s="1"/>
      <c r="K72" s="1"/>
      <c r="L72" s="1"/>
      <c r="M72" s="1"/>
      <c r="N72" s="1"/>
      <c r="O72" s="1"/>
      <c r="P72" s="41"/>
      <c r="Q72" s="42"/>
      <c r="R72" s="42" t="s">
        <v>53</v>
      </c>
      <c r="S72" s="42"/>
      <c r="T72" s="42"/>
      <c r="U72" s="42"/>
      <c r="V72" s="284">
        <f>V71*0.05</f>
        <v>0.2</v>
      </c>
      <c r="W72" s="295"/>
      <c r="X72" s="285"/>
      <c r="Y72" s="42" t="s">
        <v>33</v>
      </c>
      <c r="Z72" s="42"/>
      <c r="AA72" s="42"/>
      <c r="AB72" s="43"/>
      <c r="AC72" s="1"/>
      <c r="AD72" s="1"/>
      <c r="AE72" s="1"/>
      <c r="AF72" s="1"/>
      <c r="AG72" s="1"/>
      <c r="AH72" s="1"/>
      <c r="AI72" s="1"/>
      <c r="AJ72" s="1"/>
      <c r="AK72" s="1"/>
      <c r="AL72" s="1"/>
      <c r="AM72" s="1"/>
      <c r="AN72" s="1"/>
      <c r="AO72" s="1"/>
      <c r="AP72" s="1"/>
      <c r="AQ72" s="1"/>
    </row>
    <row r="73" spans="1:43" x14ac:dyDescent="0.75">
      <c r="A73" s="1"/>
      <c r="B73" s="1"/>
      <c r="C73" s="1"/>
      <c r="D73" s="1"/>
      <c r="E73" s="1"/>
      <c r="F73" s="1"/>
      <c r="G73" s="1"/>
      <c r="H73" s="1"/>
      <c r="I73" s="1"/>
      <c r="J73" s="1"/>
      <c r="K73" s="1"/>
      <c r="L73" s="1"/>
      <c r="M73" s="1"/>
      <c r="N73" s="1"/>
      <c r="O73" s="1"/>
      <c r="P73" s="41"/>
      <c r="Q73" s="42"/>
      <c r="R73" s="42" t="s">
        <v>64</v>
      </c>
      <c r="S73" s="42"/>
      <c r="T73" s="42"/>
      <c r="U73" s="42"/>
      <c r="V73" s="286">
        <v>1.5</v>
      </c>
      <c r="W73" s="287"/>
      <c r="X73" s="288"/>
      <c r="Y73" s="42" t="s">
        <v>33</v>
      </c>
      <c r="Z73" s="42"/>
      <c r="AA73" s="42"/>
      <c r="AB73" s="43"/>
      <c r="AC73" s="1"/>
      <c r="AD73" s="1"/>
      <c r="AE73" s="1"/>
      <c r="AF73" s="1"/>
      <c r="AG73" s="1"/>
      <c r="AH73" s="1"/>
      <c r="AI73" s="1"/>
      <c r="AJ73" s="1"/>
      <c r="AK73" s="1"/>
      <c r="AL73" s="1"/>
      <c r="AM73" s="1"/>
      <c r="AN73" s="1"/>
      <c r="AO73" s="1"/>
      <c r="AP73" s="1"/>
      <c r="AQ73" s="1"/>
    </row>
    <row r="74" spans="1:43" x14ac:dyDescent="0.75">
      <c r="A74" s="1"/>
      <c r="B74" s="1"/>
      <c r="C74" s="1"/>
      <c r="D74" s="1"/>
      <c r="E74" s="1"/>
      <c r="F74" s="1"/>
      <c r="G74" s="1"/>
      <c r="H74" s="1"/>
      <c r="I74" s="1"/>
      <c r="J74" s="1"/>
      <c r="K74" s="1"/>
      <c r="L74" s="1"/>
      <c r="M74" s="1"/>
      <c r="N74" s="1"/>
      <c r="O74" s="1"/>
      <c r="P74" s="41"/>
      <c r="Q74" s="42"/>
      <c r="R74" s="42" t="s">
        <v>55</v>
      </c>
      <c r="S74" s="42"/>
      <c r="T74" s="42"/>
      <c r="U74" s="42"/>
      <c r="V74" s="286">
        <v>0</v>
      </c>
      <c r="W74" s="287"/>
      <c r="X74" s="288"/>
      <c r="Y74" s="42" t="s">
        <v>33</v>
      </c>
      <c r="Z74" s="42"/>
      <c r="AA74" s="42"/>
      <c r="AB74" s="43"/>
      <c r="AC74" s="1"/>
      <c r="AD74" s="1"/>
      <c r="AE74" s="1"/>
      <c r="AF74" s="1"/>
      <c r="AG74" s="1"/>
      <c r="AH74" s="1"/>
      <c r="AI74" s="1"/>
      <c r="AJ74" s="1"/>
      <c r="AK74" s="1"/>
      <c r="AL74" s="1"/>
      <c r="AM74" s="1"/>
      <c r="AN74" s="1"/>
      <c r="AO74" s="1"/>
      <c r="AP74" s="1"/>
      <c r="AQ74" s="1"/>
    </row>
    <row r="75" spans="1:43" x14ac:dyDescent="0.75">
      <c r="A75" s="1"/>
      <c r="B75" s="1"/>
      <c r="C75" s="1"/>
      <c r="D75" s="1"/>
      <c r="E75" s="1"/>
      <c r="F75" s="1"/>
      <c r="G75" s="1"/>
      <c r="H75" s="1"/>
      <c r="I75" s="1"/>
      <c r="J75" s="1"/>
      <c r="K75" s="1"/>
      <c r="L75" s="1"/>
      <c r="M75" s="1"/>
      <c r="N75" s="1"/>
      <c r="O75" s="1"/>
      <c r="P75" s="41"/>
      <c r="Q75" s="42"/>
      <c r="R75" s="42"/>
      <c r="S75" s="42"/>
      <c r="T75" s="42"/>
      <c r="U75" s="42"/>
      <c r="V75" s="42"/>
      <c r="W75" s="42"/>
      <c r="X75" s="42"/>
      <c r="Y75" s="42"/>
      <c r="Z75" s="42"/>
      <c r="AA75" s="42"/>
      <c r="AB75" s="43"/>
      <c r="AC75" s="1"/>
      <c r="AD75" s="1"/>
      <c r="AE75" s="1"/>
      <c r="AF75" s="1"/>
      <c r="AG75" s="1"/>
      <c r="AH75" s="1"/>
      <c r="AI75" s="1"/>
      <c r="AJ75" s="1"/>
      <c r="AK75" s="1"/>
      <c r="AL75" s="1"/>
      <c r="AM75" s="1"/>
      <c r="AN75" s="1"/>
      <c r="AO75" s="1"/>
      <c r="AP75" s="1"/>
      <c r="AQ75" s="1"/>
    </row>
    <row r="76" spans="1:43" x14ac:dyDescent="0.75">
      <c r="A76" s="1"/>
      <c r="B76" s="1"/>
      <c r="C76" s="1"/>
      <c r="D76" s="1"/>
      <c r="E76" s="1"/>
      <c r="F76" s="1"/>
      <c r="G76" s="1"/>
      <c r="H76" s="1"/>
      <c r="I76" s="1"/>
      <c r="J76" s="1"/>
      <c r="K76" s="1"/>
      <c r="L76" s="1"/>
      <c r="M76" s="1"/>
      <c r="N76" s="1"/>
      <c r="O76" s="1"/>
      <c r="P76" s="41"/>
      <c r="Q76" s="42"/>
      <c r="R76" s="42"/>
      <c r="S76" s="42"/>
      <c r="T76" s="276" t="s">
        <v>65</v>
      </c>
      <c r="U76" s="276"/>
      <c r="V76" s="276"/>
      <c r="W76" s="276"/>
      <c r="X76" s="191"/>
      <c r="Y76" s="42"/>
      <c r="Z76" s="42"/>
      <c r="AA76" s="42"/>
      <c r="AB76" s="43"/>
      <c r="AC76" s="1"/>
      <c r="AD76" s="1"/>
      <c r="AE76" s="1"/>
      <c r="AF76" s="1"/>
      <c r="AG76" s="1"/>
      <c r="AH76" s="1"/>
      <c r="AI76" s="1"/>
      <c r="AJ76" s="1"/>
      <c r="AK76" s="1"/>
      <c r="AL76" s="1"/>
      <c r="AM76" s="1"/>
      <c r="AN76" s="1"/>
      <c r="AO76" s="1"/>
      <c r="AP76" s="1"/>
      <c r="AQ76" s="1"/>
    </row>
    <row r="77" spans="1:43" x14ac:dyDescent="0.75">
      <c r="A77" s="1"/>
      <c r="B77" s="1"/>
      <c r="C77" s="1"/>
      <c r="D77" s="1"/>
      <c r="E77" s="1"/>
      <c r="F77" s="1"/>
      <c r="G77" s="1"/>
      <c r="H77" s="1"/>
      <c r="I77" s="1"/>
      <c r="J77" s="1"/>
      <c r="K77" s="1"/>
      <c r="L77" s="1"/>
      <c r="M77" s="1"/>
      <c r="N77" s="1"/>
      <c r="O77" s="1"/>
      <c r="P77" s="41"/>
      <c r="Q77" s="42"/>
      <c r="R77" s="42"/>
      <c r="S77" s="42"/>
      <c r="T77" s="50" t="s">
        <v>58</v>
      </c>
      <c r="U77" s="50"/>
      <c r="V77" s="284">
        <f>T63+SUM(V72:X74)</f>
        <v>1.9851999999999999</v>
      </c>
      <c r="W77" s="285"/>
      <c r="X77" s="42" t="s">
        <v>33</v>
      </c>
      <c r="Y77" s="42"/>
      <c r="Z77" s="42"/>
      <c r="AA77" s="42"/>
      <c r="AB77" s="43"/>
      <c r="AC77" s="1"/>
      <c r="AD77" s="1"/>
      <c r="AE77" s="1"/>
      <c r="AF77" s="1"/>
      <c r="AG77" s="1"/>
      <c r="AH77" s="1"/>
      <c r="AI77" s="1"/>
      <c r="AJ77" s="1"/>
      <c r="AK77" s="1"/>
      <c r="AL77" s="1"/>
      <c r="AM77" s="1"/>
      <c r="AN77" s="1"/>
      <c r="AO77" s="1"/>
      <c r="AP77" s="1"/>
      <c r="AQ77" s="1"/>
    </row>
    <row r="78" spans="1:43" x14ac:dyDescent="0.75">
      <c r="A78" s="1"/>
      <c r="B78" s="1"/>
      <c r="C78" s="1"/>
      <c r="D78" s="1"/>
      <c r="E78" s="1"/>
      <c r="F78" s="1"/>
      <c r="G78" s="1"/>
      <c r="H78" s="1"/>
      <c r="I78" s="1"/>
      <c r="J78" s="1"/>
      <c r="K78" s="1"/>
      <c r="L78" s="1"/>
      <c r="M78" s="1"/>
      <c r="N78" s="1"/>
      <c r="O78" s="1"/>
      <c r="P78" s="41"/>
      <c r="Q78" s="42"/>
      <c r="R78" s="50"/>
      <c r="S78" s="50"/>
      <c r="T78" s="50"/>
      <c r="U78" s="50"/>
      <c r="V78" s="50"/>
      <c r="W78" s="50"/>
      <c r="X78" s="50"/>
      <c r="Y78" s="50"/>
      <c r="Z78" s="50"/>
      <c r="AA78" s="42"/>
      <c r="AB78" s="43"/>
      <c r="AC78" s="1"/>
      <c r="AD78" s="1"/>
      <c r="AE78" s="1"/>
      <c r="AF78" s="1"/>
      <c r="AG78" s="1"/>
      <c r="AH78" s="1"/>
      <c r="AI78" s="1"/>
      <c r="AJ78" s="1"/>
      <c r="AK78" s="1"/>
      <c r="AL78" s="1"/>
      <c r="AM78" s="1"/>
      <c r="AN78" s="1"/>
      <c r="AO78" s="1"/>
      <c r="AP78" s="1"/>
      <c r="AQ78" s="1"/>
    </row>
    <row r="79" spans="1:43" x14ac:dyDescent="0.75">
      <c r="A79" s="1"/>
      <c r="B79" s="1"/>
      <c r="C79" s="1"/>
      <c r="D79" s="1"/>
      <c r="E79" s="1"/>
      <c r="F79" s="1"/>
      <c r="G79" s="1"/>
      <c r="H79" s="1"/>
      <c r="I79" s="1"/>
      <c r="J79" s="1"/>
      <c r="K79" s="1"/>
      <c r="L79" s="1"/>
      <c r="M79" s="1"/>
      <c r="N79" s="1"/>
      <c r="O79" s="1"/>
      <c r="P79" s="41"/>
      <c r="Q79" s="42"/>
      <c r="R79" s="296" t="s">
        <v>66</v>
      </c>
      <c r="S79" s="296"/>
      <c r="T79" s="296"/>
      <c r="U79" s="296"/>
      <c r="V79" s="296"/>
      <c r="W79" s="296"/>
      <c r="X79" s="296"/>
      <c r="Y79" s="203"/>
      <c r="Z79" s="203"/>
      <c r="AA79" s="42"/>
      <c r="AB79" s="43"/>
      <c r="AC79" s="1"/>
      <c r="AD79" s="1"/>
      <c r="AE79" s="1"/>
      <c r="AF79" s="1"/>
      <c r="AG79" s="1"/>
      <c r="AH79" s="1"/>
      <c r="AI79" s="1"/>
      <c r="AJ79" s="1"/>
      <c r="AK79" s="1"/>
      <c r="AL79" s="1"/>
      <c r="AM79" s="1"/>
      <c r="AN79" s="1"/>
      <c r="AO79" s="1"/>
      <c r="AP79" s="1"/>
      <c r="AQ79" s="1"/>
    </row>
    <row r="80" spans="1:43" x14ac:dyDescent="0.75">
      <c r="A80" s="1"/>
      <c r="B80" s="1"/>
      <c r="C80" s="1"/>
      <c r="D80" s="1"/>
      <c r="E80" s="1"/>
      <c r="F80" s="1"/>
      <c r="G80" s="1"/>
      <c r="H80" s="1"/>
      <c r="I80" s="1"/>
      <c r="J80" s="1"/>
      <c r="K80" s="1"/>
      <c r="L80" s="1"/>
      <c r="M80" s="1"/>
      <c r="N80" s="1"/>
      <c r="O80" s="1"/>
      <c r="P80" s="41"/>
      <c r="Q80" s="42"/>
      <c r="R80" s="283" t="s">
        <v>67</v>
      </c>
      <c r="S80" s="283"/>
      <c r="T80" s="283"/>
      <c r="U80" s="209" t="s">
        <v>68</v>
      </c>
      <c r="V80" s="284">
        <f>10^-(V77/10)</f>
        <v>0.63311120519100184</v>
      </c>
      <c r="W80" s="295"/>
      <c r="X80" s="285"/>
      <c r="Y80" s="42"/>
      <c r="Z80" s="42"/>
      <c r="AA80" s="42"/>
      <c r="AB80" s="43"/>
      <c r="AC80" s="1"/>
      <c r="AD80" s="1"/>
      <c r="AE80" s="1"/>
      <c r="AF80" s="1"/>
      <c r="AG80" s="1"/>
      <c r="AH80" s="1"/>
      <c r="AI80" s="1"/>
      <c r="AJ80" s="1"/>
      <c r="AK80" s="1"/>
      <c r="AL80" s="1"/>
      <c r="AM80" s="1"/>
      <c r="AN80" s="1"/>
      <c r="AO80" s="1"/>
      <c r="AP80" s="1"/>
      <c r="AQ80" s="1"/>
    </row>
    <row r="81" spans="1:43" ht="16.75" x14ac:dyDescent="0.95">
      <c r="A81" s="1"/>
      <c r="B81" s="1"/>
      <c r="C81" s="1"/>
      <c r="D81" s="1"/>
      <c r="E81" s="1"/>
      <c r="F81" s="1"/>
      <c r="G81" s="1"/>
      <c r="H81" s="1"/>
      <c r="I81" s="1"/>
      <c r="J81" s="1"/>
      <c r="K81" s="1"/>
      <c r="L81" s="1"/>
      <c r="M81" s="1"/>
      <c r="N81" s="1"/>
      <c r="O81" s="1"/>
      <c r="P81" s="41"/>
      <c r="Q81" s="42"/>
      <c r="R81" s="283" t="s">
        <v>86</v>
      </c>
      <c r="S81" s="283"/>
      <c r="T81" s="283"/>
      <c r="U81" s="205" t="s">
        <v>70</v>
      </c>
      <c r="V81" s="286">
        <v>500</v>
      </c>
      <c r="W81" s="287"/>
      <c r="X81" s="288"/>
      <c r="Y81" s="42" t="s">
        <v>71</v>
      </c>
      <c r="Z81" s="42"/>
      <c r="AA81" s="42"/>
      <c r="AB81" s="43"/>
      <c r="AC81" s="1"/>
      <c r="AD81" s="1"/>
      <c r="AE81" s="1"/>
      <c r="AF81" s="1"/>
      <c r="AG81" s="1"/>
      <c r="AH81" s="1"/>
      <c r="AI81" s="1"/>
      <c r="AJ81" s="1"/>
      <c r="AK81" s="1"/>
      <c r="AL81" s="1"/>
      <c r="AM81" s="1"/>
      <c r="AN81" s="1"/>
      <c r="AO81" s="1"/>
      <c r="AP81" s="1"/>
      <c r="AQ81" s="1"/>
    </row>
    <row r="82" spans="1:43" ht="16.75" x14ac:dyDescent="0.95">
      <c r="A82" s="1"/>
      <c r="B82" s="1"/>
      <c r="C82" s="1"/>
      <c r="D82" s="1"/>
      <c r="E82" s="1"/>
      <c r="F82" s="1"/>
      <c r="G82" s="1"/>
      <c r="H82" s="1"/>
      <c r="I82" s="1"/>
      <c r="J82" s="1"/>
      <c r="K82" s="1"/>
      <c r="L82" s="1"/>
      <c r="M82" s="1"/>
      <c r="N82" s="1"/>
      <c r="O82" s="1"/>
      <c r="P82" s="41"/>
      <c r="Q82" s="42"/>
      <c r="R82" s="283" t="s">
        <v>87</v>
      </c>
      <c r="S82" s="283"/>
      <c r="T82" s="283"/>
      <c r="U82" s="205" t="s">
        <v>73</v>
      </c>
      <c r="V82" s="286">
        <v>290</v>
      </c>
      <c r="W82" s="287"/>
      <c r="X82" s="288"/>
      <c r="Y82" s="42" t="s">
        <v>71</v>
      </c>
      <c r="Z82" s="42"/>
      <c r="AA82" s="42"/>
      <c r="AB82" s="43"/>
      <c r="AC82" s="1"/>
      <c r="AD82" s="1"/>
      <c r="AE82" s="1"/>
      <c r="AF82" s="1"/>
      <c r="AG82" s="1"/>
      <c r="AH82" s="1"/>
      <c r="AI82" s="1"/>
      <c r="AJ82" s="1"/>
      <c r="AK82" s="1"/>
      <c r="AL82" s="1"/>
      <c r="AM82" s="1"/>
      <c r="AN82" s="1"/>
      <c r="AO82" s="1"/>
      <c r="AP82" s="1"/>
      <c r="AQ82" s="1"/>
    </row>
    <row r="83" spans="1:43" ht="16.75" x14ac:dyDescent="0.95">
      <c r="A83" s="1"/>
      <c r="B83" s="1"/>
      <c r="C83" s="1"/>
      <c r="D83" s="1"/>
      <c r="E83" s="1"/>
      <c r="F83" s="1"/>
      <c r="G83" s="1"/>
      <c r="H83" s="1"/>
      <c r="I83" s="1"/>
      <c r="J83" s="1"/>
      <c r="K83" s="1"/>
      <c r="L83" s="1"/>
      <c r="M83" s="1"/>
      <c r="N83" s="1"/>
      <c r="O83" s="1"/>
      <c r="P83" s="41"/>
      <c r="Q83" s="42"/>
      <c r="R83" s="283" t="s">
        <v>74</v>
      </c>
      <c r="S83" s="283"/>
      <c r="T83" s="283"/>
      <c r="U83" s="205" t="s">
        <v>75</v>
      </c>
      <c r="V83" s="286">
        <v>60</v>
      </c>
      <c r="W83" s="287"/>
      <c r="X83" s="288"/>
      <c r="Y83" s="42" t="s">
        <v>71</v>
      </c>
      <c r="Z83" s="42"/>
      <c r="AA83" s="42"/>
      <c r="AB83" s="43"/>
      <c r="AC83" s="1"/>
      <c r="AD83" s="1"/>
      <c r="AE83" s="1"/>
      <c r="AF83" s="1"/>
      <c r="AG83" s="1"/>
      <c r="AH83" s="1"/>
      <c r="AI83" s="1"/>
      <c r="AJ83" s="1"/>
      <c r="AK83" s="1"/>
      <c r="AL83" s="1"/>
      <c r="AM83" s="1"/>
      <c r="AN83" s="1"/>
      <c r="AO83" s="1"/>
      <c r="AP83" s="1"/>
      <c r="AQ83" s="1"/>
    </row>
    <row r="84" spans="1:43" ht="14.75" customHeight="1" x14ac:dyDescent="0.75">
      <c r="A84" s="1"/>
      <c r="B84" s="1"/>
      <c r="C84" s="1"/>
      <c r="D84" s="1"/>
      <c r="E84" s="1"/>
      <c r="F84" s="1"/>
      <c r="G84" s="1"/>
      <c r="H84" s="1"/>
      <c r="I84" s="1"/>
      <c r="J84" s="1"/>
      <c r="K84" s="1"/>
      <c r="L84" s="1"/>
      <c r="M84" s="1"/>
      <c r="N84" s="1"/>
      <c r="O84" s="1"/>
      <c r="P84" s="41"/>
      <c r="Q84" s="42"/>
      <c r="R84" s="293" t="s">
        <v>76</v>
      </c>
      <c r="S84" s="293"/>
      <c r="T84" s="293"/>
      <c r="U84" s="293" t="s">
        <v>77</v>
      </c>
      <c r="V84" s="286">
        <v>18</v>
      </c>
      <c r="W84" s="287"/>
      <c r="X84" s="288"/>
      <c r="Y84" s="42" t="s">
        <v>33</v>
      </c>
      <c r="Z84" s="42"/>
      <c r="AA84" s="42"/>
      <c r="AB84" s="43"/>
      <c r="AC84" s="1"/>
      <c r="AD84" s="1"/>
      <c r="AE84" s="1"/>
      <c r="AF84" s="1"/>
      <c r="AG84" s="1"/>
      <c r="AH84" s="1"/>
      <c r="AI84" s="1"/>
      <c r="AJ84" s="1"/>
      <c r="AK84" s="1"/>
      <c r="AL84" s="1"/>
      <c r="AM84" s="1"/>
      <c r="AN84" s="1"/>
      <c r="AO84" s="1"/>
      <c r="AP84" s="1"/>
      <c r="AQ84" s="1"/>
    </row>
    <row r="85" spans="1:43" x14ac:dyDescent="0.75">
      <c r="A85" s="1"/>
      <c r="B85" s="1"/>
      <c r="C85" s="1"/>
      <c r="D85" s="1"/>
      <c r="E85" s="1"/>
      <c r="F85" s="1"/>
      <c r="G85" s="1"/>
      <c r="H85" s="1"/>
      <c r="I85" s="1"/>
      <c r="J85" s="1"/>
      <c r="K85" s="1"/>
      <c r="L85" s="1"/>
      <c r="M85" s="1"/>
      <c r="N85" s="1"/>
      <c r="O85" s="1"/>
      <c r="P85" s="41"/>
      <c r="Q85" s="42"/>
      <c r="R85" s="293"/>
      <c r="S85" s="293"/>
      <c r="T85" s="293"/>
      <c r="U85" s="293"/>
      <c r="V85" s="284">
        <f>10^(V84/10)</f>
        <v>63.095734448019364</v>
      </c>
      <c r="W85" s="295"/>
      <c r="X85" s="285"/>
      <c r="Y85" s="42" t="s">
        <v>78</v>
      </c>
      <c r="Z85" s="42"/>
      <c r="AA85" s="42"/>
      <c r="AB85" s="43"/>
      <c r="AC85" s="1"/>
      <c r="AD85" s="1"/>
      <c r="AE85" s="1"/>
      <c r="AF85" s="1"/>
      <c r="AG85" s="1"/>
      <c r="AH85" s="1"/>
      <c r="AI85" s="1"/>
      <c r="AJ85" s="1"/>
      <c r="AK85" s="1"/>
      <c r="AL85" s="1"/>
      <c r="AM85" s="1"/>
      <c r="AN85" s="1"/>
      <c r="AO85" s="1"/>
      <c r="AP85" s="1"/>
      <c r="AQ85" s="1"/>
    </row>
    <row r="86" spans="1:43" ht="16.75" x14ac:dyDescent="0.95">
      <c r="A86" s="1"/>
      <c r="B86" s="1"/>
      <c r="C86" s="1"/>
      <c r="D86" s="1"/>
      <c r="E86" s="1"/>
      <c r="F86" s="1"/>
      <c r="G86" s="1"/>
      <c r="H86" s="1"/>
      <c r="I86" s="1"/>
      <c r="J86" s="1"/>
      <c r="K86" s="1"/>
      <c r="L86" s="1"/>
      <c r="M86" s="1"/>
      <c r="N86" s="1"/>
      <c r="O86" s="1"/>
      <c r="P86" s="41"/>
      <c r="Q86" s="42"/>
      <c r="R86" s="283" t="s">
        <v>88</v>
      </c>
      <c r="S86" s="283"/>
      <c r="T86" s="283"/>
      <c r="U86" s="205" t="s">
        <v>89</v>
      </c>
      <c r="V86" s="286">
        <v>1000</v>
      </c>
      <c r="W86" s="287"/>
      <c r="X86" s="288"/>
      <c r="Y86" s="42" t="s">
        <v>71</v>
      </c>
      <c r="Z86" s="42"/>
      <c r="AA86" s="42"/>
      <c r="AB86" s="43"/>
      <c r="AC86" s="1"/>
      <c r="AD86" s="1"/>
      <c r="AE86" s="1"/>
      <c r="AF86" s="1"/>
      <c r="AG86" s="1"/>
      <c r="AH86" s="1"/>
      <c r="AI86" s="1"/>
      <c r="AJ86" s="1"/>
      <c r="AK86" s="1"/>
      <c r="AL86" s="1"/>
      <c r="AM86" s="1"/>
      <c r="AN86" s="1"/>
      <c r="AO86" s="1"/>
      <c r="AP86" s="1"/>
      <c r="AQ86" s="1"/>
    </row>
    <row r="87" spans="1:43" ht="16.75" x14ac:dyDescent="0.95">
      <c r="A87" s="1"/>
      <c r="B87" s="1"/>
      <c r="C87" s="1"/>
      <c r="D87" s="1"/>
      <c r="E87" s="1"/>
      <c r="F87" s="1"/>
      <c r="G87" s="1"/>
      <c r="H87" s="1"/>
      <c r="I87" s="1"/>
      <c r="J87" s="1"/>
      <c r="K87" s="1"/>
      <c r="L87" s="1"/>
      <c r="M87" s="1"/>
      <c r="N87" s="1"/>
      <c r="O87" s="1"/>
      <c r="P87" s="41"/>
      <c r="Q87" s="42"/>
      <c r="R87" s="283" t="s">
        <v>81</v>
      </c>
      <c r="S87" s="283"/>
      <c r="T87" s="283"/>
      <c r="U87" s="205" t="s">
        <v>82</v>
      </c>
      <c r="V87" s="284">
        <f>V81*V80+V82*(1-V80)+V83+(V86/(V85/(10^(T68/10))))</f>
        <v>509.86870112937953</v>
      </c>
      <c r="W87" s="295"/>
      <c r="X87" s="285"/>
      <c r="Y87" s="42" t="s">
        <v>71</v>
      </c>
      <c r="Z87" s="42"/>
      <c r="AA87" s="42"/>
      <c r="AB87" s="43"/>
      <c r="AC87" s="1"/>
      <c r="AD87" s="1"/>
      <c r="AE87" s="1"/>
      <c r="AF87" s="1"/>
      <c r="AG87" s="1"/>
      <c r="AH87" s="1"/>
      <c r="AI87" s="1"/>
      <c r="AJ87" s="1"/>
      <c r="AK87" s="1"/>
      <c r="AL87" s="1"/>
      <c r="AM87" s="1"/>
      <c r="AN87" s="1"/>
      <c r="AO87" s="1"/>
      <c r="AP87" s="1"/>
      <c r="AQ87" s="1"/>
    </row>
    <row r="88" spans="1:43" x14ac:dyDescent="0.75">
      <c r="A88" s="1"/>
      <c r="B88" s="1"/>
      <c r="C88" s="1"/>
      <c r="D88" s="1"/>
      <c r="E88" s="1"/>
      <c r="F88" s="1"/>
      <c r="G88" s="1"/>
      <c r="H88" s="1"/>
      <c r="I88" s="1"/>
      <c r="J88" s="1"/>
      <c r="K88" s="1"/>
      <c r="L88" s="1"/>
      <c r="M88" s="1"/>
      <c r="N88" s="1"/>
      <c r="O88" s="1"/>
      <c r="P88" s="41"/>
      <c r="Q88" s="42"/>
      <c r="R88" s="42"/>
      <c r="S88" s="42"/>
      <c r="T88" s="42"/>
      <c r="U88" s="42"/>
      <c r="V88" s="42"/>
      <c r="W88" s="42"/>
      <c r="X88" s="42"/>
      <c r="Y88" s="42"/>
      <c r="Z88" s="42"/>
      <c r="AA88" s="42"/>
      <c r="AB88" s="43"/>
      <c r="AC88" s="1"/>
      <c r="AD88" s="1"/>
      <c r="AE88" s="1"/>
      <c r="AF88" s="1"/>
      <c r="AG88" s="1"/>
      <c r="AH88" s="1"/>
      <c r="AI88" s="1"/>
      <c r="AJ88" s="1"/>
      <c r="AK88" s="1"/>
      <c r="AL88" s="1"/>
      <c r="AM88" s="1"/>
      <c r="AN88" s="1"/>
      <c r="AO88" s="1"/>
      <c r="AP88" s="1"/>
      <c r="AQ88" s="1"/>
    </row>
    <row r="89" spans="1:43" ht="15.5" thickBot="1" x14ac:dyDescent="0.9">
      <c r="A89" s="1"/>
      <c r="B89" s="1"/>
      <c r="C89" s="1"/>
      <c r="D89" s="1"/>
      <c r="E89" s="1"/>
      <c r="F89" s="1"/>
      <c r="G89" s="1"/>
      <c r="H89" s="1"/>
      <c r="I89" s="1"/>
      <c r="J89" s="1"/>
      <c r="K89" s="1"/>
      <c r="L89" s="1"/>
      <c r="M89" s="1"/>
      <c r="N89" s="1"/>
      <c r="O89" s="1"/>
      <c r="P89" s="44"/>
      <c r="Q89" s="45"/>
      <c r="R89" s="45"/>
      <c r="S89" s="45"/>
      <c r="T89" s="45"/>
      <c r="U89" s="45"/>
      <c r="V89" s="45"/>
      <c r="W89" s="45"/>
      <c r="X89" s="45"/>
      <c r="Y89" s="45"/>
      <c r="Z89" s="45"/>
      <c r="AA89" s="45"/>
      <c r="AB89" s="46"/>
      <c r="AC89" s="1"/>
      <c r="AD89" s="1"/>
      <c r="AE89" s="1"/>
      <c r="AF89" s="1"/>
      <c r="AG89" s="1"/>
      <c r="AH89" s="1"/>
      <c r="AI89" s="1"/>
      <c r="AJ89" s="1"/>
      <c r="AK89" s="1"/>
      <c r="AL89" s="1"/>
      <c r="AM89" s="1"/>
      <c r="AN89" s="1"/>
      <c r="AO89" s="1"/>
      <c r="AP89" s="1"/>
      <c r="AQ89" s="1"/>
    </row>
    <row r="90" spans="1:43" x14ac:dyDescent="0.7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row>
    <row r="91" spans="1:43" x14ac:dyDescent="0.7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row>
  </sheetData>
  <mergeCells count="67">
    <mergeCell ref="T31:W31"/>
    <mergeCell ref="U39:U40"/>
    <mergeCell ref="W19:Y19"/>
    <mergeCell ref="R61:T61"/>
    <mergeCell ref="R65:T65"/>
    <mergeCell ref="W61:Y61"/>
    <mergeCell ref="V39:X39"/>
    <mergeCell ref="V40:X40"/>
    <mergeCell ref="V37:X37"/>
    <mergeCell ref="R38:T38"/>
    <mergeCell ref="V38:X38"/>
    <mergeCell ref="R41:T41"/>
    <mergeCell ref="V41:X41"/>
    <mergeCell ref="R42:T42"/>
    <mergeCell ref="V42:X42"/>
    <mergeCell ref="R49:Z49"/>
    <mergeCell ref="R70:X70"/>
    <mergeCell ref="R27:U27"/>
    <mergeCell ref="V27:X27"/>
    <mergeCell ref="R28:U28"/>
    <mergeCell ref="V28:X28"/>
    <mergeCell ref="R34:X34"/>
    <mergeCell ref="R29:U29"/>
    <mergeCell ref="V29:X29"/>
    <mergeCell ref="T32:U32"/>
    <mergeCell ref="V32:W32"/>
    <mergeCell ref="R37:T37"/>
    <mergeCell ref="R35:T35"/>
    <mergeCell ref="R36:T36"/>
    <mergeCell ref="V36:X36"/>
    <mergeCell ref="V35:X35"/>
    <mergeCell ref="R39:T40"/>
    <mergeCell ref="R2:Z2"/>
    <mergeCell ref="W22:X22"/>
    <mergeCell ref="W23:X23"/>
    <mergeCell ref="R26:U26"/>
    <mergeCell ref="V26:X26"/>
    <mergeCell ref="R6:Z6"/>
    <mergeCell ref="R20:S20"/>
    <mergeCell ref="W20:X20"/>
    <mergeCell ref="R21:S21"/>
    <mergeCell ref="W21:X21"/>
    <mergeCell ref="R25:X25"/>
    <mergeCell ref="R19:T19"/>
    <mergeCell ref="V71:X71"/>
    <mergeCell ref="V72:X72"/>
    <mergeCell ref="V77:W77"/>
    <mergeCell ref="R80:T80"/>
    <mergeCell ref="V80:X80"/>
    <mergeCell ref="V73:X73"/>
    <mergeCell ref="V74:X74"/>
    <mergeCell ref="T76:W76"/>
    <mergeCell ref="R79:X79"/>
    <mergeCell ref="R87:T87"/>
    <mergeCell ref="V87:X87"/>
    <mergeCell ref="R83:T83"/>
    <mergeCell ref="V83:X83"/>
    <mergeCell ref="R84:T85"/>
    <mergeCell ref="U84:U85"/>
    <mergeCell ref="V84:X84"/>
    <mergeCell ref="V85:X85"/>
    <mergeCell ref="R81:T81"/>
    <mergeCell ref="V81:X81"/>
    <mergeCell ref="R82:T82"/>
    <mergeCell ref="V82:X82"/>
    <mergeCell ref="R86:T86"/>
    <mergeCell ref="V86:X86"/>
  </mergeCells>
  <pageMargins left="0.7" right="0.7" top="0.75" bottom="0.75" header="0.3" footer="0.3"/>
  <pageSetup orientation="portrait" horizontalDpi="0" verticalDpi="0"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507AA-3348-4C5F-B4C6-E93B5DD0337E}">
  <sheetPr>
    <tabColor rgb="FFE1CDFF"/>
  </sheetPr>
  <dimension ref="A1:AQ22"/>
  <sheetViews>
    <sheetView topLeftCell="H1" zoomScale="115" zoomScaleNormal="115" workbookViewId="0">
      <selection activeCell="X11" sqref="X11"/>
    </sheetView>
  </sheetViews>
  <sheetFormatPr defaultColWidth="0" defaultRowHeight="14.75" zeroHeight="1" x14ac:dyDescent="0.75"/>
  <cols>
    <col min="1" max="17" width="3.2265625" customWidth="1"/>
    <col min="18" max="26" width="8.7265625" customWidth="1"/>
    <col min="27" max="43" width="3.2265625" customWidth="1"/>
    <col min="44" max="16384" width="8.7265625" hidden="1"/>
  </cols>
  <sheetData>
    <row r="1" spans="1:43" ht="15.5" thickBot="1" x14ac:dyDescent="0.9">
      <c r="A1" s="1"/>
      <c r="B1" s="1"/>
      <c r="C1" s="1"/>
      <c r="D1" s="1"/>
      <c r="E1" s="1"/>
      <c r="F1" s="1"/>
      <c r="G1" s="1"/>
      <c r="H1" s="1"/>
      <c r="I1" s="1"/>
      <c r="J1" s="1"/>
      <c r="K1" s="1"/>
      <c r="L1" s="1"/>
      <c r="M1" s="1"/>
      <c r="N1" s="1"/>
      <c r="O1" s="1"/>
      <c r="P1" s="1"/>
      <c r="Q1" s="1"/>
      <c r="R1" s="1"/>
      <c r="S1" s="1"/>
      <c r="T1" s="1"/>
      <c r="U1" s="2"/>
      <c r="V1" s="1"/>
      <c r="W1" s="1"/>
      <c r="X1" s="1"/>
      <c r="Y1" s="1"/>
      <c r="Z1" s="1"/>
      <c r="AA1" s="1"/>
      <c r="AB1" s="1"/>
      <c r="AC1" s="1"/>
      <c r="AD1" s="1"/>
      <c r="AE1" s="1"/>
      <c r="AF1" s="1"/>
      <c r="AG1" s="1"/>
      <c r="AH1" s="1"/>
      <c r="AI1" s="1"/>
      <c r="AJ1" s="1"/>
      <c r="AK1" s="1"/>
      <c r="AL1" s="1"/>
      <c r="AM1" s="1"/>
      <c r="AN1" s="1"/>
      <c r="AO1" s="1"/>
      <c r="AP1" s="1"/>
      <c r="AQ1" s="1"/>
    </row>
    <row r="2" spans="1:43" ht="16.25" thickBot="1" x14ac:dyDescent="0.9">
      <c r="A2" s="7"/>
      <c r="B2" s="7"/>
      <c r="C2" s="7"/>
      <c r="D2" s="7"/>
      <c r="E2" s="7"/>
      <c r="F2" s="7"/>
      <c r="G2" s="7"/>
      <c r="H2" s="7"/>
      <c r="I2" s="7"/>
      <c r="J2" s="7"/>
      <c r="K2" s="7"/>
      <c r="L2" s="7"/>
      <c r="M2" s="7"/>
      <c r="N2" s="7"/>
      <c r="O2" s="7"/>
      <c r="P2" s="7"/>
      <c r="Q2" s="7"/>
      <c r="R2" s="267" t="s">
        <v>0</v>
      </c>
      <c r="S2" s="268"/>
      <c r="T2" s="268"/>
      <c r="U2" s="268"/>
      <c r="V2" s="268"/>
      <c r="W2" s="268"/>
      <c r="X2" s="268"/>
      <c r="Y2" s="268"/>
      <c r="Z2" s="269"/>
      <c r="AA2" s="7"/>
      <c r="AB2" s="7"/>
      <c r="AC2" s="7"/>
      <c r="AD2" s="7"/>
      <c r="AE2" s="7"/>
      <c r="AF2" s="7"/>
      <c r="AG2" s="7"/>
      <c r="AH2" s="7"/>
      <c r="AI2" s="7"/>
      <c r="AJ2" s="7"/>
      <c r="AK2" s="7"/>
      <c r="AL2" s="7"/>
      <c r="AM2" s="7"/>
      <c r="AN2" s="7"/>
      <c r="AO2" s="7"/>
      <c r="AP2" s="7"/>
      <c r="AQ2" s="7"/>
    </row>
    <row r="3" spans="1:43" ht="15.5" thickBot="1" x14ac:dyDescent="0.9">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row>
    <row r="4" spans="1:43" x14ac:dyDescent="0.75">
      <c r="A4" s="1"/>
      <c r="B4" s="1"/>
      <c r="C4" s="1"/>
      <c r="D4" s="1"/>
      <c r="E4" s="1"/>
      <c r="F4" s="1"/>
      <c r="G4" s="1"/>
      <c r="H4" s="1"/>
      <c r="I4" s="1"/>
      <c r="J4" s="1"/>
      <c r="K4" s="1"/>
      <c r="L4" s="1"/>
      <c r="M4" s="1"/>
      <c r="N4" s="1"/>
      <c r="O4" s="1"/>
      <c r="P4" s="181"/>
      <c r="Q4" s="182"/>
      <c r="R4" s="182"/>
      <c r="S4" s="182"/>
      <c r="T4" s="182"/>
      <c r="U4" s="182"/>
      <c r="V4" s="182"/>
      <c r="W4" s="182"/>
      <c r="X4" s="182"/>
      <c r="Y4" s="182"/>
      <c r="Z4" s="182"/>
      <c r="AA4" s="182"/>
      <c r="AB4" s="183"/>
      <c r="AC4" s="1"/>
      <c r="AD4" s="1"/>
      <c r="AE4" s="1"/>
      <c r="AF4" s="1"/>
      <c r="AG4" s="1"/>
      <c r="AH4" s="1"/>
      <c r="AI4" s="1"/>
      <c r="AJ4" s="1"/>
      <c r="AK4" s="1"/>
      <c r="AL4" s="1"/>
      <c r="AM4" s="1"/>
      <c r="AN4" s="1"/>
      <c r="AO4" s="1"/>
      <c r="AP4" s="1"/>
      <c r="AQ4" s="1"/>
    </row>
    <row r="5" spans="1:43" ht="15.5" thickBot="1" x14ac:dyDescent="0.9">
      <c r="A5" s="1"/>
      <c r="B5" s="1"/>
      <c r="C5" s="1"/>
      <c r="D5" s="1"/>
      <c r="E5" s="1"/>
      <c r="F5" s="1"/>
      <c r="G5" s="1"/>
      <c r="H5" s="1"/>
      <c r="I5" s="1"/>
      <c r="J5" s="1"/>
      <c r="K5" s="1"/>
      <c r="L5" s="1"/>
      <c r="M5" s="1"/>
      <c r="N5" s="1"/>
      <c r="O5" s="1"/>
      <c r="P5" s="180"/>
      <c r="Q5" s="184"/>
      <c r="R5" s="184"/>
      <c r="S5" s="184"/>
      <c r="T5" s="184"/>
      <c r="U5" s="184"/>
      <c r="V5" s="184"/>
      <c r="W5" s="184"/>
      <c r="X5" s="184"/>
      <c r="Y5" s="184"/>
      <c r="Z5" s="184"/>
      <c r="AA5" s="184"/>
      <c r="AB5" s="185"/>
      <c r="AC5" s="1"/>
      <c r="AD5" s="1"/>
      <c r="AE5" s="1"/>
      <c r="AF5" s="1"/>
      <c r="AG5" s="1"/>
      <c r="AH5" s="1"/>
      <c r="AI5" s="1"/>
      <c r="AJ5" s="1"/>
      <c r="AK5" s="1"/>
      <c r="AL5" s="1"/>
      <c r="AM5" s="1"/>
      <c r="AN5" s="1"/>
      <c r="AO5" s="1"/>
      <c r="AP5" s="1"/>
      <c r="AQ5" s="1"/>
    </row>
    <row r="6" spans="1:43" ht="31" thickBot="1" x14ac:dyDescent="0.9">
      <c r="A6" s="1"/>
      <c r="B6" s="1"/>
      <c r="C6" s="1"/>
      <c r="D6" s="1"/>
      <c r="E6" s="1"/>
      <c r="F6" s="1"/>
      <c r="G6" s="1"/>
      <c r="H6" s="1"/>
      <c r="I6" s="1"/>
      <c r="J6" s="1"/>
      <c r="K6" s="1"/>
      <c r="L6" s="1"/>
      <c r="M6" s="1"/>
      <c r="N6" s="1"/>
      <c r="O6" s="1"/>
      <c r="P6" s="180"/>
      <c r="Q6" s="184"/>
      <c r="R6" s="263" t="s">
        <v>277</v>
      </c>
      <c r="S6" s="264"/>
      <c r="T6" s="264"/>
      <c r="U6" s="264"/>
      <c r="V6" s="264"/>
      <c r="W6" s="264"/>
      <c r="X6" s="264"/>
      <c r="Y6" s="264"/>
      <c r="Z6" s="265"/>
      <c r="AA6" s="184"/>
      <c r="AB6" s="185"/>
      <c r="AC6" s="1"/>
      <c r="AD6" s="1"/>
      <c r="AE6" s="1"/>
      <c r="AF6" s="1"/>
      <c r="AG6" s="1"/>
      <c r="AH6" s="1"/>
      <c r="AI6" s="1"/>
      <c r="AJ6" s="1"/>
      <c r="AK6" s="1"/>
      <c r="AL6" s="1"/>
      <c r="AM6" s="1"/>
      <c r="AN6" s="1"/>
      <c r="AO6" s="1"/>
      <c r="AP6" s="1"/>
      <c r="AQ6" s="1"/>
    </row>
    <row r="7" spans="1:43" x14ac:dyDescent="0.75">
      <c r="A7" s="238"/>
      <c r="B7" s="238"/>
      <c r="C7" s="238"/>
      <c r="D7" s="238"/>
      <c r="E7" s="238"/>
      <c r="F7" s="238"/>
      <c r="G7" s="238"/>
      <c r="H7" s="238"/>
      <c r="I7" s="238"/>
      <c r="J7" s="238"/>
      <c r="K7" s="238"/>
      <c r="L7" s="238"/>
      <c r="M7" s="238"/>
      <c r="N7" s="238"/>
      <c r="O7" s="238"/>
      <c r="P7" s="180"/>
      <c r="Q7" s="184"/>
      <c r="R7" s="184"/>
      <c r="S7" s="184"/>
      <c r="T7" s="184"/>
      <c r="U7" s="184"/>
      <c r="V7" s="184"/>
      <c r="W7" s="184"/>
      <c r="X7" s="184"/>
      <c r="Y7" s="184"/>
      <c r="Z7" s="184"/>
      <c r="AA7" s="184"/>
      <c r="AB7" s="185"/>
      <c r="AC7" s="238"/>
      <c r="AD7" s="238"/>
      <c r="AE7" s="238"/>
      <c r="AF7" s="238"/>
      <c r="AG7" s="238"/>
      <c r="AH7" s="238"/>
      <c r="AI7" s="238"/>
      <c r="AJ7" s="238"/>
      <c r="AK7" s="238"/>
      <c r="AL7" s="238"/>
      <c r="AM7" s="238"/>
      <c r="AN7" s="238"/>
      <c r="AO7" s="238"/>
      <c r="AP7" s="238"/>
      <c r="AQ7" s="238"/>
    </row>
    <row r="8" spans="1:43" x14ac:dyDescent="0.75">
      <c r="A8" s="238"/>
      <c r="B8" s="238"/>
      <c r="C8" s="238"/>
      <c r="D8" s="238"/>
      <c r="E8" s="238"/>
      <c r="F8" s="238"/>
      <c r="G8" s="238"/>
      <c r="H8" s="238"/>
      <c r="I8" s="238"/>
      <c r="J8" s="238"/>
      <c r="K8" s="238"/>
      <c r="L8" s="238"/>
      <c r="M8" s="238"/>
      <c r="N8" s="238"/>
      <c r="O8" s="238"/>
      <c r="P8" s="180"/>
      <c r="Q8" s="184"/>
      <c r="R8" s="184"/>
      <c r="S8" s="184"/>
      <c r="T8" s="184"/>
      <c r="U8" s="272" t="s">
        <v>280</v>
      </c>
      <c r="V8" s="272"/>
      <c r="W8" s="272"/>
      <c r="X8" s="239">
        <v>9.9999999999999995E-7</v>
      </c>
      <c r="Y8" s="184"/>
      <c r="Z8" s="184"/>
      <c r="AA8" s="184"/>
      <c r="AB8" s="185"/>
      <c r="AC8" s="238"/>
      <c r="AD8" s="238"/>
      <c r="AE8" s="238"/>
      <c r="AF8" s="238"/>
      <c r="AG8" s="238"/>
      <c r="AH8" s="238"/>
      <c r="AI8" s="238"/>
      <c r="AJ8" s="238"/>
      <c r="AK8" s="238"/>
      <c r="AL8" s="238"/>
      <c r="AM8" s="238"/>
      <c r="AN8" s="238"/>
      <c r="AO8" s="238"/>
      <c r="AP8" s="238"/>
      <c r="AQ8" s="238"/>
    </row>
    <row r="9" spans="1:43" x14ac:dyDescent="0.75">
      <c r="A9" s="238"/>
      <c r="B9" s="238"/>
      <c r="C9" s="238"/>
      <c r="D9" s="238"/>
      <c r="E9" s="238"/>
      <c r="F9" s="238"/>
      <c r="G9" s="238"/>
      <c r="H9" s="238"/>
      <c r="I9" s="238"/>
      <c r="J9" s="238"/>
      <c r="K9" s="238"/>
      <c r="L9" s="238"/>
      <c r="M9" s="238"/>
      <c r="N9" s="238"/>
      <c r="O9" s="238"/>
      <c r="P9" s="180"/>
      <c r="Q9" s="184"/>
      <c r="R9" s="184"/>
      <c r="S9" s="184"/>
      <c r="T9" s="184"/>
      <c r="U9" s="272" t="s">
        <v>281</v>
      </c>
      <c r="V9" s="272"/>
      <c r="W9" s="272"/>
      <c r="X9" s="200">
        <v>19200</v>
      </c>
      <c r="Y9" s="184" t="s">
        <v>278</v>
      </c>
      <c r="Z9" s="184"/>
      <c r="AA9" s="184"/>
      <c r="AB9" s="185"/>
      <c r="AC9" s="238"/>
      <c r="AD9" s="238"/>
      <c r="AE9" s="238"/>
      <c r="AF9" s="238"/>
      <c r="AG9" s="238"/>
      <c r="AH9" s="238"/>
      <c r="AI9" s="238"/>
      <c r="AJ9" s="238"/>
      <c r="AK9" s="238"/>
      <c r="AL9" s="238"/>
      <c r="AM9" s="238"/>
      <c r="AN9" s="238"/>
      <c r="AO9" s="238"/>
      <c r="AP9" s="238"/>
      <c r="AQ9" s="238"/>
    </row>
    <row r="10" spans="1:43" x14ac:dyDescent="0.75">
      <c r="A10" s="238"/>
      <c r="B10" s="238"/>
      <c r="C10" s="238"/>
      <c r="D10" s="238"/>
      <c r="E10" s="238"/>
      <c r="F10" s="238"/>
      <c r="G10" s="238"/>
      <c r="H10" s="238"/>
      <c r="I10" s="238"/>
      <c r="J10" s="238"/>
      <c r="K10" s="238"/>
      <c r="L10" s="238"/>
      <c r="M10" s="238"/>
      <c r="N10" s="238"/>
      <c r="O10" s="238"/>
      <c r="P10" s="180"/>
      <c r="Q10" s="184"/>
      <c r="R10" s="184"/>
      <c r="S10" s="184"/>
      <c r="T10" s="184"/>
      <c r="U10" s="272" t="s">
        <v>279</v>
      </c>
      <c r="V10" s="272"/>
      <c r="W10" s="272"/>
      <c r="X10" s="200">
        <v>2</v>
      </c>
      <c r="Y10" s="184"/>
      <c r="Z10" s="184"/>
      <c r="AA10" s="184"/>
      <c r="AB10" s="185"/>
      <c r="AC10" s="238"/>
      <c r="AD10" s="238"/>
      <c r="AE10" s="238"/>
      <c r="AF10" s="238"/>
      <c r="AG10" s="238"/>
      <c r="AH10" s="238"/>
      <c r="AI10" s="238"/>
      <c r="AJ10" s="238"/>
      <c r="AK10" s="238"/>
      <c r="AL10" s="238"/>
      <c r="AM10" s="238"/>
      <c r="AN10" s="238"/>
      <c r="AO10" s="238"/>
      <c r="AP10" s="238"/>
      <c r="AQ10" s="238"/>
    </row>
    <row r="11" spans="1:43" x14ac:dyDescent="0.75">
      <c r="A11" s="238"/>
      <c r="B11" s="238"/>
      <c r="C11" s="238"/>
      <c r="D11" s="238"/>
      <c r="E11" s="238"/>
      <c r="F11" s="238"/>
      <c r="G11" s="238"/>
      <c r="H11" s="238"/>
      <c r="I11" s="238"/>
      <c r="J11" s="238"/>
      <c r="K11" s="238"/>
      <c r="L11" s="238"/>
      <c r="M11" s="238"/>
      <c r="N11" s="238"/>
      <c r="O11" s="238"/>
      <c r="P11" s="180"/>
      <c r="Q11" s="184"/>
      <c r="R11" s="184"/>
      <c r="S11" s="184"/>
      <c r="T11" s="184"/>
      <c r="U11" s="272" t="s">
        <v>245</v>
      </c>
      <c r="V11" s="272"/>
      <c r="W11" s="272"/>
      <c r="X11" s="200" t="s">
        <v>247</v>
      </c>
      <c r="Y11" s="184"/>
      <c r="Z11" s="184"/>
      <c r="AA11" s="184"/>
      <c r="AB11" s="185"/>
      <c r="AC11" s="238"/>
      <c r="AD11" s="238"/>
      <c r="AE11" s="238"/>
      <c r="AF11" s="238"/>
      <c r="AG11" s="238"/>
      <c r="AH11" s="238"/>
      <c r="AI11" s="238"/>
      <c r="AJ11" s="238"/>
      <c r="AK11" s="238"/>
      <c r="AL11" s="238"/>
      <c r="AM11" s="238"/>
      <c r="AN11" s="238"/>
      <c r="AO11" s="238"/>
      <c r="AP11" s="238"/>
      <c r="AQ11" s="238"/>
    </row>
    <row r="12" spans="1:43" x14ac:dyDescent="0.75">
      <c r="A12" s="238"/>
      <c r="B12" s="238"/>
      <c r="C12" s="238"/>
      <c r="D12" s="238"/>
      <c r="E12" s="238"/>
      <c r="F12" s="238"/>
      <c r="G12" s="238"/>
      <c r="H12" s="238"/>
      <c r="I12" s="238"/>
      <c r="J12" s="238"/>
      <c r="K12" s="238"/>
      <c r="L12" s="238"/>
      <c r="M12" s="238"/>
      <c r="N12" s="238"/>
      <c r="O12" s="238"/>
      <c r="P12" s="180"/>
      <c r="Q12" s="184"/>
      <c r="R12" s="184"/>
      <c r="S12" s="184"/>
      <c r="T12" s="184"/>
      <c r="U12" s="184"/>
      <c r="V12" s="184"/>
      <c r="W12" s="184"/>
      <c r="X12" s="184"/>
      <c r="Y12" s="184"/>
      <c r="Z12" s="184"/>
      <c r="AA12" s="184"/>
      <c r="AB12" s="185"/>
      <c r="AC12" s="238"/>
      <c r="AD12" s="238"/>
      <c r="AE12" s="238"/>
      <c r="AF12" s="238"/>
      <c r="AG12" s="238"/>
      <c r="AH12" s="238"/>
      <c r="AI12" s="238"/>
      <c r="AJ12" s="238"/>
      <c r="AK12" s="238"/>
      <c r="AL12" s="238"/>
      <c r="AM12" s="238"/>
      <c r="AN12" s="238"/>
      <c r="AO12" s="238"/>
      <c r="AP12" s="238"/>
      <c r="AQ12" s="238"/>
    </row>
    <row r="13" spans="1:43" x14ac:dyDescent="0.75">
      <c r="A13" s="238"/>
      <c r="B13" s="238"/>
      <c r="C13" s="238"/>
      <c r="D13" s="238"/>
      <c r="E13" s="238"/>
      <c r="F13" s="238"/>
      <c r="G13" s="238"/>
      <c r="H13" s="238"/>
      <c r="I13" s="238"/>
      <c r="J13" s="238"/>
      <c r="K13" s="238"/>
      <c r="L13" s="238"/>
      <c r="M13" s="238"/>
      <c r="N13" s="238"/>
      <c r="O13" s="238"/>
      <c r="P13" s="180"/>
      <c r="Q13" s="184"/>
      <c r="R13" s="184"/>
      <c r="S13" s="184"/>
      <c r="T13" s="272" t="s">
        <v>272</v>
      </c>
      <c r="U13" s="272"/>
      <c r="V13" s="272"/>
      <c r="W13" s="272"/>
      <c r="X13" s="240">
        <f>VLOOKUP('Backend Data'!$I$39,'Backend Data'!$K$42:$L$57,2,0)</f>
        <v>13.5</v>
      </c>
      <c r="Y13" s="184"/>
      <c r="Z13" s="184"/>
      <c r="AA13" s="184"/>
      <c r="AB13" s="185"/>
      <c r="AC13" s="238"/>
      <c r="AD13" s="238"/>
      <c r="AE13" s="238"/>
      <c r="AF13" s="238"/>
      <c r="AG13" s="238"/>
      <c r="AH13" s="238"/>
      <c r="AI13" s="238"/>
      <c r="AJ13" s="238"/>
      <c r="AK13" s="238"/>
      <c r="AL13" s="238"/>
      <c r="AM13" s="238"/>
      <c r="AN13" s="238"/>
      <c r="AO13" s="238"/>
      <c r="AP13" s="238"/>
      <c r="AQ13" s="238"/>
    </row>
    <row r="14" spans="1:43" x14ac:dyDescent="0.75">
      <c r="A14" s="238"/>
      <c r="B14" s="238"/>
      <c r="C14" s="238"/>
      <c r="D14" s="238"/>
      <c r="E14" s="238"/>
      <c r="F14" s="238"/>
      <c r="G14" s="238"/>
      <c r="H14" s="238"/>
      <c r="I14" s="238"/>
      <c r="J14" s="238"/>
      <c r="K14" s="238"/>
      <c r="L14" s="238"/>
      <c r="M14" s="238"/>
      <c r="N14" s="238"/>
      <c r="O14" s="238"/>
      <c r="P14" s="180"/>
      <c r="Q14" s="184"/>
      <c r="R14" s="184"/>
      <c r="S14" s="184"/>
      <c r="T14" s="184"/>
      <c r="U14" s="184"/>
      <c r="V14" s="184"/>
      <c r="W14" s="184"/>
      <c r="X14" s="184"/>
      <c r="Y14" s="184"/>
      <c r="Z14" s="184"/>
      <c r="AA14" s="184"/>
      <c r="AB14" s="185"/>
      <c r="AC14" s="238"/>
      <c r="AD14" s="238"/>
      <c r="AE14" s="238"/>
      <c r="AF14" s="238"/>
      <c r="AG14" s="238"/>
      <c r="AH14" s="238"/>
      <c r="AI14" s="238"/>
      <c r="AJ14" s="238"/>
      <c r="AK14" s="238"/>
      <c r="AL14" s="238"/>
      <c r="AM14" s="238"/>
      <c r="AN14" s="238"/>
      <c r="AO14" s="238"/>
      <c r="AP14" s="238"/>
      <c r="AQ14" s="238"/>
    </row>
    <row r="15" spans="1:43" ht="15.5" thickBot="1" x14ac:dyDescent="0.9">
      <c r="A15" s="238"/>
      <c r="B15" s="238"/>
      <c r="C15" s="238"/>
      <c r="D15" s="238"/>
      <c r="E15" s="238"/>
      <c r="F15" s="238"/>
      <c r="G15" s="238"/>
      <c r="H15" s="238"/>
      <c r="I15" s="238"/>
      <c r="J15" s="238"/>
      <c r="K15" s="238"/>
      <c r="L15" s="238"/>
      <c r="M15" s="238"/>
      <c r="N15" s="238"/>
      <c r="O15" s="238"/>
      <c r="P15" s="186"/>
      <c r="Q15" s="187"/>
      <c r="R15" s="187"/>
      <c r="S15" s="187"/>
      <c r="T15" s="187"/>
      <c r="U15" s="187"/>
      <c r="V15" s="187"/>
      <c r="W15" s="187"/>
      <c r="X15" s="187"/>
      <c r="Y15" s="187"/>
      <c r="Z15" s="187"/>
      <c r="AA15" s="187"/>
      <c r="AB15" s="189"/>
      <c r="AC15" s="238"/>
      <c r="AD15" s="238"/>
      <c r="AE15" s="238"/>
      <c r="AF15" s="238"/>
      <c r="AG15" s="238"/>
      <c r="AH15" s="238"/>
      <c r="AI15" s="238"/>
      <c r="AJ15" s="238"/>
      <c r="AK15" s="238"/>
      <c r="AL15" s="238"/>
      <c r="AM15" s="238"/>
      <c r="AN15" s="238"/>
      <c r="AO15" s="238"/>
      <c r="AP15" s="238"/>
      <c r="AQ15" s="238"/>
    </row>
    <row r="16" spans="1:43" x14ac:dyDescent="0.75">
      <c r="A16" s="238"/>
      <c r="B16" s="238"/>
      <c r="C16" s="238"/>
      <c r="D16" s="238"/>
      <c r="E16" s="238"/>
      <c r="F16" s="238"/>
      <c r="G16" s="238"/>
      <c r="H16" s="238"/>
      <c r="I16" s="238"/>
      <c r="J16" s="238"/>
      <c r="K16" s="238"/>
      <c r="L16" s="238"/>
      <c r="M16" s="238"/>
      <c r="N16" s="238"/>
      <c r="O16" s="238"/>
      <c r="P16" s="238"/>
      <c r="Q16" s="238"/>
      <c r="R16" s="238"/>
      <c r="S16" s="238"/>
      <c r="T16" s="238"/>
      <c r="U16" s="238"/>
      <c r="V16" s="238"/>
      <c r="W16" s="238"/>
      <c r="X16" s="238"/>
      <c r="Y16" s="238"/>
      <c r="Z16" s="238"/>
      <c r="AA16" s="238"/>
      <c r="AB16" s="238"/>
      <c r="AC16" s="238"/>
      <c r="AD16" s="238"/>
      <c r="AE16" s="238"/>
      <c r="AF16" s="238"/>
      <c r="AG16" s="238"/>
      <c r="AH16" s="238"/>
      <c r="AI16" s="238"/>
      <c r="AJ16" s="238"/>
      <c r="AK16" s="238"/>
      <c r="AL16" s="238"/>
      <c r="AM16" s="238"/>
      <c r="AN16" s="238"/>
      <c r="AO16" s="238"/>
      <c r="AP16" s="238"/>
      <c r="AQ16" s="238"/>
    </row>
    <row r="17" spans="1:43" x14ac:dyDescent="0.75">
      <c r="A17" s="238"/>
      <c r="B17" s="238"/>
      <c r="C17" s="238"/>
      <c r="D17" s="238"/>
      <c r="E17" s="238"/>
      <c r="F17" s="238"/>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row>
    <row r="18" spans="1:43" hidden="1" x14ac:dyDescent="0.75"/>
    <row r="19" spans="1:43" hidden="1" x14ac:dyDescent="0.75"/>
    <row r="20" spans="1:43" hidden="1" x14ac:dyDescent="0.75"/>
    <row r="21" spans="1:43" hidden="1" x14ac:dyDescent="0.75"/>
    <row r="22" spans="1:43" hidden="1" x14ac:dyDescent="0.75"/>
  </sheetData>
  <mergeCells count="7">
    <mergeCell ref="T13:W13"/>
    <mergeCell ref="R2:Z2"/>
    <mergeCell ref="R6:Z6"/>
    <mergeCell ref="U8:W8"/>
    <mergeCell ref="U9:W9"/>
    <mergeCell ref="U10:W10"/>
    <mergeCell ref="U11:W1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6F42AC23-A282-4A5E-B1D3-ACC786D62696}">
          <x14:formula1>
            <xm:f>'Backend Data'!$J$20:$J$21</xm:f>
          </x14:formula1>
          <xm:sqref>X8</xm:sqref>
        </x14:dataValidation>
        <x14:dataValidation type="list" allowBlank="1" showInputMessage="1" showErrorMessage="1" xr:uid="{FB6534B0-263F-497D-A10F-382F6E401C92}">
          <x14:formula1>
            <xm:f>'Backend Data'!$J$24:$J$25</xm:f>
          </x14:formula1>
          <xm:sqref>X9</xm:sqref>
        </x14:dataValidation>
        <x14:dataValidation type="list" allowBlank="1" showInputMessage="1" showErrorMessage="1" xr:uid="{7AA8042D-859F-4EEB-8A72-37AAE7ABDB00}">
          <x14:formula1>
            <xm:f>'Backend Data'!$J$28:$J$29</xm:f>
          </x14:formula1>
          <xm:sqref>X10</xm:sqref>
        </x14:dataValidation>
        <x14:dataValidation type="list" allowBlank="1" showInputMessage="1" showErrorMessage="1" xr:uid="{7EECABEB-CC1F-48A3-8BC6-43928A07C3F6}">
          <x14:formula1>
            <xm:f>'Backend Data'!$J$32:$J$33</xm:f>
          </x14:formula1>
          <xm:sqref>X11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FEAC5-182F-4479-9244-DB985041B14E}">
  <dimension ref="B17:K43"/>
  <sheetViews>
    <sheetView topLeftCell="A30" zoomScale="120" workbookViewId="0">
      <selection activeCell="L35" sqref="L35"/>
    </sheetView>
  </sheetViews>
  <sheetFormatPr defaultRowHeight="14.75" x14ac:dyDescent="0.75"/>
  <cols>
    <col min="2" max="4" width="10.26953125" customWidth="1"/>
    <col min="5" max="5" width="16.86328125" bestFit="1" customWidth="1"/>
    <col min="9" max="9" width="14.36328125" bestFit="1" customWidth="1"/>
  </cols>
  <sheetData>
    <row r="17" spans="2:10" x14ac:dyDescent="0.75">
      <c r="B17" s="243"/>
    </row>
    <row r="30" spans="2:10" x14ac:dyDescent="0.75">
      <c r="B30" s="300" t="s">
        <v>305</v>
      </c>
      <c r="C30" s="300"/>
      <c r="D30" s="300"/>
      <c r="E30" s="300"/>
      <c r="F30" s="300"/>
      <c r="H30" s="301" t="s">
        <v>306</v>
      </c>
      <c r="I30" s="301"/>
      <c r="J30" s="301"/>
    </row>
    <row r="31" spans="2:10" x14ac:dyDescent="0.75">
      <c r="B31" s="301" t="s">
        <v>297</v>
      </c>
      <c r="C31" s="301"/>
      <c r="D31" s="301"/>
      <c r="E31" s="226">
        <f>Inputs!V30</f>
        <v>5</v>
      </c>
      <c r="F31" t="s">
        <v>298</v>
      </c>
      <c r="H31" t="s">
        <v>307</v>
      </c>
      <c r="I31">
        <v>5560.15</v>
      </c>
      <c r="J31" t="s">
        <v>16</v>
      </c>
    </row>
    <row r="32" spans="2:10" x14ac:dyDescent="0.75">
      <c r="B32" s="301" t="s">
        <v>296</v>
      </c>
      <c r="C32" s="301"/>
      <c r="D32" s="301"/>
      <c r="E32" s="226">
        <f>(ACOS((Orbit!T31/(Orbit!T31+Orbit!T30))*COS(RADIANS(E31)))*180/PI())-E31</f>
        <v>15.560609515153423</v>
      </c>
      <c r="F32" t="s">
        <v>298</v>
      </c>
      <c r="H32" t="s">
        <v>308</v>
      </c>
      <c r="I32">
        <f>2*PI()*6783448.132168</f>
        <v>42621661.63605278</v>
      </c>
      <c r="J32" t="s">
        <v>27</v>
      </c>
    </row>
    <row r="33" spans="2:11" x14ac:dyDescent="0.75">
      <c r="B33" s="301" t="s">
        <v>299</v>
      </c>
      <c r="C33" s="301"/>
      <c r="D33" s="301"/>
      <c r="E33">
        <f>SQRT(389600000000000/((Orbit!T31+Orbit!T30)*1000))</f>
        <v>7576.9968488963787</v>
      </c>
      <c r="F33" t="s">
        <v>5</v>
      </c>
      <c r="H33" t="s">
        <v>309</v>
      </c>
      <c r="I33">
        <f>I32/I31</f>
        <v>7665.5596766369217</v>
      </c>
      <c r="J33" t="s">
        <v>5</v>
      </c>
      <c r="K33">
        <v>389600000000000</v>
      </c>
    </row>
    <row r="34" spans="2:11" x14ac:dyDescent="0.75">
      <c r="B34" s="302" t="s">
        <v>301</v>
      </c>
      <c r="C34" s="302"/>
      <c r="D34" s="302"/>
      <c r="E34" s="226">
        <f>90-E32-E31</f>
        <v>69.43939048484657</v>
      </c>
      <c r="F34" t="s">
        <v>298</v>
      </c>
      <c r="H34" t="s">
        <v>310</v>
      </c>
      <c r="I34">
        <f>I33*(Orbit!T31/(Orbit!T31+Orbit!T30))</f>
        <v>7204.6887659365029</v>
      </c>
      <c r="J34" t="s">
        <v>5</v>
      </c>
    </row>
    <row r="35" spans="2:11" x14ac:dyDescent="0.75">
      <c r="B35" s="301" t="s">
        <v>300</v>
      </c>
      <c r="C35" s="301"/>
      <c r="D35" s="301"/>
      <c r="E35">
        <f>(E33*Orbit!T31*COS(RADIANS('Doppler - Working'!E31)))/(Orbit!T31+Orbit!T30)</f>
        <v>7094.3512678364632</v>
      </c>
      <c r="F35" t="s">
        <v>5</v>
      </c>
      <c r="H35" t="s">
        <v>311</v>
      </c>
      <c r="I35">
        <f>Orbit!T28*1000000*I34/Inputs!V9/1000</f>
        <v>10.509425226393995</v>
      </c>
      <c r="J35" t="s">
        <v>26</v>
      </c>
    </row>
    <row r="36" spans="2:11" x14ac:dyDescent="0.75">
      <c r="B36" s="301" t="s">
        <v>302</v>
      </c>
      <c r="C36" s="301"/>
      <c r="D36" s="301"/>
      <c r="E36">
        <f>(E33*Orbit!T31*Orbit!T28*SIN(RADIANS(E32)))/(Inputs!V9*Orbit!T33)</f>
        <v>1.0348476749142309E-2</v>
      </c>
      <c r="F36" t="s">
        <v>11</v>
      </c>
    </row>
    <row r="37" spans="2:11" x14ac:dyDescent="0.75">
      <c r="B37" s="301" t="s">
        <v>302</v>
      </c>
      <c r="C37" s="301"/>
      <c r="D37" s="301"/>
      <c r="E37">
        <f>E36*1000</f>
        <v>10.348476749142309</v>
      </c>
      <c r="F37" t="s">
        <v>26</v>
      </c>
    </row>
    <row r="38" spans="2:11" x14ac:dyDescent="0.75">
      <c r="B38" s="301" t="s">
        <v>302</v>
      </c>
      <c r="C38" s="301"/>
      <c r="D38" s="301"/>
      <c r="E38">
        <f>(10*LOG10(E33*Orbit!T31*1000000000*Orbit!T28*SIN(RADIANS(E32))))-(10*LOG10(Inputs!V9*Orbit!T33*1000))</f>
        <v>40.148764282347202</v>
      </c>
      <c r="F38" t="s">
        <v>33</v>
      </c>
    </row>
    <row r="40" spans="2:11" x14ac:dyDescent="0.75">
      <c r="B40" s="301" t="s">
        <v>303</v>
      </c>
      <c r="C40" s="301"/>
      <c r="D40" s="301"/>
      <c r="E40" s="226">
        <f>'Downlink Budget'!E11-'Downlink Budget'!E15-J43+228.6-SUM('Downlink Budget'!E13:E14,'Downlink Budget'!E16:E18)+'Downlink Budget'!E10</f>
        <v>38.772393353661251</v>
      </c>
      <c r="I40" t="s">
        <v>312</v>
      </c>
      <c r="J40">
        <f>(Orbit!T31/(Orbit!T31+Orbit!T30))*COS(RADIANS(E31))</f>
        <v>0.93630120340749334</v>
      </c>
    </row>
    <row r="41" spans="2:11" x14ac:dyDescent="0.75">
      <c r="E41" s="226">
        <f>'Downlink Budget'!E11-('Downlink Budget'!E15+'Downlink Budget'!E14+'Downlink Budget'!E16+'Downlink Budget'!E13+'Downlink Budget'!E18+'Downlink Budget'!E17)-E38+'Downlink Budget'!E10-Receivers!V87+228.6</f>
        <v>-471.04584015219541</v>
      </c>
      <c r="I41" t="s">
        <v>312</v>
      </c>
      <c r="J41">
        <f>(ACOS(J40)*180/PI())-E31</f>
        <v>15.560609515153423</v>
      </c>
      <c r="K41" t="s">
        <v>298</v>
      </c>
    </row>
    <row r="43" spans="2:11" x14ac:dyDescent="0.75">
      <c r="I43" t="s">
        <v>313</v>
      </c>
      <c r="J43">
        <f>(10*LOG10(I33*Orbit!T31*1000000000*Orbit!T28*SIN(RADIANS(J41))))-(10*LOG10(Inputs!V9*Orbit!T33*1000))</f>
        <v>40.199231905870022</v>
      </c>
      <c r="K43" t="s">
        <v>33</v>
      </c>
    </row>
  </sheetData>
  <mergeCells count="11">
    <mergeCell ref="B30:F30"/>
    <mergeCell ref="H30:J30"/>
    <mergeCell ref="B37:D37"/>
    <mergeCell ref="B38:D38"/>
    <mergeCell ref="B40:D40"/>
    <mergeCell ref="B32:D32"/>
    <mergeCell ref="B31:D31"/>
    <mergeCell ref="B33:D33"/>
    <mergeCell ref="B34:D34"/>
    <mergeCell ref="B35:D35"/>
    <mergeCell ref="B36:D36"/>
  </mergeCells>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36977-216C-45C5-8BE5-5A985D0BCE75}">
  <sheetPr>
    <tabColor rgb="FFE1CDFF"/>
  </sheetPr>
  <dimension ref="A1:AW47"/>
  <sheetViews>
    <sheetView topLeftCell="Q25" zoomScale="85" zoomScaleNormal="85" workbookViewId="0">
      <selection activeCell="X37" sqref="X37"/>
    </sheetView>
  </sheetViews>
  <sheetFormatPr defaultColWidth="0" defaultRowHeight="14.75" zeroHeight="1" x14ac:dyDescent="0.75"/>
  <cols>
    <col min="1" max="17" width="3.2265625" customWidth="1"/>
    <col min="18" max="18" width="8.7265625" customWidth="1"/>
    <col min="19" max="19" width="16.08984375" bestFit="1" customWidth="1"/>
    <col min="20" max="20" width="14.86328125" bestFit="1" customWidth="1"/>
    <col min="21" max="21" width="8.58984375" customWidth="1"/>
    <col min="22" max="22" width="19.6796875" bestFit="1" customWidth="1"/>
    <col min="23" max="23" width="9.953125" bestFit="1" customWidth="1"/>
    <col min="24" max="24" width="15.90625" bestFit="1" customWidth="1"/>
    <col min="25" max="25" width="7.7265625" customWidth="1"/>
    <col min="26" max="26" width="10.953125" customWidth="1"/>
    <col min="27" max="27" width="17" bestFit="1" customWidth="1"/>
    <col min="28" max="28" width="10" bestFit="1" customWidth="1"/>
    <col min="29" max="29" width="17.04296875" customWidth="1"/>
    <col min="30" max="30" width="1.40625" bestFit="1" customWidth="1"/>
    <col min="31" max="31" width="14.76953125" customWidth="1"/>
    <col min="32" max="32" width="9.31640625" customWidth="1"/>
    <col min="33" max="49" width="3.2265625" customWidth="1"/>
    <col min="50" max="16384" width="8.7265625" hidden="1"/>
  </cols>
  <sheetData>
    <row r="1" spans="1:49" ht="15.5" thickBot="1" x14ac:dyDescent="0.9">
      <c r="A1" s="1"/>
      <c r="B1" s="1"/>
      <c r="C1" s="1"/>
      <c r="D1" s="1"/>
      <c r="E1" s="1"/>
      <c r="F1" s="1"/>
      <c r="G1" s="1"/>
      <c r="H1" s="1"/>
      <c r="I1" s="1"/>
      <c r="J1" s="1"/>
      <c r="K1" s="1"/>
      <c r="L1" s="1"/>
      <c r="M1" s="1"/>
      <c r="N1" s="1"/>
      <c r="O1" s="1"/>
      <c r="P1" s="1"/>
      <c r="Q1" s="1"/>
      <c r="R1" s="1"/>
      <c r="S1" s="1"/>
      <c r="T1" s="1"/>
      <c r="U1" s="2"/>
      <c r="V1" s="1"/>
      <c r="W1" s="1"/>
      <c r="X1" s="1"/>
      <c r="Y1" s="1"/>
      <c r="Z1" s="1"/>
      <c r="AA1" s="1"/>
      <c r="AB1" s="1"/>
      <c r="AC1" s="1"/>
      <c r="AD1" s="1"/>
      <c r="AE1" s="1"/>
      <c r="AF1" s="1"/>
      <c r="AG1" s="1"/>
      <c r="AH1" s="1"/>
      <c r="AI1" s="1"/>
      <c r="AJ1" s="1"/>
      <c r="AK1" s="1"/>
      <c r="AL1" s="1"/>
      <c r="AM1" s="1"/>
      <c r="AN1" s="1"/>
      <c r="AO1" s="1"/>
      <c r="AP1" s="1"/>
      <c r="AQ1" s="1"/>
      <c r="AR1" s="1"/>
      <c r="AS1" s="1"/>
      <c r="AT1" s="1"/>
      <c r="AU1" s="1"/>
      <c r="AV1" s="1"/>
      <c r="AW1" s="1"/>
    </row>
    <row r="2" spans="1:49" ht="16.25" thickBot="1" x14ac:dyDescent="0.9">
      <c r="A2" s="7"/>
      <c r="B2" s="7"/>
      <c r="C2" s="7"/>
      <c r="D2" s="7"/>
      <c r="E2" s="7"/>
      <c r="F2" s="7"/>
      <c r="G2" s="7"/>
      <c r="H2" s="7"/>
      <c r="I2" s="7"/>
      <c r="J2" s="7"/>
      <c r="K2" s="7"/>
      <c r="L2" s="7"/>
      <c r="M2" s="7"/>
      <c r="N2" s="7"/>
      <c r="O2" s="7"/>
      <c r="P2" s="7"/>
      <c r="Q2" s="7"/>
      <c r="R2" s="267" t="s">
        <v>0</v>
      </c>
      <c r="S2" s="268"/>
      <c r="T2" s="268"/>
      <c r="U2" s="268"/>
      <c r="V2" s="268"/>
      <c r="W2" s="268"/>
      <c r="X2" s="268"/>
      <c r="Y2" s="268"/>
      <c r="Z2" s="268"/>
      <c r="AA2" s="268"/>
      <c r="AB2" s="268"/>
      <c r="AC2" s="268"/>
      <c r="AD2" s="268"/>
      <c r="AE2" s="268"/>
      <c r="AF2" s="269"/>
      <c r="AG2" s="7"/>
      <c r="AH2" s="7"/>
      <c r="AI2" s="7"/>
      <c r="AJ2" s="7"/>
      <c r="AK2" s="7"/>
      <c r="AL2" s="7"/>
      <c r="AM2" s="7"/>
      <c r="AN2" s="7"/>
      <c r="AO2" s="7"/>
      <c r="AP2" s="7"/>
      <c r="AQ2" s="7"/>
      <c r="AR2" s="1"/>
      <c r="AS2" s="1"/>
      <c r="AT2" s="1"/>
      <c r="AU2" s="1"/>
      <c r="AV2" s="1"/>
      <c r="AW2" s="1"/>
    </row>
    <row r="3" spans="1:49" ht="15.5" thickBot="1" x14ac:dyDescent="0.9">
      <c r="A3" s="1" t="s">
        <v>90</v>
      </c>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row>
    <row r="4" spans="1:49" x14ac:dyDescent="0.75">
      <c r="A4" s="1"/>
      <c r="B4" s="1"/>
      <c r="C4" s="1"/>
      <c r="D4" s="1"/>
      <c r="E4" s="1"/>
      <c r="F4" s="1"/>
      <c r="G4" s="1"/>
      <c r="H4" s="1"/>
      <c r="I4" s="1"/>
      <c r="J4" s="1"/>
      <c r="K4" s="1"/>
      <c r="L4" s="1"/>
      <c r="M4" s="1"/>
      <c r="N4" s="1"/>
      <c r="O4" s="1"/>
      <c r="P4" s="28"/>
      <c r="Q4" s="29"/>
      <c r="R4" s="29"/>
      <c r="S4" s="29"/>
      <c r="T4" s="29"/>
      <c r="U4" s="29"/>
      <c r="V4" s="29"/>
      <c r="W4" s="29"/>
      <c r="X4" s="29"/>
      <c r="Y4" s="29"/>
      <c r="Z4" s="29"/>
      <c r="AA4" s="29"/>
      <c r="AB4" s="29"/>
      <c r="AC4" s="29"/>
      <c r="AD4" s="29"/>
      <c r="AE4" s="29"/>
      <c r="AF4" s="29"/>
      <c r="AG4" s="29"/>
      <c r="AH4" s="30"/>
      <c r="AI4" s="1"/>
      <c r="AJ4" s="1"/>
      <c r="AK4" s="1"/>
      <c r="AL4" s="1"/>
      <c r="AM4" s="1"/>
      <c r="AN4" s="1"/>
      <c r="AO4" s="1"/>
      <c r="AP4" s="1"/>
      <c r="AQ4" s="1"/>
      <c r="AR4" s="1"/>
      <c r="AS4" s="1"/>
      <c r="AT4" s="1"/>
      <c r="AU4" s="1"/>
      <c r="AV4" s="1"/>
      <c r="AW4" s="1"/>
    </row>
    <row r="5" spans="1:49" ht="15.5" thickBot="1" x14ac:dyDescent="0.9">
      <c r="A5" s="1"/>
      <c r="B5" s="1"/>
      <c r="C5" s="1"/>
      <c r="D5" s="1"/>
      <c r="E5" s="1"/>
      <c r="F5" s="1"/>
      <c r="G5" s="1"/>
      <c r="H5" s="1"/>
      <c r="I5" s="1"/>
      <c r="J5" s="1"/>
      <c r="K5" s="1"/>
      <c r="L5" s="1"/>
      <c r="M5" s="1"/>
      <c r="N5" s="1"/>
      <c r="O5" s="1"/>
      <c r="P5" s="32"/>
      <c r="Q5" s="33"/>
      <c r="R5" s="33"/>
      <c r="S5" s="33" t="s">
        <v>226</v>
      </c>
      <c r="T5" s="33"/>
      <c r="U5" s="33"/>
      <c r="V5" s="33"/>
      <c r="W5" s="33"/>
      <c r="X5" s="33"/>
      <c r="Y5" s="33"/>
      <c r="Z5" s="33"/>
      <c r="AA5" s="33"/>
      <c r="AB5" s="33"/>
      <c r="AC5" s="33"/>
      <c r="AD5" s="33"/>
      <c r="AE5" s="33"/>
      <c r="AF5" s="33"/>
      <c r="AG5" s="33"/>
      <c r="AH5" s="34"/>
      <c r="AI5" s="1"/>
      <c r="AJ5" s="1"/>
      <c r="AK5" s="1"/>
      <c r="AL5" s="1"/>
      <c r="AM5" s="1"/>
      <c r="AN5" s="1"/>
      <c r="AO5" s="1"/>
      <c r="AP5" s="1"/>
      <c r="AQ5" s="1"/>
      <c r="AR5" s="1"/>
      <c r="AS5" s="1"/>
      <c r="AT5" s="1"/>
      <c r="AU5" s="1"/>
      <c r="AV5" s="1"/>
      <c r="AW5" s="1"/>
    </row>
    <row r="6" spans="1:49" ht="31" thickBot="1" x14ac:dyDescent="0.9">
      <c r="A6" s="1"/>
      <c r="B6" s="1"/>
      <c r="C6" s="1"/>
      <c r="D6" s="1"/>
      <c r="E6" s="1"/>
      <c r="F6" s="1"/>
      <c r="G6" s="1"/>
      <c r="H6" s="1"/>
      <c r="I6" s="1"/>
      <c r="J6" s="1"/>
      <c r="K6" s="1"/>
      <c r="L6" s="1"/>
      <c r="M6" s="1"/>
      <c r="N6" s="1"/>
      <c r="O6" s="1"/>
      <c r="P6" s="32"/>
      <c r="Q6" s="33"/>
      <c r="R6" s="263" t="s">
        <v>91</v>
      </c>
      <c r="S6" s="264"/>
      <c r="T6" s="264"/>
      <c r="U6" s="264"/>
      <c r="V6" s="264"/>
      <c r="W6" s="264"/>
      <c r="X6" s="264"/>
      <c r="Y6" s="264"/>
      <c r="Z6" s="264"/>
      <c r="AA6" s="264"/>
      <c r="AB6" s="264"/>
      <c r="AC6" s="264"/>
      <c r="AD6" s="264"/>
      <c r="AE6" s="264"/>
      <c r="AF6" s="265"/>
      <c r="AG6" s="33"/>
      <c r="AH6" s="34"/>
      <c r="AI6" s="1"/>
      <c r="AJ6" s="1"/>
      <c r="AK6" s="1"/>
      <c r="AL6" s="1"/>
      <c r="AM6" s="1"/>
      <c r="AN6" s="1"/>
      <c r="AO6" s="1"/>
      <c r="AP6" s="1"/>
      <c r="AQ6" s="1"/>
      <c r="AR6" s="1"/>
      <c r="AS6" s="1"/>
      <c r="AT6" s="1"/>
      <c r="AU6" s="1"/>
      <c r="AV6" s="1"/>
      <c r="AW6" s="1"/>
    </row>
    <row r="7" spans="1:49" ht="15.5" thickBot="1" x14ac:dyDescent="0.9">
      <c r="A7" s="1"/>
      <c r="B7" s="1"/>
      <c r="C7" s="1"/>
      <c r="D7" s="1"/>
      <c r="E7" s="1"/>
      <c r="F7" s="1"/>
      <c r="G7" s="1"/>
      <c r="H7" s="1"/>
      <c r="I7" s="1"/>
      <c r="J7" s="1"/>
      <c r="K7" s="1"/>
      <c r="L7" s="1"/>
      <c r="M7" s="1"/>
      <c r="N7" s="1"/>
      <c r="O7" s="1"/>
      <c r="P7" s="32"/>
      <c r="Q7" s="33"/>
      <c r="R7" s="33"/>
      <c r="S7" s="33"/>
      <c r="T7" s="33"/>
      <c r="U7" s="33"/>
      <c r="V7" s="33"/>
      <c r="W7" s="33"/>
      <c r="X7" s="33"/>
      <c r="Y7" s="33"/>
      <c r="Z7" s="33"/>
      <c r="AA7" s="33"/>
      <c r="AB7" s="33"/>
      <c r="AC7" s="33"/>
      <c r="AD7" s="33"/>
      <c r="AE7" s="33"/>
      <c r="AF7" s="33"/>
      <c r="AG7" s="33"/>
      <c r="AH7" s="34"/>
      <c r="AI7" s="1"/>
      <c r="AJ7" s="1"/>
      <c r="AK7" s="1"/>
      <c r="AL7" s="1"/>
      <c r="AM7" s="1"/>
      <c r="AN7" s="1"/>
      <c r="AO7" s="1"/>
      <c r="AP7" s="1"/>
      <c r="AQ7" s="1"/>
      <c r="AR7" s="1"/>
      <c r="AS7" s="1"/>
      <c r="AT7" s="1"/>
      <c r="AU7" s="1"/>
      <c r="AV7" s="1"/>
      <c r="AW7" s="1"/>
    </row>
    <row r="8" spans="1:49" ht="15.5" thickBot="1" x14ac:dyDescent="0.9">
      <c r="A8" s="1"/>
      <c r="B8" s="1"/>
      <c r="C8" s="1"/>
      <c r="D8" s="1"/>
      <c r="E8" s="1"/>
      <c r="F8" s="1"/>
      <c r="G8" s="1"/>
      <c r="H8" s="1"/>
      <c r="I8" s="1"/>
      <c r="J8" s="1"/>
      <c r="K8" s="1"/>
      <c r="L8" s="1"/>
      <c r="M8" s="1"/>
      <c r="N8" s="1"/>
      <c r="O8" s="1"/>
      <c r="P8" s="32"/>
      <c r="Q8" s="33"/>
      <c r="R8" s="277" t="s">
        <v>92</v>
      </c>
      <c r="S8" s="277"/>
      <c r="T8" s="310" t="s">
        <v>213</v>
      </c>
      <c r="U8" s="310"/>
      <c r="V8" s="33"/>
      <c r="W8" s="311" t="s">
        <v>93</v>
      </c>
      <c r="X8" s="312"/>
      <c r="Y8" s="312"/>
      <c r="Z8" s="313"/>
      <c r="AA8" s="51" t="s">
        <v>94</v>
      </c>
      <c r="AB8" s="33"/>
      <c r="AC8" s="33"/>
      <c r="AD8" s="33"/>
      <c r="AE8" s="33"/>
      <c r="AF8" s="33"/>
      <c r="AG8" s="33"/>
      <c r="AH8" s="34"/>
      <c r="AI8" s="1"/>
      <c r="AJ8" s="1"/>
      <c r="AK8" s="1"/>
      <c r="AL8" s="1"/>
      <c r="AM8" s="1"/>
      <c r="AN8" s="1"/>
      <c r="AO8" s="1"/>
      <c r="AP8" s="1"/>
      <c r="AQ8" s="1"/>
      <c r="AR8" s="1"/>
      <c r="AS8" s="1"/>
      <c r="AT8" s="1"/>
      <c r="AU8" s="1"/>
      <c r="AV8" s="1"/>
      <c r="AW8" s="1"/>
    </row>
    <row r="9" spans="1:49" ht="15.5" thickBot="1" x14ac:dyDescent="0.9">
      <c r="A9" s="1"/>
      <c r="B9" s="1"/>
      <c r="C9" s="1"/>
      <c r="D9" s="1"/>
      <c r="E9" s="1"/>
      <c r="F9" s="1"/>
      <c r="G9" s="1"/>
      <c r="H9" s="1"/>
      <c r="I9" s="1"/>
      <c r="J9" s="1"/>
      <c r="K9" s="1"/>
      <c r="L9" s="1"/>
      <c r="M9" s="1"/>
      <c r="N9" s="1"/>
      <c r="O9" s="1"/>
      <c r="P9" s="32"/>
      <c r="Q9" s="33"/>
      <c r="R9" s="277" t="s">
        <v>95</v>
      </c>
      <c r="S9" s="277"/>
      <c r="T9" s="310" t="s">
        <v>214</v>
      </c>
      <c r="U9" s="310"/>
      <c r="V9" s="33"/>
      <c r="W9" s="314" t="s">
        <v>96</v>
      </c>
      <c r="X9" s="315"/>
      <c r="Y9" s="315"/>
      <c r="Z9" s="316"/>
      <c r="AA9" s="52">
        <v>3</v>
      </c>
      <c r="AB9" s="33"/>
      <c r="AC9" s="33"/>
      <c r="AD9" s="33"/>
      <c r="AE9" s="33"/>
      <c r="AF9" s="33"/>
      <c r="AG9" s="33"/>
      <c r="AH9" s="34"/>
      <c r="AI9" s="1"/>
      <c r="AJ9" s="1"/>
      <c r="AK9" s="1"/>
      <c r="AL9" s="1"/>
      <c r="AM9" s="1"/>
      <c r="AN9" s="1"/>
      <c r="AO9" s="1"/>
      <c r="AP9" s="1"/>
      <c r="AQ9" s="1"/>
      <c r="AR9" s="1"/>
      <c r="AS9" s="1"/>
      <c r="AT9" s="1"/>
      <c r="AU9" s="1"/>
      <c r="AV9" s="1"/>
      <c r="AW9" s="1"/>
    </row>
    <row r="10" spans="1:49" x14ac:dyDescent="0.75">
      <c r="A10" s="1"/>
      <c r="B10" s="1"/>
      <c r="C10" s="1"/>
      <c r="D10" s="1"/>
      <c r="E10" s="1"/>
      <c r="F10" s="1"/>
      <c r="G10" s="1"/>
      <c r="H10" s="1"/>
      <c r="I10" s="1"/>
      <c r="J10" s="1"/>
      <c r="K10" s="1"/>
      <c r="L10" s="1"/>
      <c r="M10" s="1"/>
      <c r="N10" s="1"/>
      <c r="O10" s="1"/>
      <c r="P10" s="32"/>
      <c r="Q10" s="33"/>
      <c r="R10" s="33"/>
      <c r="S10" s="33"/>
      <c r="T10" s="33"/>
      <c r="U10" s="33"/>
      <c r="V10" s="33"/>
      <c r="W10" s="53"/>
      <c r="X10" s="53"/>
      <c r="Y10" s="53"/>
      <c r="Z10" s="53"/>
      <c r="AA10" s="53"/>
      <c r="AB10" s="53"/>
      <c r="AC10" s="33"/>
      <c r="AD10" s="33"/>
      <c r="AE10" s="33"/>
      <c r="AF10" s="33"/>
      <c r="AG10" s="33"/>
      <c r="AH10" s="34"/>
      <c r="AI10" s="1"/>
      <c r="AJ10" s="1"/>
      <c r="AK10" s="1"/>
      <c r="AL10" s="1"/>
      <c r="AM10" s="1"/>
      <c r="AN10" s="1"/>
      <c r="AO10" s="1"/>
      <c r="AP10" s="1"/>
      <c r="AQ10" s="1"/>
      <c r="AR10" s="1"/>
      <c r="AS10" s="1"/>
      <c r="AT10" s="1"/>
      <c r="AU10" s="1"/>
      <c r="AV10" s="1"/>
      <c r="AW10" s="1"/>
    </row>
    <row r="11" spans="1:49" ht="15.5" thickBot="1" x14ac:dyDescent="0.9">
      <c r="A11" s="1"/>
      <c r="B11" s="1"/>
      <c r="C11" s="1"/>
      <c r="D11" s="1"/>
      <c r="E11" s="1"/>
      <c r="F11" s="1"/>
      <c r="G11" s="1"/>
      <c r="H11" s="1"/>
      <c r="I11" s="1"/>
      <c r="J11" s="1"/>
      <c r="K11" s="1"/>
      <c r="L11" s="1"/>
      <c r="M11" s="1"/>
      <c r="N11" s="1"/>
      <c r="O11" s="1"/>
      <c r="P11" s="32"/>
      <c r="Q11" s="33"/>
      <c r="R11" s="33" t="s">
        <v>97</v>
      </c>
      <c r="S11" s="33"/>
      <c r="T11" s="33"/>
      <c r="U11" s="33"/>
      <c r="V11" s="33"/>
      <c r="W11" s="33"/>
      <c r="X11" s="33"/>
      <c r="Y11" s="33"/>
      <c r="Z11" s="33"/>
      <c r="AA11" s="33"/>
      <c r="AB11" s="33"/>
      <c r="AC11" s="33"/>
      <c r="AD11" s="33"/>
      <c r="AE11" s="33"/>
      <c r="AF11" s="33"/>
      <c r="AG11" s="33"/>
      <c r="AH11" s="34"/>
      <c r="AI11" s="1"/>
      <c r="AJ11" s="1"/>
      <c r="AK11" s="1"/>
      <c r="AL11" s="1"/>
      <c r="AM11" s="1"/>
      <c r="AN11" s="1"/>
      <c r="AO11" s="1"/>
      <c r="AP11" s="1"/>
      <c r="AQ11" s="1"/>
      <c r="AR11" s="1"/>
      <c r="AS11" s="1"/>
      <c r="AT11" s="1"/>
      <c r="AU11" s="1"/>
      <c r="AV11" s="1"/>
      <c r="AW11" s="1"/>
    </row>
    <row r="12" spans="1:49" ht="15.5" thickBot="1" x14ac:dyDescent="0.9">
      <c r="A12" s="1"/>
      <c r="B12" s="1"/>
      <c r="C12" s="1"/>
      <c r="D12" s="1"/>
      <c r="E12" s="1"/>
      <c r="F12" s="1"/>
      <c r="G12" s="1"/>
      <c r="H12" s="1"/>
      <c r="I12" s="1"/>
      <c r="J12" s="1"/>
      <c r="K12" s="1"/>
      <c r="L12" s="1"/>
      <c r="M12" s="1"/>
      <c r="N12" s="1"/>
      <c r="O12" s="1"/>
      <c r="P12" s="32"/>
      <c r="Q12" s="33"/>
      <c r="R12" s="47">
        <v>1</v>
      </c>
      <c r="S12" s="33" t="s">
        <v>98</v>
      </c>
      <c r="T12" s="54" t="s">
        <v>99</v>
      </c>
      <c r="U12" s="55">
        <v>3</v>
      </c>
      <c r="V12" s="54" t="s">
        <v>100</v>
      </c>
      <c r="W12" s="47">
        <f>IF($U$12&lt;'Backend Data'!$N$6,"Too short!",INDEX('Backend Data'!$O$6:$O$25,MATCH($U$12,'Backend Data'!$N$6:$N$25,1),1))</f>
        <v>11</v>
      </c>
      <c r="X12" s="47"/>
      <c r="Y12" s="47"/>
      <c r="Z12" s="47" t="s">
        <v>101</v>
      </c>
      <c r="AA12" s="167" t="str">
        <f>IF(AA9=1,IF($U$12&lt;'Backend Data'!$N$6,"Too short!",INDEX('Backend Data'!$P$6:$P$25,MATCH($U$12,'Backend Data'!$N$6:$N$25,1),1)),"")</f>
        <v/>
      </c>
      <c r="AB12" s="33" t="s">
        <v>102</v>
      </c>
      <c r="AC12" s="167" t="str">
        <f>IF(AA9=1,IF($U$12&lt;'Backend Data'!$N$6,"Too short!",ROUND(SQRT(40000/(10^(INDEX('Backend Data'!$P$6:$P$25,MATCH($U$12,'Backend Data'!$N$6:$N$25,1),1)/10))),1)),"")</f>
        <v/>
      </c>
      <c r="AD12" s="33" t="s">
        <v>24</v>
      </c>
      <c r="AE12" s="33"/>
      <c r="AF12" s="33"/>
      <c r="AG12" s="33"/>
      <c r="AH12" s="34"/>
      <c r="AI12" s="1"/>
      <c r="AJ12" s="1"/>
      <c r="AK12" s="1"/>
      <c r="AL12" s="1"/>
      <c r="AM12" s="1"/>
      <c r="AN12" s="1"/>
      <c r="AO12" s="1"/>
      <c r="AP12" s="1"/>
      <c r="AQ12" s="1"/>
      <c r="AR12" s="1"/>
      <c r="AS12" s="1"/>
      <c r="AT12" s="1"/>
      <c r="AU12" s="1"/>
      <c r="AV12" s="1"/>
      <c r="AW12" s="1"/>
    </row>
    <row r="13" spans="1:49" ht="15.5" thickBot="1" x14ac:dyDescent="0.9">
      <c r="A13" s="1"/>
      <c r="B13" s="1"/>
      <c r="C13" s="1"/>
      <c r="D13" s="1"/>
      <c r="E13" s="1"/>
      <c r="F13" s="1"/>
      <c r="G13" s="1"/>
      <c r="H13" s="1"/>
      <c r="I13" s="1"/>
      <c r="J13" s="1"/>
      <c r="K13" s="1"/>
      <c r="L13" s="1"/>
      <c r="M13" s="1"/>
      <c r="N13" s="1"/>
      <c r="O13" s="1"/>
      <c r="P13" s="32"/>
      <c r="Q13" s="33"/>
      <c r="R13" s="47">
        <v>2</v>
      </c>
      <c r="S13" s="33" t="s">
        <v>103</v>
      </c>
      <c r="T13" s="54" t="s">
        <v>104</v>
      </c>
      <c r="U13" s="56">
        <v>10.5</v>
      </c>
      <c r="V13" s="54" t="s">
        <v>105</v>
      </c>
      <c r="W13" s="55">
        <v>0.25</v>
      </c>
      <c r="X13" s="54" t="s">
        <v>106</v>
      </c>
      <c r="Y13" s="57">
        <v>1</v>
      </c>
      <c r="Z13" s="47" t="s">
        <v>101</v>
      </c>
      <c r="AA13" s="167" t="str">
        <f>IF(AA9=2,ROUND(10*LOG10(15*Y13^2*U13*W13),1),"")</f>
        <v/>
      </c>
      <c r="AB13" s="33" t="s">
        <v>102</v>
      </c>
      <c r="AC13" s="58" t="str">
        <f>IF(AA9=2,ROUND(52.2/(Y13*((U13*W13)^0.5)),1),"")</f>
        <v/>
      </c>
      <c r="AD13" s="33" t="s">
        <v>24</v>
      </c>
      <c r="AE13" s="170"/>
      <c r="AF13" s="33"/>
      <c r="AG13" s="33"/>
      <c r="AH13" s="34"/>
      <c r="AI13" s="1"/>
      <c r="AJ13" s="1"/>
      <c r="AK13" s="1"/>
      <c r="AL13" s="1"/>
      <c r="AM13" s="1"/>
      <c r="AN13" s="1"/>
      <c r="AO13" s="1"/>
      <c r="AP13" s="1"/>
      <c r="AQ13" s="1"/>
      <c r="AR13" s="1"/>
      <c r="AS13" s="1"/>
      <c r="AT13" s="1"/>
      <c r="AU13" s="1"/>
      <c r="AV13" s="1"/>
      <c r="AW13" s="1"/>
    </row>
    <row r="14" spans="1:49" ht="15.5" thickBot="1" x14ac:dyDescent="0.9">
      <c r="A14" s="1"/>
      <c r="B14" s="1"/>
      <c r="C14" s="1"/>
      <c r="D14" s="1"/>
      <c r="E14" s="1"/>
      <c r="F14" s="1"/>
      <c r="G14" s="1"/>
      <c r="H14" s="1"/>
      <c r="I14" s="1"/>
      <c r="J14" s="1"/>
      <c r="K14" s="1"/>
      <c r="L14" s="1"/>
      <c r="M14" s="1"/>
      <c r="N14" s="1"/>
      <c r="O14" s="1"/>
      <c r="P14" s="32"/>
      <c r="Q14" s="33"/>
      <c r="R14" s="47">
        <v>3</v>
      </c>
      <c r="S14" s="33" t="s">
        <v>107</v>
      </c>
      <c r="T14" s="54" t="s">
        <v>108</v>
      </c>
      <c r="U14" s="59">
        <v>5.4</v>
      </c>
      <c r="V14" s="54" t="s">
        <v>109</v>
      </c>
      <c r="W14" s="60">
        <v>0.55000000000000004</v>
      </c>
      <c r="X14" s="33"/>
      <c r="Y14" s="33"/>
      <c r="Z14" s="47" t="s">
        <v>101</v>
      </c>
      <c r="AA14" s="167">
        <f>IF(AA9=3,ROUND(20.4+20*LOG10(U14)+20*LOG10(Inputs!V15/1000)+10*LOG10(W14),1),"")</f>
        <v>15.7</v>
      </c>
      <c r="AB14" s="33" t="s">
        <v>102</v>
      </c>
      <c r="AC14" s="167">
        <f>IF(AA9=3,ROUND(21/((Inputs!V15/1000)*U14),1),"")</f>
        <v>26.7</v>
      </c>
      <c r="AD14" s="33" t="s">
        <v>24</v>
      </c>
      <c r="AE14" s="171"/>
      <c r="AF14" s="33"/>
      <c r="AG14" s="33"/>
      <c r="AH14" s="34"/>
      <c r="AI14" s="1"/>
      <c r="AJ14" s="1"/>
      <c r="AK14" s="1"/>
      <c r="AL14" s="1"/>
      <c r="AM14" s="1"/>
      <c r="AN14" s="1"/>
      <c r="AO14" s="1"/>
      <c r="AP14" s="1"/>
      <c r="AQ14" s="1"/>
      <c r="AR14" s="1"/>
      <c r="AS14" s="1"/>
      <c r="AT14" s="1"/>
      <c r="AU14" s="1"/>
      <c r="AV14" s="1"/>
      <c r="AW14" s="1"/>
    </row>
    <row r="15" spans="1:49" ht="15.5" thickBot="1" x14ac:dyDescent="0.9">
      <c r="A15" s="1"/>
      <c r="B15" s="1"/>
      <c r="C15" s="1"/>
      <c r="D15" s="1"/>
      <c r="E15" s="1"/>
      <c r="F15" s="1"/>
      <c r="G15" s="1"/>
      <c r="H15" s="1"/>
      <c r="I15" s="1"/>
      <c r="J15" s="1"/>
      <c r="K15" s="1"/>
      <c r="L15" s="1"/>
      <c r="M15" s="1"/>
      <c r="N15" s="1"/>
      <c r="O15" s="1"/>
      <c r="P15" s="32"/>
      <c r="Q15" s="33"/>
      <c r="R15" s="47">
        <v>4</v>
      </c>
      <c r="S15" s="33" t="s">
        <v>110</v>
      </c>
      <c r="T15" s="61" t="s">
        <v>111</v>
      </c>
      <c r="U15" s="33"/>
      <c r="V15" s="33"/>
      <c r="W15" s="33"/>
      <c r="X15" s="33"/>
      <c r="Y15" s="33"/>
      <c r="Z15" s="47" t="s">
        <v>101</v>
      </c>
      <c r="AA15" s="51">
        <v>16.3</v>
      </c>
      <c r="AB15" s="33" t="s">
        <v>102</v>
      </c>
      <c r="AC15" s="51">
        <v>30</v>
      </c>
      <c r="AD15" s="33" t="s">
        <v>24</v>
      </c>
      <c r="AE15" s="33" t="s">
        <v>112</v>
      </c>
      <c r="AF15" s="51">
        <v>0</v>
      </c>
      <c r="AG15" s="33" t="s">
        <v>33</v>
      </c>
      <c r="AH15" s="34"/>
      <c r="AI15" s="1"/>
      <c r="AJ15" s="1"/>
      <c r="AK15" s="1"/>
      <c r="AL15" s="1"/>
      <c r="AM15" s="1"/>
      <c r="AN15" s="1"/>
      <c r="AO15" s="1"/>
      <c r="AP15" s="1"/>
      <c r="AQ15" s="1"/>
      <c r="AR15" s="1"/>
      <c r="AS15" s="1"/>
      <c r="AT15" s="1"/>
      <c r="AU15" s="1"/>
      <c r="AV15" s="1"/>
      <c r="AW15" s="1"/>
    </row>
    <row r="16" spans="1:49" x14ac:dyDescent="0.75">
      <c r="A16" s="1"/>
      <c r="B16" s="1"/>
      <c r="C16" s="1"/>
      <c r="D16" s="1"/>
      <c r="E16" s="1"/>
      <c r="F16" s="1"/>
      <c r="G16" s="1"/>
      <c r="H16" s="1"/>
      <c r="I16" s="1"/>
      <c r="J16" s="1"/>
      <c r="K16" s="1"/>
      <c r="L16" s="1"/>
      <c r="M16" s="1"/>
      <c r="N16" s="1"/>
      <c r="O16" s="1"/>
      <c r="P16" s="32"/>
      <c r="Q16" s="33"/>
      <c r="R16" s="33"/>
      <c r="S16" s="33"/>
      <c r="T16" s="33"/>
      <c r="U16" s="33"/>
      <c r="V16" s="33"/>
      <c r="W16" s="33"/>
      <c r="X16" s="33"/>
      <c r="Y16" s="33"/>
      <c r="Z16" s="33"/>
      <c r="AA16" s="33"/>
      <c r="AB16" s="33"/>
      <c r="AC16" s="33"/>
      <c r="AD16" s="33"/>
      <c r="AE16" s="33"/>
      <c r="AF16" s="33"/>
      <c r="AG16" s="33"/>
      <c r="AH16" s="34"/>
      <c r="AI16" s="1"/>
      <c r="AJ16" s="1"/>
      <c r="AK16" s="1"/>
      <c r="AL16" s="1"/>
      <c r="AM16" s="1"/>
      <c r="AN16" s="1"/>
      <c r="AO16" s="1"/>
      <c r="AP16" s="1"/>
      <c r="AQ16" s="1"/>
      <c r="AR16" s="1"/>
      <c r="AS16" s="1"/>
      <c r="AT16" s="1"/>
      <c r="AU16" s="1"/>
      <c r="AV16" s="1"/>
      <c r="AW16" s="1"/>
    </row>
    <row r="17" spans="1:49" ht="15.5" thickBot="1" x14ac:dyDescent="0.9">
      <c r="A17" s="1"/>
      <c r="B17" s="1"/>
      <c r="C17" s="1"/>
      <c r="D17" s="1"/>
      <c r="E17" s="1"/>
      <c r="F17" s="1"/>
      <c r="G17" s="1"/>
      <c r="H17" s="1"/>
      <c r="I17" s="1"/>
      <c r="J17" s="1"/>
      <c r="K17" s="1"/>
      <c r="L17" s="1"/>
      <c r="M17" s="1"/>
      <c r="N17" s="1"/>
      <c r="O17" s="1"/>
      <c r="P17" s="32"/>
      <c r="Q17" s="33"/>
      <c r="R17" s="33"/>
      <c r="S17" s="33"/>
      <c r="T17" s="33"/>
      <c r="U17" s="33"/>
      <c r="V17" s="33"/>
      <c r="W17" s="33"/>
      <c r="X17" s="33"/>
      <c r="Y17" s="33"/>
      <c r="Z17" s="33"/>
      <c r="AA17" s="33"/>
      <c r="AB17" s="33"/>
      <c r="AC17" s="33"/>
      <c r="AD17" s="33"/>
      <c r="AE17" s="33"/>
      <c r="AF17" s="33"/>
      <c r="AG17" s="33"/>
      <c r="AH17" s="34"/>
      <c r="AI17" s="1"/>
      <c r="AJ17" s="1"/>
      <c r="AK17" s="1"/>
      <c r="AL17" s="1"/>
      <c r="AM17" s="1"/>
      <c r="AN17" s="1"/>
      <c r="AO17" s="1"/>
      <c r="AP17" s="1"/>
      <c r="AQ17" s="1"/>
      <c r="AR17" s="1"/>
      <c r="AS17" s="1"/>
      <c r="AT17" s="1"/>
      <c r="AU17" s="1"/>
      <c r="AV17" s="1"/>
      <c r="AW17" s="1"/>
    </row>
    <row r="18" spans="1:49" ht="31" thickBot="1" x14ac:dyDescent="0.9">
      <c r="A18" s="1"/>
      <c r="B18" s="1"/>
      <c r="C18" s="1"/>
      <c r="D18" s="1"/>
      <c r="E18" s="1"/>
      <c r="F18" s="1"/>
      <c r="G18" s="1"/>
      <c r="H18" s="1"/>
      <c r="I18" s="1"/>
      <c r="J18" s="1"/>
      <c r="K18" s="1"/>
      <c r="L18" s="1"/>
      <c r="M18" s="1"/>
      <c r="N18" s="1"/>
      <c r="O18" s="1"/>
      <c r="P18" s="32"/>
      <c r="Q18" s="33"/>
      <c r="R18" s="263" t="s">
        <v>113</v>
      </c>
      <c r="S18" s="264"/>
      <c r="T18" s="264"/>
      <c r="U18" s="264"/>
      <c r="V18" s="264"/>
      <c r="W18" s="264"/>
      <c r="X18" s="264"/>
      <c r="Y18" s="264"/>
      <c r="Z18" s="264"/>
      <c r="AA18" s="264"/>
      <c r="AB18" s="264"/>
      <c r="AC18" s="264"/>
      <c r="AD18" s="264"/>
      <c r="AE18" s="264"/>
      <c r="AF18" s="265"/>
      <c r="AG18" s="33"/>
      <c r="AH18" s="34"/>
      <c r="AI18" s="1"/>
      <c r="AJ18" s="1"/>
      <c r="AK18" s="1"/>
      <c r="AL18" s="1"/>
      <c r="AM18" s="1"/>
      <c r="AN18" s="1"/>
      <c r="AO18" s="1"/>
      <c r="AP18" s="1"/>
      <c r="AQ18" s="1"/>
      <c r="AR18" s="1"/>
      <c r="AS18" s="1"/>
      <c r="AT18" s="1"/>
      <c r="AU18" s="1"/>
      <c r="AV18" s="1"/>
      <c r="AW18" s="1"/>
    </row>
    <row r="19" spans="1:49" ht="15.5" thickBot="1" x14ac:dyDescent="0.9">
      <c r="A19" s="1"/>
      <c r="B19" s="1"/>
      <c r="C19" s="1"/>
      <c r="D19" s="1"/>
      <c r="E19" s="1"/>
      <c r="F19" s="1"/>
      <c r="G19" s="1"/>
      <c r="H19" s="1"/>
      <c r="I19" s="1"/>
      <c r="J19" s="1"/>
      <c r="K19" s="1"/>
      <c r="L19" s="1"/>
      <c r="M19" s="1"/>
      <c r="N19" s="1"/>
      <c r="O19" s="1"/>
      <c r="P19" s="32"/>
      <c r="Q19" s="33"/>
      <c r="R19" s="33"/>
      <c r="S19" s="33"/>
      <c r="T19" s="33"/>
      <c r="U19" s="33"/>
      <c r="V19" s="33"/>
      <c r="W19" s="33"/>
      <c r="X19" s="33"/>
      <c r="Y19" s="33"/>
      <c r="Z19" s="33"/>
      <c r="AA19" s="33"/>
      <c r="AB19" s="33"/>
      <c r="AC19" s="33"/>
      <c r="AD19" s="33"/>
      <c r="AE19" s="33"/>
      <c r="AF19" s="33"/>
      <c r="AG19" s="33"/>
      <c r="AH19" s="34"/>
      <c r="AI19" s="1"/>
      <c r="AJ19" s="1"/>
      <c r="AK19" s="1"/>
      <c r="AL19" s="1"/>
      <c r="AM19" s="1"/>
      <c r="AN19" s="1"/>
      <c r="AO19" s="1"/>
      <c r="AP19" s="1"/>
      <c r="AQ19" s="1"/>
      <c r="AR19" s="1"/>
      <c r="AS19" s="1"/>
      <c r="AT19" s="1"/>
      <c r="AU19" s="1"/>
      <c r="AV19" s="1"/>
      <c r="AW19" s="1"/>
    </row>
    <row r="20" spans="1:49" ht="15.5" thickBot="1" x14ac:dyDescent="0.9">
      <c r="A20" s="1"/>
      <c r="B20" s="1"/>
      <c r="C20" s="1"/>
      <c r="D20" s="1"/>
      <c r="E20" s="1"/>
      <c r="F20" s="1"/>
      <c r="G20" s="1"/>
      <c r="H20" s="1"/>
      <c r="I20" s="1"/>
      <c r="J20" s="1"/>
      <c r="K20" s="1"/>
      <c r="L20" s="1"/>
      <c r="M20" s="1"/>
      <c r="N20" s="1"/>
      <c r="O20" s="1"/>
      <c r="P20" s="32"/>
      <c r="Q20" s="33"/>
      <c r="R20" s="277" t="s">
        <v>92</v>
      </c>
      <c r="S20" s="277"/>
      <c r="T20" s="33" t="s">
        <v>213</v>
      </c>
      <c r="U20" s="33"/>
      <c r="V20" s="33"/>
      <c r="W20" s="311" t="s">
        <v>93</v>
      </c>
      <c r="X20" s="312"/>
      <c r="Y20" s="312"/>
      <c r="Z20" s="313"/>
      <c r="AA20" s="51" t="s">
        <v>94</v>
      </c>
      <c r="AB20" s="33"/>
      <c r="AC20" s="33"/>
      <c r="AD20" s="33"/>
      <c r="AE20" s="33"/>
      <c r="AF20" s="33"/>
      <c r="AG20" s="33"/>
      <c r="AH20" s="34"/>
      <c r="AI20" s="1"/>
      <c r="AJ20" s="1"/>
      <c r="AK20" s="1"/>
      <c r="AL20" s="1"/>
      <c r="AM20" s="1"/>
      <c r="AN20" s="1"/>
      <c r="AO20" s="1"/>
      <c r="AP20" s="1"/>
      <c r="AQ20" s="1"/>
      <c r="AR20" s="1"/>
      <c r="AS20" s="1"/>
      <c r="AT20" s="1"/>
      <c r="AU20" s="1"/>
      <c r="AV20" s="1"/>
      <c r="AW20" s="1"/>
    </row>
    <row r="21" spans="1:49" ht="15.5" thickBot="1" x14ac:dyDescent="0.9">
      <c r="A21" s="1"/>
      <c r="B21" s="1"/>
      <c r="C21" s="1"/>
      <c r="D21" s="1"/>
      <c r="E21" s="1"/>
      <c r="F21" s="1"/>
      <c r="G21" s="1"/>
      <c r="H21" s="1"/>
      <c r="I21" s="1"/>
      <c r="J21" s="1"/>
      <c r="K21" s="1"/>
      <c r="L21" s="1"/>
      <c r="M21" s="1"/>
      <c r="N21" s="1"/>
      <c r="O21" s="1"/>
      <c r="P21" s="32"/>
      <c r="Q21" s="33"/>
      <c r="R21" s="277" t="s">
        <v>95</v>
      </c>
      <c r="S21" s="277"/>
      <c r="T21" s="33" t="s">
        <v>214</v>
      </c>
      <c r="U21" s="33"/>
      <c r="V21" s="33"/>
      <c r="W21" s="314" t="s">
        <v>96</v>
      </c>
      <c r="X21" s="315"/>
      <c r="Y21" s="315"/>
      <c r="Z21" s="316"/>
      <c r="AA21" s="52">
        <v>2</v>
      </c>
      <c r="AB21" s="33"/>
      <c r="AC21" s="33"/>
      <c r="AD21" s="33"/>
      <c r="AE21" s="33"/>
      <c r="AF21" s="33"/>
      <c r="AG21" s="33"/>
      <c r="AH21" s="34"/>
      <c r="AI21" s="1"/>
      <c r="AJ21" s="1"/>
      <c r="AK21" s="1"/>
      <c r="AL21" s="1"/>
      <c r="AM21" s="1"/>
      <c r="AN21" s="1"/>
      <c r="AO21" s="1"/>
      <c r="AP21" s="1"/>
      <c r="AQ21" s="1"/>
      <c r="AR21" s="1"/>
      <c r="AS21" s="1"/>
      <c r="AT21" s="1"/>
      <c r="AU21" s="1"/>
      <c r="AV21" s="1"/>
      <c r="AW21" s="1"/>
    </row>
    <row r="22" spans="1:49" x14ac:dyDescent="0.75">
      <c r="A22" s="1"/>
      <c r="B22" s="1"/>
      <c r="C22" s="1"/>
      <c r="D22" s="1"/>
      <c r="E22" s="1"/>
      <c r="F22" s="1"/>
      <c r="G22" s="1"/>
      <c r="H22" s="1"/>
      <c r="I22" s="1"/>
      <c r="J22" s="1"/>
      <c r="K22" s="1"/>
      <c r="L22" s="1"/>
      <c r="M22" s="1"/>
      <c r="N22" s="1"/>
      <c r="O22" s="1"/>
      <c r="P22" s="32"/>
      <c r="Q22" s="33"/>
      <c r="R22" s="33"/>
      <c r="S22" s="33"/>
      <c r="T22" s="33"/>
      <c r="U22" s="33"/>
      <c r="V22" s="33"/>
      <c r="W22" s="33"/>
      <c r="X22" s="33"/>
      <c r="Y22" s="33"/>
      <c r="Z22" s="33"/>
      <c r="AA22" s="33"/>
      <c r="AB22" s="33"/>
      <c r="AC22" s="33"/>
      <c r="AD22" s="33"/>
      <c r="AE22" s="33"/>
      <c r="AF22" s="33"/>
      <c r="AG22" s="33"/>
      <c r="AH22" s="34"/>
      <c r="AI22" s="1"/>
      <c r="AJ22" s="1"/>
      <c r="AK22" s="1"/>
      <c r="AL22" s="1"/>
      <c r="AM22" s="1"/>
      <c r="AN22" s="1"/>
      <c r="AO22" s="1"/>
      <c r="AP22" s="1"/>
      <c r="AQ22" s="1"/>
      <c r="AR22" s="1"/>
      <c r="AS22" s="1"/>
      <c r="AT22" s="1"/>
      <c r="AU22" s="1"/>
      <c r="AV22" s="1"/>
      <c r="AW22" s="1"/>
    </row>
    <row r="23" spans="1:49" ht="15.5" thickBot="1" x14ac:dyDescent="0.9">
      <c r="A23" s="1"/>
      <c r="B23" s="1"/>
      <c r="C23" s="1"/>
      <c r="D23" s="1"/>
      <c r="E23" s="1"/>
      <c r="F23" s="1"/>
      <c r="G23" s="1"/>
      <c r="H23" s="1"/>
      <c r="I23" s="1"/>
      <c r="J23" s="1"/>
      <c r="K23" s="1"/>
      <c r="L23" s="1"/>
      <c r="M23" s="1"/>
      <c r="N23" s="1"/>
      <c r="O23" s="1"/>
      <c r="P23" s="32"/>
      <c r="Q23" s="33"/>
      <c r="R23" s="33" t="s">
        <v>97</v>
      </c>
      <c r="S23" s="33"/>
      <c r="T23" s="33"/>
      <c r="U23" s="33"/>
      <c r="V23" s="33"/>
      <c r="W23" s="33"/>
      <c r="X23" s="33"/>
      <c r="Y23" s="33"/>
      <c r="Z23" s="33"/>
      <c r="AA23" s="33"/>
      <c r="AB23" s="33"/>
      <c r="AC23" s="33"/>
      <c r="AD23" s="33"/>
      <c r="AE23" s="33"/>
      <c r="AF23" s="33"/>
      <c r="AG23" s="33"/>
      <c r="AH23" s="34"/>
      <c r="AI23" s="1"/>
      <c r="AJ23" s="1"/>
      <c r="AK23" s="1"/>
      <c r="AL23" s="1"/>
      <c r="AM23" s="1"/>
      <c r="AN23" s="1"/>
      <c r="AO23" s="1"/>
      <c r="AP23" s="1"/>
      <c r="AQ23" s="1"/>
      <c r="AR23" s="1"/>
      <c r="AS23" s="1"/>
      <c r="AT23" s="1"/>
      <c r="AU23" s="1"/>
      <c r="AV23" s="1"/>
      <c r="AW23" s="1"/>
    </row>
    <row r="24" spans="1:49" x14ac:dyDescent="0.75">
      <c r="A24" s="1"/>
      <c r="B24" s="1"/>
      <c r="C24" s="1"/>
      <c r="D24" s="1"/>
      <c r="E24" s="1"/>
      <c r="F24" s="1"/>
      <c r="G24" s="1"/>
      <c r="H24" s="1"/>
      <c r="I24" s="1"/>
      <c r="J24" s="1"/>
      <c r="K24" s="1"/>
      <c r="L24" s="1"/>
      <c r="M24" s="1"/>
      <c r="N24" s="1"/>
      <c r="O24" s="1"/>
      <c r="P24" s="32"/>
      <c r="Q24" s="33"/>
      <c r="R24" s="47">
        <v>1</v>
      </c>
      <c r="S24" s="33" t="s">
        <v>114</v>
      </c>
      <c r="T24" s="54" t="s">
        <v>115</v>
      </c>
      <c r="U24" s="62">
        <v>2.15</v>
      </c>
      <c r="V24" s="33" t="s">
        <v>116</v>
      </c>
      <c r="W24" s="33" t="s">
        <v>102</v>
      </c>
      <c r="X24" s="62">
        <v>156.19999999999999</v>
      </c>
      <c r="Y24" s="33" t="s">
        <v>24</v>
      </c>
      <c r="Z24" s="33"/>
      <c r="AA24" s="33"/>
      <c r="AB24" s="33"/>
      <c r="AC24" s="33"/>
      <c r="AD24" s="33"/>
      <c r="AE24" s="33"/>
      <c r="AF24" s="33"/>
      <c r="AG24" s="33"/>
      <c r="AH24" s="34"/>
      <c r="AI24" s="1"/>
      <c r="AJ24" s="1"/>
      <c r="AK24" s="1"/>
      <c r="AL24" s="1"/>
      <c r="AM24" s="1"/>
      <c r="AN24" s="1"/>
      <c r="AO24" s="1"/>
      <c r="AP24" s="1"/>
      <c r="AQ24" s="1"/>
      <c r="AR24" s="1"/>
      <c r="AS24" s="1"/>
      <c r="AT24" s="1"/>
      <c r="AU24" s="1"/>
      <c r="AV24" s="1"/>
      <c r="AW24" s="1"/>
    </row>
    <row r="25" spans="1:49" x14ac:dyDescent="0.75">
      <c r="A25" s="1"/>
      <c r="B25" s="1"/>
      <c r="C25" s="1"/>
      <c r="D25" s="1"/>
      <c r="E25" s="1"/>
      <c r="F25" s="1"/>
      <c r="G25" s="1"/>
      <c r="H25" s="1"/>
      <c r="I25" s="1"/>
      <c r="J25" s="1"/>
      <c r="K25" s="1"/>
      <c r="L25" s="1"/>
      <c r="M25" s="1"/>
      <c r="N25" s="1"/>
      <c r="O25" s="1"/>
      <c r="P25" s="32"/>
      <c r="Q25" s="33"/>
      <c r="R25" s="47">
        <v>2</v>
      </c>
      <c r="S25" s="33" t="s">
        <v>117</v>
      </c>
      <c r="T25" s="54" t="s">
        <v>115</v>
      </c>
      <c r="U25" s="63">
        <v>2.15</v>
      </c>
      <c r="V25" s="33" t="s">
        <v>118</v>
      </c>
      <c r="W25" s="33" t="s">
        <v>102</v>
      </c>
      <c r="X25" s="63">
        <v>156.19999999999999</v>
      </c>
      <c r="Y25" s="33" t="s">
        <v>24</v>
      </c>
      <c r="Z25" s="33"/>
      <c r="AA25" s="33"/>
      <c r="AB25" s="33"/>
      <c r="AC25" s="33"/>
      <c r="AD25" s="33"/>
      <c r="AE25" s="33"/>
      <c r="AF25" s="33"/>
      <c r="AG25" s="33"/>
      <c r="AH25" s="34"/>
      <c r="AI25" s="1"/>
      <c r="AJ25" s="1"/>
      <c r="AK25" s="1"/>
      <c r="AL25" s="1"/>
      <c r="AM25" s="1"/>
      <c r="AN25" s="1"/>
      <c r="AO25" s="1"/>
      <c r="AP25" s="1"/>
      <c r="AQ25" s="1"/>
      <c r="AR25" s="1"/>
      <c r="AS25" s="1"/>
      <c r="AT25" s="1"/>
      <c r="AU25" s="1"/>
      <c r="AV25" s="1"/>
      <c r="AW25" s="1"/>
    </row>
    <row r="26" spans="1:49" x14ac:dyDescent="0.75">
      <c r="A26" s="1"/>
      <c r="B26" s="1"/>
      <c r="C26" s="1"/>
      <c r="D26" s="1"/>
      <c r="E26" s="1"/>
      <c r="F26" s="1"/>
      <c r="G26" s="1"/>
      <c r="H26" s="1"/>
      <c r="I26" s="1"/>
      <c r="J26" s="1"/>
      <c r="K26" s="1"/>
      <c r="L26" s="1"/>
      <c r="M26" s="1"/>
      <c r="N26" s="1"/>
      <c r="O26" s="1"/>
      <c r="P26" s="32"/>
      <c r="Q26" s="33"/>
      <c r="R26" s="47">
        <v>3</v>
      </c>
      <c r="S26" s="33" t="s">
        <v>119</v>
      </c>
      <c r="T26" s="54" t="s">
        <v>115</v>
      </c>
      <c r="U26" s="63">
        <f>IF(AA20=AA8,2,0.5)</f>
        <v>2</v>
      </c>
      <c r="V26" s="33" t="s">
        <v>118</v>
      </c>
      <c r="W26" s="33" t="s">
        <v>102</v>
      </c>
      <c r="X26" s="63">
        <v>180</v>
      </c>
      <c r="Y26" s="33" t="s">
        <v>24</v>
      </c>
      <c r="Z26" s="33"/>
      <c r="AA26" s="33"/>
      <c r="AB26" s="33"/>
      <c r="AC26" s="33"/>
      <c r="AD26" s="33"/>
      <c r="AE26" s="33"/>
      <c r="AF26" s="33"/>
      <c r="AG26" s="33"/>
      <c r="AH26" s="34"/>
      <c r="AI26" s="1"/>
      <c r="AJ26" s="1"/>
      <c r="AK26" s="1"/>
      <c r="AL26" s="1"/>
      <c r="AM26" s="1"/>
      <c r="AN26" s="1"/>
      <c r="AO26" s="1"/>
      <c r="AP26" s="1"/>
      <c r="AQ26" s="1"/>
      <c r="AR26" s="1"/>
      <c r="AS26" s="1"/>
      <c r="AT26" s="1"/>
      <c r="AU26" s="1"/>
      <c r="AV26" s="1"/>
      <c r="AW26" s="1"/>
    </row>
    <row r="27" spans="1:49" ht="15.5" thickBot="1" x14ac:dyDescent="0.9">
      <c r="A27" s="1"/>
      <c r="B27" s="1"/>
      <c r="C27" s="1"/>
      <c r="D27" s="1"/>
      <c r="E27" s="1"/>
      <c r="F27" s="1"/>
      <c r="G27" s="1"/>
      <c r="H27" s="1"/>
      <c r="I27" s="1"/>
      <c r="J27" s="1"/>
      <c r="K27" s="1"/>
      <c r="L27" s="1"/>
      <c r="M27" s="1"/>
      <c r="N27" s="1"/>
      <c r="O27" s="1"/>
      <c r="P27" s="32"/>
      <c r="Q27" s="33"/>
      <c r="R27" s="47">
        <v>4</v>
      </c>
      <c r="S27" s="33" t="s">
        <v>110</v>
      </c>
      <c r="T27" s="54" t="s">
        <v>115</v>
      </c>
      <c r="U27" s="64"/>
      <c r="V27" s="33" t="s">
        <v>120</v>
      </c>
      <c r="W27" s="33" t="s">
        <v>102</v>
      </c>
      <c r="X27" s="64"/>
      <c r="Y27" s="33" t="s">
        <v>24</v>
      </c>
      <c r="Z27" s="33"/>
      <c r="AA27" s="33"/>
      <c r="AB27" s="33"/>
      <c r="AC27" s="33"/>
      <c r="AD27" s="33"/>
      <c r="AE27" s="33"/>
      <c r="AF27" s="33"/>
      <c r="AG27" s="33"/>
      <c r="AH27" s="34"/>
      <c r="AI27" s="1"/>
      <c r="AJ27" s="1"/>
      <c r="AK27" s="1"/>
      <c r="AL27" s="1"/>
      <c r="AM27" s="1"/>
      <c r="AN27" s="1"/>
      <c r="AO27" s="1"/>
      <c r="AP27" s="1"/>
      <c r="AQ27" s="1"/>
      <c r="AR27" s="1"/>
      <c r="AS27" s="1"/>
      <c r="AT27" s="1"/>
      <c r="AU27" s="1"/>
      <c r="AV27" s="1"/>
      <c r="AW27" s="1"/>
    </row>
    <row r="28" spans="1:49" x14ac:dyDescent="0.75">
      <c r="A28" s="1"/>
      <c r="B28" s="1"/>
      <c r="C28" s="1"/>
      <c r="D28" s="1"/>
      <c r="E28" s="1"/>
      <c r="F28" s="1"/>
      <c r="G28" s="1"/>
      <c r="H28" s="1"/>
      <c r="I28" s="1"/>
      <c r="J28" s="1"/>
      <c r="K28" s="1"/>
      <c r="L28" s="1"/>
      <c r="M28" s="1"/>
      <c r="N28" s="1"/>
      <c r="O28" s="1"/>
      <c r="P28" s="32"/>
      <c r="Q28" s="33"/>
      <c r="R28" s="33"/>
      <c r="S28" s="33"/>
      <c r="T28" s="33"/>
      <c r="U28" s="33"/>
      <c r="V28" s="33"/>
      <c r="W28" s="33"/>
      <c r="X28" s="33"/>
      <c r="Y28" s="33"/>
      <c r="Z28" s="33"/>
      <c r="AA28" s="33"/>
      <c r="AB28" s="33"/>
      <c r="AC28" s="33"/>
      <c r="AD28" s="33"/>
      <c r="AE28" s="33"/>
      <c r="AF28" s="33"/>
      <c r="AG28" s="33"/>
      <c r="AH28" s="34"/>
      <c r="AI28" s="1"/>
      <c r="AJ28" s="1"/>
      <c r="AK28" s="1"/>
      <c r="AL28" s="1"/>
      <c r="AM28" s="1"/>
      <c r="AN28" s="1"/>
      <c r="AO28" s="1"/>
      <c r="AP28" s="1"/>
      <c r="AQ28" s="1"/>
      <c r="AR28" s="1"/>
      <c r="AS28" s="1"/>
      <c r="AT28" s="1"/>
      <c r="AU28" s="1"/>
      <c r="AV28" s="1"/>
      <c r="AW28" s="1"/>
    </row>
    <row r="29" spans="1:49" ht="15.5" thickBot="1" x14ac:dyDescent="0.9">
      <c r="A29" s="1"/>
      <c r="B29" s="1"/>
      <c r="C29" s="1"/>
      <c r="D29" s="1"/>
      <c r="E29" s="1"/>
      <c r="F29" s="1"/>
      <c r="G29" s="1"/>
      <c r="H29" s="1"/>
      <c r="I29" s="1"/>
      <c r="J29" s="1"/>
      <c r="K29" s="1"/>
      <c r="L29" s="1"/>
      <c r="M29" s="1"/>
      <c r="N29" s="1"/>
      <c r="O29" s="1"/>
      <c r="P29" s="35"/>
      <c r="Q29" s="36"/>
      <c r="R29" s="36"/>
      <c r="S29" s="36"/>
      <c r="T29" s="36"/>
      <c r="U29" s="36"/>
      <c r="V29" s="36"/>
      <c r="W29" s="36"/>
      <c r="X29" s="36"/>
      <c r="Y29" s="36"/>
      <c r="Z29" s="36"/>
      <c r="AA29" s="36"/>
      <c r="AB29" s="36"/>
      <c r="AC29" s="36"/>
      <c r="AD29" s="36"/>
      <c r="AE29" s="36"/>
      <c r="AF29" s="36"/>
      <c r="AG29" s="36"/>
      <c r="AH29" s="37"/>
      <c r="AI29" s="1"/>
      <c r="AJ29" s="1"/>
      <c r="AK29" s="1"/>
      <c r="AL29" s="1"/>
      <c r="AM29" s="1"/>
      <c r="AN29" s="1"/>
      <c r="AO29" s="1"/>
      <c r="AP29" s="1"/>
      <c r="AQ29" s="1"/>
      <c r="AR29" s="1"/>
      <c r="AS29" s="1"/>
      <c r="AT29" s="1"/>
      <c r="AU29" s="1"/>
      <c r="AV29" s="1"/>
      <c r="AW29" s="1"/>
    </row>
    <row r="30" spans="1:49" x14ac:dyDescent="0.7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row>
    <row r="31" spans="1:49" ht="15.5" thickBot="1" x14ac:dyDescent="0.9">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row>
    <row r="32" spans="1:49" x14ac:dyDescent="0.75">
      <c r="A32" s="1"/>
      <c r="B32" s="1"/>
      <c r="C32" s="1"/>
      <c r="D32" s="1"/>
      <c r="E32" s="1"/>
      <c r="F32" s="1"/>
      <c r="G32" s="1"/>
      <c r="H32" s="1"/>
      <c r="I32" s="1"/>
      <c r="J32" s="1"/>
      <c r="K32" s="1"/>
      <c r="L32" s="1"/>
      <c r="M32" s="1"/>
      <c r="N32" s="1"/>
      <c r="O32" s="1"/>
      <c r="P32" s="38"/>
      <c r="Q32" s="39"/>
      <c r="R32" s="39"/>
      <c r="S32" s="39"/>
      <c r="T32" s="39"/>
      <c r="U32" s="39"/>
      <c r="V32" s="39"/>
      <c r="W32" s="39"/>
      <c r="X32" s="39"/>
      <c r="Y32" s="39"/>
      <c r="Z32" s="39"/>
      <c r="AA32" s="39"/>
      <c r="AB32" s="39"/>
      <c r="AC32" s="39"/>
      <c r="AD32" s="39"/>
      <c r="AE32" s="39"/>
      <c r="AF32" s="39"/>
      <c r="AG32" s="39"/>
      <c r="AH32" s="40"/>
      <c r="AI32" s="1"/>
      <c r="AJ32" s="1"/>
      <c r="AK32" s="1"/>
      <c r="AL32" s="1"/>
      <c r="AM32" s="1"/>
      <c r="AN32" s="1"/>
      <c r="AO32" s="1"/>
      <c r="AP32" s="1"/>
      <c r="AQ32" s="1"/>
      <c r="AR32" s="1"/>
      <c r="AS32" s="1"/>
      <c r="AT32" s="1"/>
      <c r="AU32" s="1"/>
      <c r="AV32" s="1"/>
      <c r="AW32" s="1"/>
    </row>
    <row r="33" spans="1:49" ht="15.5" thickBot="1" x14ac:dyDescent="0.9">
      <c r="A33" s="1"/>
      <c r="B33" s="1"/>
      <c r="C33" s="1"/>
      <c r="D33" s="1"/>
      <c r="E33" s="1"/>
      <c r="F33" s="1"/>
      <c r="G33" s="1"/>
      <c r="H33" s="1"/>
      <c r="I33" s="1"/>
      <c r="J33" s="1"/>
      <c r="K33" s="1"/>
      <c r="L33" s="1"/>
      <c r="M33" s="1"/>
      <c r="N33" s="1"/>
      <c r="O33" s="1"/>
      <c r="P33" s="41"/>
      <c r="Q33" s="42"/>
      <c r="R33" s="42"/>
      <c r="S33" s="42"/>
      <c r="T33" s="42"/>
      <c r="U33" s="42"/>
      <c r="V33" s="42"/>
      <c r="W33" s="42"/>
      <c r="X33" s="42"/>
      <c r="Y33" s="42"/>
      <c r="Z33" s="42"/>
      <c r="AA33" s="42"/>
      <c r="AB33" s="42"/>
      <c r="AC33" s="42"/>
      <c r="AD33" s="42"/>
      <c r="AE33" s="42"/>
      <c r="AF33" s="42"/>
      <c r="AG33" s="42"/>
      <c r="AH33" s="43"/>
      <c r="AI33" s="1"/>
      <c r="AJ33" s="1"/>
      <c r="AK33" s="1"/>
      <c r="AL33" s="1"/>
      <c r="AM33" s="1"/>
      <c r="AN33" s="1"/>
      <c r="AO33" s="1"/>
      <c r="AP33" s="1"/>
      <c r="AQ33" s="1"/>
      <c r="AR33" s="1"/>
      <c r="AS33" s="1"/>
      <c r="AT33" s="1"/>
      <c r="AU33" s="1"/>
      <c r="AV33" s="1"/>
      <c r="AW33" s="1"/>
    </row>
    <row r="34" spans="1:49" ht="31" thickBot="1" x14ac:dyDescent="0.9">
      <c r="A34" s="1"/>
      <c r="B34" s="1"/>
      <c r="C34" s="1"/>
      <c r="D34" s="1"/>
      <c r="E34" s="1"/>
      <c r="F34" s="1"/>
      <c r="G34" s="1"/>
      <c r="H34" s="1"/>
      <c r="I34" s="1"/>
      <c r="J34" s="1"/>
      <c r="K34" s="1"/>
      <c r="L34" s="1"/>
      <c r="M34" s="1"/>
      <c r="N34" s="1"/>
      <c r="O34" s="1"/>
      <c r="P34" s="41"/>
      <c r="Q34" s="42"/>
      <c r="R34" s="263" t="s">
        <v>121</v>
      </c>
      <c r="S34" s="264"/>
      <c r="T34" s="264"/>
      <c r="U34" s="264"/>
      <c r="V34" s="264"/>
      <c r="W34" s="264"/>
      <c r="X34" s="264"/>
      <c r="Y34" s="264"/>
      <c r="Z34" s="264"/>
      <c r="AA34" s="264"/>
      <c r="AB34" s="264"/>
      <c r="AC34" s="264"/>
      <c r="AD34" s="264"/>
      <c r="AE34" s="264"/>
      <c r="AF34" s="265"/>
      <c r="AG34" s="42"/>
      <c r="AH34" s="43"/>
      <c r="AI34" s="1"/>
      <c r="AJ34" s="1"/>
      <c r="AK34" s="1"/>
      <c r="AL34" s="1"/>
      <c r="AM34" s="1"/>
      <c r="AN34" s="1"/>
      <c r="AO34" s="1"/>
      <c r="AP34" s="1"/>
      <c r="AQ34" s="1"/>
      <c r="AR34" s="1"/>
      <c r="AS34" s="1"/>
      <c r="AT34" s="1"/>
      <c r="AU34" s="1"/>
      <c r="AV34" s="1"/>
      <c r="AW34" s="1"/>
    </row>
    <row r="35" spans="1:49" ht="15.5" thickBot="1" x14ac:dyDescent="0.9">
      <c r="A35" s="1"/>
      <c r="B35" s="1"/>
      <c r="C35" s="1"/>
      <c r="D35" s="1"/>
      <c r="E35" s="1"/>
      <c r="F35" s="1"/>
      <c r="G35" s="1"/>
      <c r="H35" s="1"/>
      <c r="I35" s="1"/>
      <c r="J35" s="1"/>
      <c r="K35" s="1"/>
      <c r="L35" s="1"/>
      <c r="M35" s="1"/>
      <c r="N35" s="1"/>
      <c r="O35" s="1"/>
      <c r="P35" s="41"/>
      <c r="Q35" s="42"/>
      <c r="R35" s="42"/>
      <c r="S35" s="42"/>
      <c r="T35" s="42"/>
      <c r="U35" s="42"/>
      <c r="V35" s="42"/>
      <c r="W35" s="42"/>
      <c r="X35" s="42"/>
      <c r="Y35" s="42"/>
      <c r="Z35" s="42"/>
      <c r="AA35" s="42"/>
      <c r="AB35" s="42"/>
      <c r="AC35" s="42"/>
      <c r="AD35" s="42"/>
      <c r="AE35" s="42"/>
      <c r="AF35" s="42"/>
      <c r="AG35" s="42"/>
      <c r="AH35" s="43"/>
      <c r="AI35" s="1"/>
      <c r="AJ35" s="1"/>
      <c r="AK35" s="1"/>
      <c r="AL35" s="1"/>
      <c r="AM35" s="1"/>
      <c r="AN35" s="1"/>
      <c r="AO35" s="1"/>
      <c r="AP35" s="1"/>
      <c r="AQ35" s="1"/>
      <c r="AR35" s="1"/>
      <c r="AS35" s="1"/>
      <c r="AT35" s="1"/>
      <c r="AU35" s="1"/>
      <c r="AV35" s="1"/>
      <c r="AW35" s="1"/>
    </row>
    <row r="36" spans="1:49" ht="15.5" thickBot="1" x14ac:dyDescent="0.9">
      <c r="A36" s="1"/>
      <c r="B36" s="1"/>
      <c r="C36" s="1"/>
      <c r="D36" s="1"/>
      <c r="E36" s="1"/>
      <c r="F36" s="1"/>
      <c r="G36" s="1"/>
      <c r="H36" s="1"/>
      <c r="I36" s="1"/>
      <c r="J36" s="1"/>
      <c r="K36" s="1"/>
      <c r="L36" s="1"/>
      <c r="M36" s="1"/>
      <c r="N36" s="1"/>
      <c r="O36" s="1"/>
      <c r="P36" s="41"/>
      <c r="Q36" s="42"/>
      <c r="R36" s="283" t="s">
        <v>122</v>
      </c>
      <c r="S36" s="283"/>
      <c r="T36" s="309" t="str">
        <f>Inputs!V16&amp;" MHz"</f>
        <v>437.305 MHz</v>
      </c>
      <c r="U36" s="309"/>
      <c r="V36" s="65" t="s">
        <v>123</v>
      </c>
      <c r="W36" s="66">
        <f>INDEX(AA12:AA15,MATCH(AA9,R12:R15,0),1)</f>
        <v>15.7</v>
      </c>
      <c r="X36" s="42" t="s">
        <v>118</v>
      </c>
      <c r="Y36" s="303" t="s">
        <v>93</v>
      </c>
      <c r="Z36" s="304"/>
      <c r="AA36" s="304"/>
      <c r="AB36" s="305"/>
      <c r="AC36" s="67" t="str">
        <f>AA8</f>
        <v>RHCP</v>
      </c>
      <c r="AD36" s="42"/>
      <c r="AE36" s="42"/>
      <c r="AF36" s="42"/>
      <c r="AG36" s="42"/>
      <c r="AH36" s="43"/>
      <c r="AI36" s="1"/>
      <c r="AJ36" s="1"/>
      <c r="AK36" s="1"/>
      <c r="AL36" s="1"/>
      <c r="AM36" s="1"/>
      <c r="AN36" s="1"/>
      <c r="AO36" s="1"/>
      <c r="AP36" s="1"/>
      <c r="AQ36" s="1"/>
      <c r="AR36" s="1"/>
      <c r="AS36" s="1"/>
      <c r="AT36" s="1"/>
      <c r="AU36" s="1"/>
      <c r="AV36" s="1"/>
      <c r="AW36" s="1"/>
    </row>
    <row r="37" spans="1:49" ht="15.5" thickBot="1" x14ac:dyDescent="0.9">
      <c r="A37" s="1"/>
      <c r="B37" s="1"/>
      <c r="C37" s="1"/>
      <c r="D37" s="1"/>
      <c r="E37" s="1"/>
      <c r="F37" s="1"/>
      <c r="G37" s="1"/>
      <c r="H37" s="1"/>
      <c r="I37" s="1"/>
      <c r="J37" s="1"/>
      <c r="K37" s="1"/>
      <c r="L37" s="1"/>
      <c r="M37" s="1"/>
      <c r="N37" s="1"/>
      <c r="O37" s="1"/>
      <c r="P37" s="41"/>
      <c r="Q37" s="42"/>
      <c r="R37" s="283" t="s">
        <v>95</v>
      </c>
      <c r="S37" s="283"/>
      <c r="T37" s="309" t="str">
        <f>ROUND(Inputs!V9/(Inputs!V16*1000000),4)&amp;" m"</f>
        <v>0.6855 m</v>
      </c>
      <c r="U37" s="309"/>
      <c r="V37" s="65" t="s">
        <v>124</v>
      </c>
      <c r="W37" s="66">
        <f>INDEX(AC12:AC15,MATCH(AA9,R12:R15,0),1)</f>
        <v>26.7</v>
      </c>
      <c r="X37" s="42" t="s">
        <v>24</v>
      </c>
      <c r="Y37" s="306" t="s">
        <v>96</v>
      </c>
      <c r="Z37" s="307"/>
      <c r="AA37" s="307"/>
      <c r="AB37" s="308"/>
      <c r="AC37" s="68" t="str">
        <f>INDEX(S12:S15,MATCH(AA9,R12:R15,0),1)</f>
        <v>Parabolic Reflector</v>
      </c>
      <c r="AD37" s="42"/>
      <c r="AE37" s="42"/>
      <c r="AF37" s="42"/>
      <c r="AG37" s="42"/>
      <c r="AH37" s="43"/>
      <c r="AI37" s="1"/>
      <c r="AJ37" s="1"/>
      <c r="AK37" s="1"/>
      <c r="AL37" s="1"/>
      <c r="AM37" s="1"/>
      <c r="AN37" s="1"/>
      <c r="AO37" s="1"/>
      <c r="AP37" s="1"/>
      <c r="AQ37" s="1"/>
      <c r="AR37" s="1"/>
      <c r="AS37" s="1"/>
      <c r="AT37" s="1"/>
      <c r="AU37" s="1"/>
      <c r="AV37" s="1"/>
      <c r="AW37" s="1"/>
    </row>
    <row r="38" spans="1:49" x14ac:dyDescent="0.75">
      <c r="A38" s="1"/>
      <c r="B38" s="1"/>
      <c r="C38" s="1"/>
      <c r="D38" s="1"/>
      <c r="E38" s="1"/>
      <c r="F38" s="1"/>
      <c r="G38" s="1"/>
      <c r="H38" s="1"/>
      <c r="I38" s="1"/>
      <c r="J38" s="1"/>
      <c r="K38" s="1"/>
      <c r="L38" s="1"/>
      <c r="M38" s="1"/>
      <c r="N38" s="1"/>
      <c r="O38" s="1"/>
      <c r="P38" s="41"/>
      <c r="Q38" s="42"/>
      <c r="R38" s="42"/>
      <c r="S38" s="42"/>
      <c r="T38" s="42"/>
      <c r="U38" s="42"/>
      <c r="V38" s="42"/>
      <c r="W38" s="42"/>
      <c r="X38" s="42"/>
      <c r="Y38" s="42"/>
      <c r="Z38" s="42"/>
      <c r="AA38" s="42"/>
      <c r="AB38" s="42"/>
      <c r="AC38" s="42"/>
      <c r="AD38" s="42"/>
      <c r="AE38" s="42"/>
      <c r="AF38" s="42"/>
      <c r="AG38" s="42"/>
      <c r="AH38" s="43"/>
      <c r="AI38" s="1"/>
      <c r="AJ38" s="1"/>
      <c r="AK38" s="1"/>
      <c r="AL38" s="1"/>
      <c r="AM38" s="1"/>
      <c r="AN38" s="1"/>
      <c r="AO38" s="1"/>
      <c r="AP38" s="1"/>
      <c r="AQ38" s="1"/>
      <c r="AR38" s="1"/>
      <c r="AS38" s="1"/>
      <c r="AT38" s="1"/>
      <c r="AU38" s="1"/>
      <c r="AV38" s="1"/>
      <c r="AW38" s="1"/>
    </row>
    <row r="39" spans="1:49" ht="15.5" thickBot="1" x14ac:dyDescent="0.9">
      <c r="A39" s="1"/>
      <c r="B39" s="1"/>
      <c r="C39" s="1"/>
      <c r="D39" s="1"/>
      <c r="E39" s="1"/>
      <c r="F39" s="1"/>
      <c r="G39" s="1"/>
      <c r="H39" s="1"/>
      <c r="I39" s="1"/>
      <c r="J39" s="1"/>
      <c r="K39" s="1"/>
      <c r="L39" s="1"/>
      <c r="M39" s="1"/>
      <c r="N39" s="1"/>
      <c r="O39" s="1"/>
      <c r="P39" s="41"/>
      <c r="Q39" s="42"/>
      <c r="R39" s="65"/>
      <c r="S39" s="42"/>
      <c r="T39" s="42"/>
      <c r="U39" s="42"/>
      <c r="V39" s="42"/>
      <c r="W39" s="42"/>
      <c r="X39" s="42"/>
      <c r="Y39" s="42"/>
      <c r="Z39" s="42"/>
      <c r="AA39" s="42"/>
      <c r="AB39" s="42"/>
      <c r="AC39" s="42"/>
      <c r="AD39" s="42"/>
      <c r="AE39" s="42"/>
      <c r="AF39" s="42"/>
      <c r="AG39" s="42"/>
      <c r="AH39" s="43"/>
      <c r="AI39" s="1"/>
      <c r="AJ39" s="1"/>
      <c r="AK39" s="1"/>
      <c r="AL39" s="1"/>
      <c r="AM39" s="1"/>
      <c r="AN39" s="1"/>
      <c r="AO39" s="1"/>
      <c r="AP39" s="1"/>
      <c r="AQ39" s="1"/>
      <c r="AR39" s="1"/>
      <c r="AS39" s="1"/>
      <c r="AT39" s="1"/>
      <c r="AU39" s="1"/>
      <c r="AV39" s="1"/>
      <c r="AW39" s="1"/>
    </row>
    <row r="40" spans="1:49" ht="31" thickBot="1" x14ac:dyDescent="0.9">
      <c r="A40" s="1"/>
      <c r="B40" s="1"/>
      <c r="C40" s="1"/>
      <c r="D40" s="1"/>
      <c r="E40" s="1"/>
      <c r="F40" s="1"/>
      <c r="G40" s="1"/>
      <c r="H40" s="1"/>
      <c r="I40" s="1"/>
      <c r="J40" s="1"/>
      <c r="K40" s="1"/>
      <c r="L40" s="1"/>
      <c r="M40" s="1"/>
      <c r="N40" s="1"/>
      <c r="O40" s="1"/>
      <c r="P40" s="41"/>
      <c r="Q40" s="42"/>
      <c r="R40" s="263" t="s">
        <v>125</v>
      </c>
      <c r="S40" s="264"/>
      <c r="T40" s="264"/>
      <c r="U40" s="264"/>
      <c r="V40" s="264"/>
      <c r="W40" s="264"/>
      <c r="X40" s="264"/>
      <c r="Y40" s="264"/>
      <c r="Z40" s="264"/>
      <c r="AA40" s="264"/>
      <c r="AB40" s="264"/>
      <c r="AC40" s="264"/>
      <c r="AD40" s="264"/>
      <c r="AE40" s="264"/>
      <c r="AF40" s="265"/>
      <c r="AG40" s="42"/>
      <c r="AH40" s="43"/>
      <c r="AI40" s="1"/>
      <c r="AJ40" s="1"/>
      <c r="AK40" s="1"/>
      <c r="AL40" s="1"/>
      <c r="AM40" s="1"/>
      <c r="AN40" s="1"/>
      <c r="AO40" s="1"/>
      <c r="AP40" s="1"/>
      <c r="AQ40" s="1"/>
      <c r="AR40" s="1"/>
      <c r="AS40" s="1"/>
      <c r="AT40" s="1"/>
      <c r="AU40" s="1"/>
      <c r="AV40" s="1"/>
      <c r="AW40" s="1"/>
    </row>
    <row r="41" spans="1:49" ht="15.5" thickBot="1" x14ac:dyDescent="0.9">
      <c r="A41" s="1"/>
      <c r="B41" s="1"/>
      <c r="C41" s="1"/>
      <c r="D41" s="1"/>
      <c r="E41" s="1"/>
      <c r="F41" s="1"/>
      <c r="G41" s="1"/>
      <c r="H41" s="1"/>
      <c r="I41" s="1"/>
      <c r="J41" s="1"/>
      <c r="K41" s="1"/>
      <c r="L41" s="1"/>
      <c r="M41" s="1"/>
      <c r="N41" s="1"/>
      <c r="O41" s="1"/>
      <c r="P41" s="41"/>
      <c r="Q41" s="42"/>
      <c r="R41" s="42"/>
      <c r="S41" s="42"/>
      <c r="T41" s="42"/>
      <c r="U41" s="42"/>
      <c r="V41" s="42"/>
      <c r="W41" s="42"/>
      <c r="X41" s="42"/>
      <c r="Y41" s="42"/>
      <c r="Z41" s="42"/>
      <c r="AA41" s="42"/>
      <c r="AB41" s="42"/>
      <c r="AC41" s="42"/>
      <c r="AD41" s="42"/>
      <c r="AE41" s="42"/>
      <c r="AF41" s="42"/>
      <c r="AG41" s="42"/>
      <c r="AH41" s="43"/>
      <c r="AI41" s="1"/>
      <c r="AJ41" s="1"/>
      <c r="AK41" s="1"/>
      <c r="AL41" s="1"/>
      <c r="AM41" s="1"/>
      <c r="AN41" s="1"/>
      <c r="AO41" s="1"/>
      <c r="AP41" s="1"/>
      <c r="AQ41" s="1"/>
      <c r="AR41" s="1"/>
      <c r="AS41" s="1"/>
      <c r="AT41" s="1"/>
      <c r="AU41" s="1"/>
      <c r="AV41" s="1"/>
      <c r="AW41" s="1"/>
    </row>
    <row r="42" spans="1:49" ht="15.5" thickBot="1" x14ac:dyDescent="0.9">
      <c r="A42" s="1"/>
      <c r="B42" s="1"/>
      <c r="C42" s="1"/>
      <c r="D42" s="1"/>
      <c r="E42" s="1"/>
      <c r="F42" s="1"/>
      <c r="G42" s="1"/>
      <c r="H42" s="1"/>
      <c r="I42" s="1"/>
      <c r="J42" s="1"/>
      <c r="K42" s="1"/>
      <c r="L42" s="1"/>
      <c r="M42" s="1"/>
      <c r="N42" s="1"/>
      <c r="O42" s="1"/>
      <c r="P42" s="41"/>
      <c r="Q42" s="42"/>
      <c r="R42" s="283" t="s">
        <v>122</v>
      </c>
      <c r="S42" s="283"/>
      <c r="T42" s="42" t="str">
        <f>Inputs!V16&amp;" MHz"</f>
        <v>437.305 MHz</v>
      </c>
      <c r="U42" s="42"/>
      <c r="V42" s="65" t="s">
        <v>123</v>
      </c>
      <c r="W42" s="69">
        <f>INDEX(U24:U27,MATCH(AA21,R24:R27,0),1)</f>
        <v>2.15</v>
      </c>
      <c r="X42" s="42" t="str">
        <f>INDEX(V24:V27,MATCH(AA21,R24:R27,0),1)</f>
        <v>dBiC</v>
      </c>
      <c r="Y42" s="303" t="s">
        <v>93</v>
      </c>
      <c r="Z42" s="304"/>
      <c r="AA42" s="304"/>
      <c r="AB42" s="305"/>
      <c r="AC42" s="67" t="str">
        <f>AA20</f>
        <v>RHCP</v>
      </c>
      <c r="AD42" s="42"/>
      <c r="AE42" s="42"/>
      <c r="AF42" s="42"/>
      <c r="AG42" s="42"/>
      <c r="AH42" s="43"/>
      <c r="AI42" s="1"/>
      <c r="AJ42" s="1"/>
      <c r="AK42" s="1"/>
      <c r="AL42" s="1"/>
      <c r="AM42" s="1"/>
      <c r="AN42" s="1"/>
      <c r="AO42" s="1"/>
      <c r="AP42" s="1"/>
      <c r="AQ42" s="1"/>
      <c r="AR42" s="1"/>
      <c r="AS42" s="1"/>
      <c r="AT42" s="1"/>
      <c r="AU42" s="1"/>
      <c r="AV42" s="1"/>
      <c r="AW42" s="1"/>
    </row>
    <row r="43" spans="1:49" ht="15.5" thickBot="1" x14ac:dyDescent="0.9">
      <c r="A43" s="1"/>
      <c r="B43" s="1"/>
      <c r="C43" s="1"/>
      <c r="D43" s="1"/>
      <c r="E43" s="1"/>
      <c r="F43" s="1"/>
      <c r="G43" s="1"/>
      <c r="H43" s="1"/>
      <c r="I43" s="1"/>
      <c r="J43" s="1"/>
      <c r="K43" s="1"/>
      <c r="L43" s="1"/>
      <c r="M43" s="1"/>
      <c r="N43" s="1"/>
      <c r="O43" s="1"/>
      <c r="P43" s="41"/>
      <c r="Q43" s="42"/>
      <c r="R43" s="283" t="s">
        <v>95</v>
      </c>
      <c r="S43" s="283"/>
      <c r="T43" s="42" t="str">
        <f>ROUND(Inputs!V9/(Inputs!V16*1000000),4)&amp;" m"</f>
        <v>0.6855 m</v>
      </c>
      <c r="U43" s="42"/>
      <c r="V43" s="65" t="s">
        <v>124</v>
      </c>
      <c r="W43" s="69">
        <f>INDEX(X24:X27,MATCH(AA21,R24:R27,0),1)</f>
        <v>156.19999999999999</v>
      </c>
      <c r="X43" s="42" t="s">
        <v>24</v>
      </c>
      <c r="Y43" s="306" t="s">
        <v>96</v>
      </c>
      <c r="Z43" s="307"/>
      <c r="AA43" s="307"/>
      <c r="AB43" s="308"/>
      <c r="AC43" s="68" t="str">
        <f>INDEX(S24:S27,MATCH(AA21,R24:R27,0),1)</f>
        <v>Canted Turnstyle</v>
      </c>
      <c r="AD43" s="42"/>
      <c r="AE43" s="42"/>
      <c r="AF43" s="42"/>
      <c r="AG43" s="42"/>
      <c r="AH43" s="43"/>
      <c r="AI43" s="1"/>
      <c r="AJ43" s="1"/>
      <c r="AK43" s="1"/>
      <c r="AL43" s="1"/>
      <c r="AM43" s="1"/>
      <c r="AN43" s="1"/>
      <c r="AO43" s="1"/>
      <c r="AP43" s="1"/>
      <c r="AQ43" s="1"/>
      <c r="AR43" s="1"/>
      <c r="AS43" s="1"/>
      <c r="AT43" s="1"/>
      <c r="AU43" s="1"/>
      <c r="AV43" s="1"/>
      <c r="AW43" s="1"/>
    </row>
    <row r="44" spans="1:49" x14ac:dyDescent="0.75">
      <c r="A44" s="1"/>
      <c r="B44" s="1"/>
      <c r="C44" s="1"/>
      <c r="D44" s="1"/>
      <c r="E44" s="1"/>
      <c r="F44" s="1"/>
      <c r="G44" s="1"/>
      <c r="H44" s="1"/>
      <c r="I44" s="1"/>
      <c r="J44" s="1"/>
      <c r="K44" s="1"/>
      <c r="L44" s="1"/>
      <c r="M44" s="1"/>
      <c r="N44" s="1"/>
      <c r="O44" s="1"/>
      <c r="P44" s="41"/>
      <c r="Q44" s="42"/>
      <c r="R44" s="42"/>
      <c r="S44" s="42"/>
      <c r="T44" s="42"/>
      <c r="U44" s="42"/>
      <c r="V44" s="42"/>
      <c r="W44" s="42"/>
      <c r="X44" s="42"/>
      <c r="Y44" s="42"/>
      <c r="Z44" s="42"/>
      <c r="AA44" s="42"/>
      <c r="AB44" s="42"/>
      <c r="AC44" s="42"/>
      <c r="AD44" s="42"/>
      <c r="AE44" s="42"/>
      <c r="AF44" s="42"/>
      <c r="AG44" s="42"/>
      <c r="AH44" s="43"/>
      <c r="AI44" s="1"/>
      <c r="AJ44" s="1"/>
      <c r="AK44" s="1"/>
      <c r="AL44" s="1"/>
      <c r="AM44" s="1"/>
      <c r="AN44" s="1"/>
      <c r="AO44" s="1"/>
      <c r="AP44" s="1"/>
      <c r="AQ44" s="1"/>
      <c r="AR44" s="1"/>
      <c r="AS44" s="1"/>
      <c r="AT44" s="1"/>
      <c r="AU44" s="1"/>
      <c r="AV44" s="1"/>
      <c r="AW44" s="1"/>
    </row>
    <row r="45" spans="1:49" ht="15.5" thickBot="1" x14ac:dyDescent="0.9">
      <c r="A45" s="1"/>
      <c r="B45" s="1"/>
      <c r="C45" s="1"/>
      <c r="D45" s="1"/>
      <c r="E45" s="1"/>
      <c r="F45" s="1"/>
      <c r="G45" s="1"/>
      <c r="H45" s="1"/>
      <c r="I45" s="1"/>
      <c r="J45" s="1"/>
      <c r="K45" s="1"/>
      <c r="L45" s="1"/>
      <c r="M45" s="1"/>
      <c r="N45" s="1"/>
      <c r="O45" s="1"/>
      <c r="P45" s="44"/>
      <c r="Q45" s="45"/>
      <c r="R45" s="45"/>
      <c r="S45" s="45"/>
      <c r="T45" s="45"/>
      <c r="U45" s="45"/>
      <c r="V45" s="45"/>
      <c r="W45" s="45"/>
      <c r="X45" s="45"/>
      <c r="Y45" s="45"/>
      <c r="Z45" s="45"/>
      <c r="AA45" s="45"/>
      <c r="AB45" s="45"/>
      <c r="AC45" s="45"/>
      <c r="AD45" s="45"/>
      <c r="AE45" s="45"/>
      <c r="AF45" s="45"/>
      <c r="AG45" s="45"/>
      <c r="AH45" s="46"/>
      <c r="AI45" s="1"/>
      <c r="AJ45" s="1"/>
      <c r="AK45" s="1"/>
      <c r="AL45" s="1"/>
      <c r="AM45" s="1"/>
      <c r="AN45" s="1"/>
      <c r="AO45" s="1"/>
      <c r="AP45" s="1"/>
      <c r="AQ45" s="1"/>
      <c r="AR45" s="1"/>
      <c r="AS45" s="1"/>
      <c r="AT45" s="1"/>
      <c r="AU45" s="1"/>
      <c r="AV45" s="1"/>
      <c r="AW45" s="1"/>
    </row>
    <row r="46" spans="1:49" x14ac:dyDescent="0.7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row>
    <row r="47" spans="1:49" x14ac:dyDescent="0.7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row>
  </sheetData>
  <mergeCells count="25">
    <mergeCell ref="R2:AF2"/>
    <mergeCell ref="R34:AF34"/>
    <mergeCell ref="R6:AF6"/>
    <mergeCell ref="R8:S8"/>
    <mergeCell ref="T8:U8"/>
    <mergeCell ref="W8:Z8"/>
    <mergeCell ref="R9:S9"/>
    <mergeCell ref="T9:U9"/>
    <mergeCell ref="W9:Z9"/>
    <mergeCell ref="R18:AF18"/>
    <mergeCell ref="R20:S20"/>
    <mergeCell ref="W20:Z20"/>
    <mergeCell ref="R21:S21"/>
    <mergeCell ref="W21:Z21"/>
    <mergeCell ref="R36:S36"/>
    <mergeCell ref="T36:U36"/>
    <mergeCell ref="Y36:AB36"/>
    <mergeCell ref="R37:S37"/>
    <mergeCell ref="T37:U37"/>
    <mergeCell ref="Y37:AB37"/>
    <mergeCell ref="R40:AF40"/>
    <mergeCell ref="R42:S42"/>
    <mergeCell ref="Y42:AB42"/>
    <mergeCell ref="R43:S43"/>
    <mergeCell ref="Y43:AB43"/>
  </mergeCells>
  <conditionalFormatting sqref="AF15 W13 Y13 AA15 AC15">
    <cfRule type="expression" dxfId="59" priority="1">
      <formula>$AA$9=3</formula>
    </cfRule>
  </conditionalFormatting>
  <conditionalFormatting sqref="U13:U14 W13:W14 AA15 AC15 Y13">
    <cfRule type="expression" dxfId="58" priority="14">
      <formula>$AA$9=1</formula>
    </cfRule>
  </conditionalFormatting>
  <conditionalFormatting sqref="U12 U14 W14 AA15 AC15">
    <cfRule type="expression" dxfId="57" priority="13">
      <formula>$AA$9=2</formula>
    </cfRule>
  </conditionalFormatting>
  <conditionalFormatting sqref="U12:U13">
    <cfRule type="expression" dxfId="56" priority="12">
      <formula>$AA$9=3</formula>
    </cfRule>
  </conditionalFormatting>
  <conditionalFormatting sqref="U12:U14 W13:W14 Y13">
    <cfRule type="expression" dxfId="55" priority="11">
      <formula>$AA$9=4</formula>
    </cfRule>
  </conditionalFormatting>
  <conditionalFormatting sqref="AA12 AC12">
    <cfRule type="expression" dxfId="54" priority="10">
      <formula>$AA$9=1</formula>
    </cfRule>
  </conditionalFormatting>
  <conditionalFormatting sqref="AA13 AC13">
    <cfRule type="expression" dxfId="53" priority="9">
      <formula>$AA$9=2</formula>
    </cfRule>
  </conditionalFormatting>
  <conditionalFormatting sqref="U24:U26 X24:X26">
    <cfRule type="expression" dxfId="52" priority="8">
      <formula>$AA$21=4</formula>
    </cfRule>
  </conditionalFormatting>
  <conditionalFormatting sqref="U25:U27 X25:X27">
    <cfRule type="expression" dxfId="51" priority="7">
      <formula>$AA$21=1</formula>
    </cfRule>
  </conditionalFormatting>
  <conditionalFormatting sqref="U24 X24 U26:U27 X26:X27">
    <cfRule type="expression" dxfId="50" priority="6">
      <formula>$AA$21=2</formula>
    </cfRule>
  </conditionalFormatting>
  <conditionalFormatting sqref="U24:U25 U27 X24:X25 X27">
    <cfRule type="expression" dxfId="49" priority="5">
      <formula>$AA$21=3</formula>
    </cfRule>
  </conditionalFormatting>
  <conditionalFormatting sqref="AA14 AC14">
    <cfRule type="expression" dxfId="48" priority="4">
      <formula>$AA$9=3</formula>
    </cfRule>
    <cfRule type="expression" dxfId="47" priority="15">
      <formula>#REF!</formula>
    </cfRule>
  </conditionalFormatting>
  <conditionalFormatting sqref="AF15">
    <cfRule type="expression" dxfId="46" priority="3">
      <formula>$AA$9=1</formula>
    </cfRule>
  </conditionalFormatting>
  <conditionalFormatting sqref="AF15">
    <cfRule type="expression" dxfId="45" priority="2">
      <formula>$AA$9=2</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041F4973-3456-45E6-AEE3-24A08BA7B68F}">
          <x14:formula1>
            <xm:f>'Backend Data'!$L$8:$L$11</xm:f>
          </x14:formula1>
          <xm:sqref>AA21 AA9</xm:sqref>
        </x14:dataValidation>
        <x14:dataValidation type="list" allowBlank="1" showInputMessage="1" showErrorMessage="1" xr:uid="{90A4BEBE-1901-4608-93A9-F8BB8B8F322F}">
          <x14:formula1>
            <xm:f>'Backend Data'!$L$3:$L$5</xm:f>
          </x14:formula1>
          <xm:sqref>AA20 AA8</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C09E5-A759-421B-9E0A-A0D550D4BFF1}">
  <sheetPr>
    <tabColor rgb="FFE1CDFF"/>
  </sheetPr>
  <dimension ref="A1:AQ108"/>
  <sheetViews>
    <sheetView topLeftCell="E1" zoomScaleNormal="100" workbookViewId="0">
      <selection activeCell="W17" sqref="W17"/>
    </sheetView>
  </sheetViews>
  <sheetFormatPr defaultColWidth="0" defaultRowHeight="14.75" zeroHeight="1" x14ac:dyDescent="0.75"/>
  <cols>
    <col min="1" max="17" width="3.2265625" customWidth="1"/>
    <col min="18" max="18" width="10.453125" customWidth="1"/>
    <col min="19" max="19" width="8.90625" customWidth="1"/>
    <col min="20" max="20" width="13.2265625" customWidth="1"/>
    <col min="21" max="21" width="11.6328125" customWidth="1"/>
    <col min="22" max="24" width="10.5" customWidth="1"/>
    <col min="25" max="26" width="8.7265625" customWidth="1"/>
    <col min="27" max="43" width="3.2265625" customWidth="1"/>
    <col min="44" max="16384" width="8.7265625" hidden="1"/>
  </cols>
  <sheetData>
    <row r="1" spans="1:43" ht="15.5" thickBot="1" x14ac:dyDescent="0.9">
      <c r="A1" s="1"/>
      <c r="B1" s="1"/>
      <c r="C1" s="1"/>
      <c r="D1" s="1"/>
      <c r="E1" s="1"/>
      <c r="F1" s="1"/>
      <c r="G1" s="1"/>
      <c r="H1" s="1"/>
      <c r="I1" s="1"/>
      <c r="J1" s="1"/>
      <c r="K1" s="1"/>
      <c r="L1" s="1"/>
      <c r="M1" s="1"/>
      <c r="N1" s="1"/>
      <c r="O1" s="1"/>
      <c r="P1" s="1"/>
      <c r="Q1" s="1"/>
      <c r="R1" s="1"/>
      <c r="S1" s="1"/>
      <c r="T1" s="1"/>
      <c r="U1" s="2"/>
      <c r="V1" s="1"/>
      <c r="W1" s="1"/>
      <c r="X1" s="1"/>
      <c r="Y1" s="1"/>
      <c r="Z1" s="1"/>
      <c r="AA1" s="1"/>
      <c r="AB1" s="1"/>
      <c r="AC1" s="1"/>
      <c r="AD1" s="1"/>
      <c r="AE1" s="1"/>
      <c r="AF1" s="1"/>
      <c r="AG1" s="1"/>
      <c r="AH1" s="1"/>
      <c r="AI1" s="1"/>
      <c r="AJ1" s="1"/>
      <c r="AK1" s="1"/>
      <c r="AL1" s="1"/>
      <c r="AM1" s="1"/>
      <c r="AN1" s="1"/>
      <c r="AO1" s="1"/>
      <c r="AP1" s="1"/>
      <c r="AQ1" s="1"/>
    </row>
    <row r="2" spans="1:43" ht="16.25" thickBot="1" x14ac:dyDescent="0.9">
      <c r="A2" s="7"/>
      <c r="B2" s="7"/>
      <c r="C2" s="7"/>
      <c r="D2" s="7"/>
      <c r="E2" s="7"/>
      <c r="F2" s="7"/>
      <c r="G2" s="7"/>
      <c r="H2" s="7"/>
      <c r="I2" s="7"/>
      <c r="J2" s="7"/>
      <c r="K2" s="7"/>
      <c r="L2" s="7"/>
      <c r="M2" s="7"/>
      <c r="N2" s="7"/>
      <c r="O2" s="7"/>
      <c r="P2" s="7"/>
      <c r="Q2" s="7"/>
      <c r="R2" s="267" t="s">
        <v>0</v>
      </c>
      <c r="S2" s="268"/>
      <c r="T2" s="268"/>
      <c r="U2" s="268"/>
      <c r="V2" s="268"/>
      <c r="W2" s="268"/>
      <c r="X2" s="268"/>
      <c r="Y2" s="268"/>
      <c r="Z2" s="269"/>
      <c r="AA2" s="7"/>
      <c r="AB2" s="7"/>
      <c r="AC2" s="7"/>
      <c r="AD2" s="7"/>
      <c r="AE2" s="7"/>
      <c r="AF2" s="7"/>
      <c r="AG2" s="7"/>
      <c r="AH2" s="7"/>
      <c r="AI2" s="7"/>
      <c r="AJ2" s="7"/>
      <c r="AK2" s="7"/>
      <c r="AL2" s="7"/>
      <c r="AM2" s="7"/>
      <c r="AN2" s="7"/>
      <c r="AO2" s="7"/>
      <c r="AP2" s="7"/>
      <c r="AQ2" s="7"/>
    </row>
    <row r="3" spans="1:43" ht="15.5" thickBot="1" x14ac:dyDescent="0.9">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row>
    <row r="4" spans="1:43" x14ac:dyDescent="0.75">
      <c r="A4" s="1"/>
      <c r="B4" s="1"/>
      <c r="C4" s="1"/>
      <c r="D4" s="1"/>
      <c r="E4" s="1"/>
      <c r="F4" s="1"/>
      <c r="G4" s="1"/>
      <c r="H4" s="1"/>
      <c r="I4" s="1"/>
      <c r="J4" s="1"/>
      <c r="K4" s="1"/>
      <c r="L4" s="1"/>
      <c r="M4" s="1"/>
      <c r="N4" s="1"/>
      <c r="O4" s="1"/>
      <c r="P4" s="17"/>
      <c r="Q4" s="18"/>
      <c r="R4" s="18"/>
      <c r="S4" s="18"/>
      <c r="T4" s="18"/>
      <c r="U4" s="18"/>
      <c r="V4" s="18"/>
      <c r="W4" s="18"/>
      <c r="X4" s="18"/>
      <c r="Y4" s="18"/>
      <c r="Z4" s="18"/>
      <c r="AA4" s="18"/>
      <c r="AB4" s="19"/>
      <c r="AC4" s="31"/>
      <c r="AD4" s="7"/>
      <c r="AE4" s="7"/>
      <c r="AF4" s="7"/>
      <c r="AG4" s="7"/>
      <c r="AH4" s="7"/>
      <c r="AI4" s="7"/>
      <c r="AJ4" s="7"/>
      <c r="AK4" s="7"/>
      <c r="AL4" s="7"/>
      <c r="AM4" s="7"/>
      <c r="AN4" s="7"/>
      <c r="AO4" s="7"/>
      <c r="AP4" s="7"/>
      <c r="AQ4" s="7"/>
    </row>
    <row r="5" spans="1:43" ht="15.5" thickBot="1" x14ac:dyDescent="0.9">
      <c r="A5" s="1"/>
      <c r="B5" s="1"/>
      <c r="C5" s="1"/>
      <c r="D5" s="1"/>
      <c r="E5" s="1"/>
      <c r="F5" s="1"/>
      <c r="G5" s="1"/>
      <c r="H5" s="1"/>
      <c r="I5" s="1"/>
      <c r="J5" s="1"/>
      <c r="K5" s="1"/>
      <c r="L5" s="1"/>
      <c r="M5" s="1"/>
      <c r="N5" s="1"/>
      <c r="O5" s="1"/>
      <c r="P5" s="20"/>
      <c r="Q5" s="21"/>
      <c r="R5" s="21"/>
      <c r="S5" s="21"/>
      <c r="T5" s="21"/>
      <c r="U5" s="21"/>
      <c r="V5" s="21"/>
      <c r="W5" s="21"/>
      <c r="X5" s="21"/>
      <c r="Y5" s="21"/>
      <c r="Z5" s="21"/>
      <c r="AA5" s="21"/>
      <c r="AB5" s="22"/>
      <c r="AC5" s="31"/>
      <c r="AD5" s="7"/>
      <c r="AE5" s="7"/>
      <c r="AF5" s="7"/>
      <c r="AG5" s="7"/>
      <c r="AH5" s="7"/>
      <c r="AI5" s="7"/>
      <c r="AJ5" s="7"/>
      <c r="AK5" s="7"/>
      <c r="AL5" s="7"/>
      <c r="AM5" s="7"/>
      <c r="AN5" s="7"/>
      <c r="AO5" s="7"/>
      <c r="AP5" s="7"/>
      <c r="AQ5" s="7"/>
    </row>
    <row r="6" spans="1:43" ht="31" thickBot="1" x14ac:dyDescent="0.9">
      <c r="A6" s="1"/>
      <c r="B6" s="1"/>
      <c r="C6" s="1"/>
      <c r="D6" s="1"/>
      <c r="E6" s="1"/>
      <c r="F6" s="1"/>
      <c r="G6" s="1"/>
      <c r="H6" s="1"/>
      <c r="I6" s="1"/>
      <c r="J6" s="1"/>
      <c r="K6" s="1"/>
      <c r="L6" s="1"/>
      <c r="M6" s="1"/>
      <c r="N6" s="1"/>
      <c r="O6" s="1"/>
      <c r="P6" s="20"/>
      <c r="Q6" s="21"/>
      <c r="R6" s="263" t="s">
        <v>126</v>
      </c>
      <c r="S6" s="264"/>
      <c r="T6" s="264"/>
      <c r="U6" s="264"/>
      <c r="V6" s="264"/>
      <c r="W6" s="264"/>
      <c r="X6" s="264"/>
      <c r="Y6" s="264"/>
      <c r="Z6" s="265"/>
      <c r="AA6" s="21"/>
      <c r="AB6" s="22"/>
      <c r="AC6" s="31"/>
      <c r="AD6" s="7"/>
      <c r="AE6" s="7"/>
      <c r="AF6" s="7"/>
      <c r="AG6" s="7"/>
      <c r="AH6" s="7"/>
      <c r="AI6" s="7"/>
      <c r="AJ6" s="7"/>
      <c r="AK6" s="7"/>
      <c r="AL6" s="7"/>
      <c r="AM6" s="7"/>
      <c r="AN6" s="7"/>
      <c r="AO6" s="7"/>
      <c r="AP6" s="7"/>
      <c r="AQ6" s="7"/>
    </row>
    <row r="7" spans="1:43" x14ac:dyDescent="0.75">
      <c r="A7" s="1"/>
      <c r="B7" s="1"/>
      <c r="C7" s="1"/>
      <c r="D7" s="1"/>
      <c r="E7" s="1"/>
      <c r="F7" s="1"/>
      <c r="G7" s="1"/>
      <c r="H7" s="1"/>
      <c r="I7" s="1"/>
      <c r="J7" s="1"/>
      <c r="K7" s="1"/>
      <c r="L7" s="1"/>
      <c r="M7" s="1"/>
      <c r="N7" s="1"/>
      <c r="O7" s="1"/>
      <c r="P7" s="20"/>
      <c r="Q7" s="21"/>
      <c r="R7" s="21"/>
      <c r="S7" s="21"/>
      <c r="T7" s="21"/>
      <c r="U7" s="21"/>
      <c r="V7" s="21"/>
      <c r="W7" s="21"/>
      <c r="X7" s="21"/>
      <c r="Y7" s="21"/>
      <c r="Z7" s="21"/>
      <c r="AA7" s="21"/>
      <c r="AB7" s="22"/>
      <c r="AC7" s="31"/>
      <c r="AD7" s="7"/>
      <c r="AE7" s="7"/>
      <c r="AF7" s="7"/>
      <c r="AG7" s="7"/>
      <c r="AH7" s="7"/>
      <c r="AI7" s="7"/>
      <c r="AJ7" s="7"/>
      <c r="AK7" s="7"/>
      <c r="AL7" s="7"/>
      <c r="AM7" s="7"/>
      <c r="AN7" s="7"/>
      <c r="AO7" s="7"/>
      <c r="AP7" s="7"/>
      <c r="AQ7" s="7"/>
    </row>
    <row r="8" spans="1:43" x14ac:dyDescent="0.75">
      <c r="A8" s="1"/>
      <c r="B8" s="1"/>
      <c r="C8" s="1"/>
      <c r="D8" s="1"/>
      <c r="E8" s="1"/>
      <c r="F8" s="1"/>
      <c r="G8" s="1"/>
      <c r="H8" s="1"/>
      <c r="I8" s="1"/>
      <c r="J8" s="1"/>
      <c r="K8" s="1"/>
      <c r="L8" s="1"/>
      <c r="M8" s="1"/>
      <c r="N8" s="1"/>
      <c r="O8" s="1"/>
      <c r="P8" s="20"/>
      <c r="Q8" s="21"/>
      <c r="R8" s="21"/>
      <c r="S8" s="21"/>
      <c r="T8" s="326" t="s">
        <v>127</v>
      </c>
      <c r="U8" s="326"/>
      <c r="V8" s="326"/>
      <c r="W8" s="326"/>
      <c r="X8" s="70"/>
      <c r="Y8" s="21"/>
      <c r="Z8" s="21"/>
      <c r="AA8" s="21"/>
      <c r="AB8" s="22"/>
      <c r="AC8" s="31"/>
      <c r="AD8" s="7"/>
      <c r="AE8" s="7"/>
      <c r="AF8" s="7"/>
      <c r="AG8" s="7"/>
      <c r="AH8" s="7"/>
      <c r="AI8" s="7"/>
      <c r="AJ8" s="7"/>
      <c r="AK8" s="7"/>
      <c r="AL8" s="7"/>
      <c r="AM8" s="7"/>
      <c r="AN8" s="7"/>
      <c r="AO8" s="7"/>
      <c r="AP8" s="7"/>
      <c r="AQ8" s="7"/>
    </row>
    <row r="9" spans="1:43" x14ac:dyDescent="0.75">
      <c r="A9" s="1"/>
      <c r="B9" s="1"/>
      <c r="C9" s="1"/>
      <c r="D9" s="1"/>
      <c r="E9" s="1"/>
      <c r="F9" s="1"/>
      <c r="G9" s="1"/>
      <c r="H9" s="1"/>
      <c r="I9" s="1"/>
      <c r="J9" s="1"/>
      <c r="K9" s="1"/>
      <c r="L9" s="1"/>
      <c r="M9" s="1"/>
      <c r="N9" s="1"/>
      <c r="O9" s="1"/>
      <c r="P9" s="20"/>
      <c r="Q9" s="21"/>
      <c r="R9" s="21"/>
      <c r="S9" s="21"/>
      <c r="T9" s="324" t="s">
        <v>128</v>
      </c>
      <c r="U9" s="324"/>
      <c r="V9" s="215" t="s">
        <v>129</v>
      </c>
      <c r="W9" s="217">
        <f>Inputs!V30</f>
        <v>5</v>
      </c>
      <c r="X9" s="21" t="s">
        <v>24</v>
      </c>
      <c r="Y9" s="21"/>
      <c r="Z9" s="21"/>
      <c r="AA9" s="21"/>
      <c r="AB9" s="22"/>
      <c r="AC9" s="31"/>
      <c r="AD9" s="7"/>
      <c r="AE9" s="7"/>
      <c r="AF9" s="7"/>
      <c r="AG9" s="7"/>
      <c r="AH9" s="7"/>
      <c r="AI9" s="7"/>
      <c r="AJ9" s="7"/>
      <c r="AK9" s="7"/>
      <c r="AL9" s="7"/>
      <c r="AM9" s="7"/>
      <c r="AN9" s="7"/>
      <c r="AO9" s="7"/>
      <c r="AP9" s="7"/>
      <c r="AQ9" s="7"/>
    </row>
    <row r="10" spans="1:43" ht="16.75" x14ac:dyDescent="0.95">
      <c r="A10" s="1"/>
      <c r="B10" s="1"/>
      <c r="C10" s="1"/>
      <c r="D10" s="1"/>
      <c r="E10" s="1"/>
      <c r="F10" s="1"/>
      <c r="G10" s="1"/>
      <c r="H10" s="1"/>
      <c r="I10" s="1"/>
      <c r="J10" s="1"/>
      <c r="K10" s="1"/>
      <c r="L10" s="1"/>
      <c r="M10" s="1"/>
      <c r="N10" s="1"/>
      <c r="O10" s="1"/>
      <c r="P10" s="20"/>
      <c r="Q10" s="21"/>
      <c r="R10" s="21"/>
      <c r="S10" s="21"/>
      <c r="T10" s="324" t="s">
        <v>130</v>
      </c>
      <c r="U10" s="324"/>
      <c r="V10" s="216" t="s">
        <v>131</v>
      </c>
      <c r="W10" s="208">
        <f>IF(AND(W9&lt;'Backend Data'!B5,W9&gt;0),4.6,INDEX('Backend Data'!C4:C10,MATCH(W9,'Backend Data'!B4:B10,1),1))</f>
        <v>2.1</v>
      </c>
      <c r="X10" s="21" t="s">
        <v>33</v>
      </c>
      <c r="Y10" s="21"/>
      <c r="Z10" s="21"/>
      <c r="AA10" s="21"/>
      <c r="AB10" s="22"/>
      <c r="AC10" s="31"/>
      <c r="AD10" s="7"/>
      <c r="AE10" s="7"/>
      <c r="AF10" s="7"/>
      <c r="AG10" s="7"/>
      <c r="AH10" s="7"/>
      <c r="AI10" s="7"/>
      <c r="AJ10" s="7"/>
      <c r="AK10" s="7"/>
      <c r="AL10" s="7"/>
      <c r="AM10" s="7"/>
      <c r="AN10" s="7"/>
      <c r="AO10" s="7"/>
      <c r="AP10" s="7"/>
      <c r="AQ10" s="7"/>
    </row>
    <row r="11" spans="1:43" x14ac:dyDescent="0.75">
      <c r="A11" s="1"/>
      <c r="B11" s="1"/>
      <c r="C11" s="1"/>
      <c r="D11" s="1"/>
      <c r="E11" s="1"/>
      <c r="F11" s="1"/>
      <c r="G11" s="1"/>
      <c r="H11" s="1"/>
      <c r="I11" s="1"/>
      <c r="J11" s="1"/>
      <c r="K11" s="1"/>
      <c r="L11" s="1"/>
      <c r="M11" s="1"/>
      <c r="N11" s="1"/>
      <c r="O11" s="1"/>
      <c r="P11" s="20"/>
      <c r="Q11" s="21"/>
      <c r="R11" s="21"/>
      <c r="S11" s="21"/>
      <c r="T11" s="21"/>
      <c r="U11" s="21"/>
      <c r="V11" s="21"/>
      <c r="W11" s="21"/>
      <c r="X11" s="21"/>
      <c r="Y11" s="21"/>
      <c r="Z11" s="21"/>
      <c r="AA11" s="21"/>
      <c r="AB11" s="22"/>
      <c r="AC11" s="31"/>
      <c r="AD11" s="7"/>
      <c r="AE11" s="7"/>
      <c r="AF11" s="7"/>
      <c r="AG11" s="7"/>
      <c r="AH11" s="7"/>
      <c r="AI11" s="7"/>
      <c r="AJ11" s="7"/>
      <c r="AK11" s="7"/>
      <c r="AL11" s="7"/>
      <c r="AM11" s="7"/>
      <c r="AN11" s="7"/>
      <c r="AO11" s="7"/>
      <c r="AP11" s="7"/>
      <c r="AQ11" s="7"/>
    </row>
    <row r="12" spans="1:43" ht="15.5" thickBot="1" x14ac:dyDescent="0.9">
      <c r="A12" s="1"/>
      <c r="B12" s="1"/>
      <c r="C12" s="1"/>
      <c r="D12" s="1"/>
      <c r="E12" s="1"/>
      <c r="F12" s="1"/>
      <c r="G12" s="1"/>
      <c r="H12" s="1"/>
      <c r="I12" s="1"/>
      <c r="J12" s="1"/>
      <c r="K12" s="1"/>
      <c r="L12" s="1"/>
      <c r="M12" s="1"/>
      <c r="N12" s="1"/>
      <c r="O12" s="1"/>
      <c r="P12" s="20"/>
      <c r="Q12" s="21"/>
      <c r="R12" s="21"/>
      <c r="S12" s="21"/>
      <c r="T12" s="21"/>
      <c r="U12" s="21"/>
      <c r="V12" s="21"/>
      <c r="W12" s="21"/>
      <c r="X12" s="21"/>
      <c r="Y12" s="21"/>
      <c r="Z12" s="21"/>
      <c r="AA12" s="21"/>
      <c r="AB12" s="22"/>
      <c r="AC12" s="31"/>
      <c r="AD12" s="7"/>
      <c r="AE12" s="7"/>
      <c r="AF12" s="7"/>
      <c r="AG12" s="7"/>
      <c r="AH12" s="7"/>
      <c r="AI12" s="7"/>
      <c r="AJ12" s="7"/>
      <c r="AK12" s="7"/>
      <c r="AL12" s="7"/>
      <c r="AM12" s="7"/>
      <c r="AN12" s="7"/>
      <c r="AO12" s="7"/>
      <c r="AP12" s="7"/>
      <c r="AQ12" s="7"/>
    </row>
    <row r="13" spans="1:43" ht="31" thickBot="1" x14ac:dyDescent="0.9">
      <c r="A13" s="1"/>
      <c r="B13" s="1"/>
      <c r="C13" s="1"/>
      <c r="D13" s="1"/>
      <c r="E13" s="1"/>
      <c r="F13" s="1"/>
      <c r="G13" s="1"/>
      <c r="H13" s="1"/>
      <c r="I13" s="1"/>
      <c r="J13" s="1"/>
      <c r="K13" s="1"/>
      <c r="L13" s="1"/>
      <c r="M13" s="1"/>
      <c r="N13" s="1"/>
      <c r="O13" s="1"/>
      <c r="P13" s="20"/>
      <c r="Q13" s="21"/>
      <c r="R13" s="263" t="s">
        <v>132</v>
      </c>
      <c r="S13" s="264"/>
      <c r="T13" s="264"/>
      <c r="U13" s="264"/>
      <c r="V13" s="264"/>
      <c r="W13" s="264"/>
      <c r="X13" s="264"/>
      <c r="Y13" s="264"/>
      <c r="Z13" s="265"/>
      <c r="AA13" s="21"/>
      <c r="AB13" s="22"/>
      <c r="AC13" s="31"/>
      <c r="AD13" s="7"/>
      <c r="AE13" s="7"/>
      <c r="AF13" s="7"/>
      <c r="AG13" s="7"/>
      <c r="AH13" s="7"/>
      <c r="AI13" s="7"/>
      <c r="AJ13" s="7"/>
      <c r="AK13" s="7"/>
      <c r="AL13" s="7"/>
      <c r="AM13" s="7"/>
      <c r="AN13" s="7"/>
      <c r="AO13" s="7"/>
      <c r="AP13" s="7"/>
      <c r="AQ13" s="7"/>
    </row>
    <row r="14" spans="1:43" x14ac:dyDescent="0.75">
      <c r="A14" s="1"/>
      <c r="B14" s="1"/>
      <c r="C14" s="1"/>
      <c r="D14" s="1"/>
      <c r="E14" s="1"/>
      <c r="F14" s="1"/>
      <c r="G14" s="1"/>
      <c r="H14" s="1"/>
      <c r="I14" s="1"/>
      <c r="J14" s="1"/>
      <c r="K14" s="1"/>
      <c r="L14" s="1"/>
      <c r="M14" s="1"/>
      <c r="N14" s="1"/>
      <c r="O14" s="1"/>
      <c r="P14" s="20"/>
      <c r="Q14" s="21"/>
      <c r="R14" s="70"/>
      <c r="S14" s="70"/>
      <c r="T14" s="70"/>
      <c r="U14" s="70"/>
      <c r="V14" s="21"/>
      <c r="W14" s="21"/>
      <c r="X14" s="21"/>
      <c r="Y14" s="21"/>
      <c r="Z14" s="21"/>
      <c r="AA14" s="21"/>
      <c r="AB14" s="22"/>
      <c r="AC14" s="31"/>
      <c r="AD14" s="7"/>
      <c r="AE14" s="7"/>
      <c r="AF14" s="7"/>
      <c r="AG14" s="7"/>
      <c r="AH14" s="7"/>
      <c r="AI14" s="7"/>
      <c r="AJ14" s="7"/>
      <c r="AK14" s="7"/>
      <c r="AL14" s="7"/>
      <c r="AM14" s="7"/>
      <c r="AN14" s="7"/>
      <c r="AO14" s="7"/>
      <c r="AP14" s="7"/>
      <c r="AQ14" s="7"/>
    </row>
    <row r="15" spans="1:43" x14ac:dyDescent="0.75">
      <c r="A15" s="1"/>
      <c r="B15" s="1"/>
      <c r="C15" s="1"/>
      <c r="D15" s="1"/>
      <c r="E15" s="1"/>
      <c r="F15" s="1"/>
      <c r="G15" s="1"/>
      <c r="H15" s="1"/>
      <c r="I15" s="1"/>
      <c r="J15" s="1"/>
      <c r="K15" s="1"/>
      <c r="L15" s="1"/>
      <c r="M15" s="1"/>
      <c r="N15" s="1"/>
      <c r="O15" s="1"/>
      <c r="P15" s="20"/>
      <c r="Q15" s="21"/>
      <c r="R15" s="71"/>
      <c r="S15" s="71"/>
      <c r="T15" s="326" t="s">
        <v>127</v>
      </c>
      <c r="U15" s="326"/>
      <c r="V15" s="326"/>
      <c r="W15" s="326"/>
      <c r="X15" s="70"/>
      <c r="Y15" s="21"/>
      <c r="Z15" s="21"/>
      <c r="AA15" s="21"/>
      <c r="AB15" s="22"/>
      <c r="AC15" s="31"/>
      <c r="AD15" s="7"/>
      <c r="AE15" s="7"/>
      <c r="AF15" s="7"/>
      <c r="AG15" s="7"/>
      <c r="AH15" s="7"/>
      <c r="AI15" s="7"/>
      <c r="AJ15" s="7"/>
      <c r="AK15" s="7"/>
      <c r="AL15" s="7"/>
      <c r="AM15" s="7"/>
      <c r="AN15" s="7"/>
      <c r="AO15" s="7"/>
      <c r="AP15" s="7"/>
      <c r="AQ15" s="7"/>
    </row>
    <row r="16" spans="1:43" ht="16.75" x14ac:dyDescent="0.95">
      <c r="A16" s="1"/>
      <c r="B16" s="1"/>
      <c r="C16" s="1"/>
      <c r="D16" s="1"/>
      <c r="E16" s="1"/>
      <c r="F16" s="1"/>
      <c r="G16" s="1"/>
      <c r="H16" s="1"/>
      <c r="I16" s="1"/>
      <c r="J16" s="1"/>
      <c r="K16" s="1"/>
      <c r="L16" s="1"/>
      <c r="M16" s="1"/>
      <c r="N16" s="1"/>
      <c r="O16" s="1"/>
      <c r="P16" s="20"/>
      <c r="Q16" s="21"/>
      <c r="R16" s="21"/>
      <c r="S16" s="21"/>
      <c r="T16" s="324" t="s">
        <v>133</v>
      </c>
      <c r="U16" s="324"/>
      <c r="V16" s="216" t="s">
        <v>134</v>
      </c>
      <c r="W16" s="217">
        <f>IF(Inputs!V15&gt;'Backend Data'!G6,0,INDEX('Backend Data'!I4:I6,MATCH(Inputs!V15,'Backend Data'!G4:G6,1),1))</f>
        <v>0.7</v>
      </c>
      <c r="X16" s="21" t="s">
        <v>33</v>
      </c>
      <c r="Y16" s="70"/>
      <c r="Z16" s="70"/>
      <c r="AA16" s="21"/>
      <c r="AB16" s="22"/>
      <c r="AC16" s="31"/>
      <c r="AD16" s="7"/>
      <c r="AE16" s="7"/>
      <c r="AF16" s="7"/>
      <c r="AG16" s="7"/>
      <c r="AH16" s="7"/>
      <c r="AI16" s="7"/>
      <c r="AJ16" s="7"/>
      <c r="AK16" s="7"/>
      <c r="AL16" s="7"/>
      <c r="AM16" s="7"/>
      <c r="AN16" s="7"/>
      <c r="AO16" s="7"/>
      <c r="AP16" s="7"/>
      <c r="AQ16" s="7"/>
    </row>
    <row r="17" spans="1:43" ht="16.75" x14ac:dyDescent="0.95">
      <c r="A17" s="1"/>
      <c r="B17" s="1"/>
      <c r="C17" s="1"/>
      <c r="D17" s="1"/>
      <c r="E17" s="1"/>
      <c r="F17" s="1"/>
      <c r="G17" s="1"/>
      <c r="H17" s="1"/>
      <c r="I17" s="1"/>
      <c r="J17" s="1"/>
      <c r="K17" s="1"/>
      <c r="L17" s="1"/>
      <c r="M17" s="1"/>
      <c r="N17" s="1"/>
      <c r="O17" s="1"/>
      <c r="P17" s="20"/>
      <c r="Q17" s="21"/>
      <c r="R17" s="21"/>
      <c r="S17" s="21"/>
      <c r="T17" s="324" t="s">
        <v>135</v>
      </c>
      <c r="U17" s="324"/>
      <c r="V17" s="216" t="s">
        <v>134</v>
      </c>
      <c r="W17" s="208">
        <f>IF(Inputs!V16&gt;'Backend Data'!G13,0,INDEX('Backend Data'!I11:I13,MATCH(Inputs!V16,'Backend Data'!G11:G13,1),1))</f>
        <v>0.4</v>
      </c>
      <c r="X17" s="21" t="s">
        <v>33</v>
      </c>
      <c r="Y17" s="72"/>
      <c r="Z17" s="72"/>
      <c r="AA17" s="21"/>
      <c r="AB17" s="22"/>
      <c r="AC17" s="31"/>
      <c r="AD17" s="7"/>
      <c r="AE17" s="7"/>
      <c r="AF17" s="7"/>
      <c r="AG17" s="7"/>
      <c r="AH17" s="7"/>
      <c r="AI17" s="7"/>
      <c r="AJ17" s="7"/>
      <c r="AK17" s="7"/>
      <c r="AL17" s="7"/>
      <c r="AM17" s="7"/>
      <c r="AN17" s="7"/>
      <c r="AO17" s="7"/>
      <c r="AP17" s="7"/>
      <c r="AQ17" s="7"/>
    </row>
    <row r="18" spans="1:43" x14ac:dyDescent="0.75">
      <c r="A18" s="1"/>
      <c r="B18" s="1"/>
      <c r="C18" s="1"/>
      <c r="D18" s="1"/>
      <c r="E18" s="1"/>
      <c r="F18" s="1"/>
      <c r="G18" s="1"/>
      <c r="H18" s="1"/>
      <c r="I18" s="1"/>
      <c r="J18" s="1"/>
      <c r="K18" s="1"/>
      <c r="L18" s="1"/>
      <c r="M18" s="1"/>
      <c r="N18" s="1"/>
      <c r="O18" s="1"/>
      <c r="P18" s="20"/>
      <c r="Q18" s="21"/>
      <c r="R18" s="21"/>
      <c r="S18" s="21"/>
      <c r="T18" s="21"/>
      <c r="U18" s="21"/>
      <c r="V18" s="21"/>
      <c r="W18" s="72"/>
      <c r="X18" s="72"/>
      <c r="Y18" s="72"/>
      <c r="Z18" s="72"/>
      <c r="AA18" s="21"/>
      <c r="AB18" s="22"/>
      <c r="AC18" s="31"/>
      <c r="AD18" s="7"/>
      <c r="AE18" s="7"/>
      <c r="AF18" s="7"/>
      <c r="AG18" s="7"/>
      <c r="AH18" s="7"/>
      <c r="AI18" s="7"/>
      <c r="AJ18" s="7"/>
      <c r="AK18" s="7"/>
      <c r="AL18" s="7"/>
      <c r="AM18" s="7"/>
      <c r="AN18" s="7"/>
      <c r="AO18" s="7"/>
      <c r="AP18" s="7"/>
      <c r="AQ18" s="7"/>
    </row>
    <row r="19" spans="1:43" ht="15.5" thickBot="1" x14ac:dyDescent="0.9">
      <c r="A19" s="1"/>
      <c r="B19" s="1"/>
      <c r="C19" s="1"/>
      <c r="D19" s="1"/>
      <c r="E19" s="1"/>
      <c r="F19" s="1"/>
      <c r="G19" s="1"/>
      <c r="H19" s="1"/>
      <c r="I19" s="1"/>
      <c r="J19" s="1"/>
      <c r="K19" s="1"/>
      <c r="L19" s="1"/>
      <c r="M19" s="1"/>
      <c r="N19" s="1"/>
      <c r="O19" s="1"/>
      <c r="P19" s="25"/>
      <c r="Q19" s="26"/>
      <c r="R19" s="73"/>
      <c r="S19" s="73"/>
      <c r="T19" s="73"/>
      <c r="U19" s="73"/>
      <c r="V19" s="26"/>
      <c r="W19" s="74"/>
      <c r="X19" s="74"/>
      <c r="Y19" s="74"/>
      <c r="Z19" s="74"/>
      <c r="AA19" s="26"/>
      <c r="AB19" s="27"/>
      <c r="AC19" s="31"/>
      <c r="AD19" s="7"/>
      <c r="AE19" s="7"/>
      <c r="AF19" s="7"/>
      <c r="AG19" s="7"/>
      <c r="AH19" s="7"/>
      <c r="AI19" s="7"/>
      <c r="AJ19" s="7"/>
      <c r="AK19" s="7"/>
      <c r="AL19" s="7"/>
      <c r="AM19" s="7"/>
      <c r="AN19" s="7"/>
      <c r="AO19" s="7"/>
      <c r="AP19" s="7"/>
      <c r="AQ19" s="7"/>
    </row>
    <row r="20" spans="1:43" x14ac:dyDescent="0.75">
      <c r="A20" s="1" t="s">
        <v>90</v>
      </c>
      <c r="B20" s="1"/>
      <c r="C20" s="1"/>
      <c r="D20" s="1"/>
      <c r="E20" s="1"/>
      <c r="F20" s="1"/>
      <c r="G20" s="1"/>
      <c r="H20" s="1"/>
      <c r="I20" s="1"/>
      <c r="J20" s="1"/>
      <c r="K20" s="1"/>
      <c r="L20" s="1"/>
      <c r="M20" s="1"/>
      <c r="N20" s="1"/>
      <c r="O20" s="1"/>
      <c r="P20" s="75"/>
      <c r="Q20" s="75"/>
      <c r="R20" s="76"/>
      <c r="S20" s="76"/>
      <c r="T20" s="76"/>
      <c r="U20" s="76"/>
      <c r="V20" s="76"/>
      <c r="W20" s="76"/>
      <c r="X20" s="76"/>
      <c r="Y20" s="76"/>
      <c r="Z20" s="76"/>
      <c r="AA20" s="75"/>
      <c r="AB20" s="75"/>
      <c r="AC20" s="7"/>
      <c r="AD20" s="7"/>
      <c r="AE20" s="7"/>
      <c r="AF20" s="7"/>
      <c r="AG20" s="7"/>
      <c r="AH20" s="7"/>
      <c r="AI20" s="7"/>
      <c r="AJ20" s="7"/>
      <c r="AK20" s="7"/>
      <c r="AL20" s="7"/>
      <c r="AM20" s="7"/>
      <c r="AN20" s="7"/>
      <c r="AO20" s="7"/>
      <c r="AP20" s="7"/>
      <c r="AQ20" s="7"/>
    </row>
    <row r="21" spans="1:43" ht="15.5" thickBot="1" x14ac:dyDescent="0.9">
      <c r="A21" s="1"/>
      <c r="B21" s="1"/>
      <c r="C21" s="1"/>
      <c r="D21" s="1"/>
      <c r="E21" s="1"/>
      <c r="F21" s="1"/>
      <c r="G21" s="1"/>
      <c r="H21" s="1"/>
      <c r="I21" s="1"/>
      <c r="J21" s="1"/>
      <c r="K21" s="1"/>
      <c r="L21" s="1"/>
      <c r="M21" s="1"/>
      <c r="N21" s="1"/>
      <c r="O21" s="1"/>
      <c r="P21" s="77"/>
      <c r="Q21" s="77"/>
      <c r="R21" s="78"/>
      <c r="S21" s="78"/>
      <c r="T21" s="78"/>
      <c r="U21" s="78"/>
      <c r="V21" s="78"/>
      <c r="W21" s="78"/>
      <c r="X21" s="78"/>
      <c r="Y21" s="78"/>
      <c r="Z21" s="78"/>
      <c r="AA21" s="77"/>
      <c r="AB21" s="77"/>
      <c r="AC21" s="7"/>
      <c r="AD21" s="7"/>
      <c r="AE21" s="7"/>
      <c r="AF21" s="7"/>
      <c r="AG21" s="7"/>
      <c r="AH21" s="7"/>
      <c r="AI21" s="7"/>
      <c r="AJ21" s="7"/>
      <c r="AK21" s="7"/>
      <c r="AL21" s="7"/>
      <c r="AM21" s="7"/>
      <c r="AN21" s="7"/>
      <c r="AO21" s="7"/>
      <c r="AP21" s="7"/>
      <c r="AQ21" s="7"/>
    </row>
    <row r="22" spans="1:43" x14ac:dyDescent="0.75">
      <c r="A22" s="1"/>
      <c r="B22" s="1"/>
      <c r="C22" s="1"/>
      <c r="D22" s="1"/>
      <c r="E22" s="1"/>
      <c r="F22" s="1"/>
      <c r="G22" s="1"/>
      <c r="H22" s="1"/>
      <c r="I22" s="1"/>
      <c r="J22" s="1"/>
      <c r="K22" s="1"/>
      <c r="L22" s="1"/>
      <c r="M22" s="1"/>
      <c r="N22" s="1"/>
      <c r="O22" s="1"/>
      <c r="P22" s="28"/>
      <c r="Q22" s="29"/>
      <c r="R22" s="29"/>
      <c r="S22" s="29"/>
      <c r="T22" s="29"/>
      <c r="U22" s="29"/>
      <c r="V22" s="29"/>
      <c r="W22" s="29"/>
      <c r="X22" s="29"/>
      <c r="Y22" s="29"/>
      <c r="Z22" s="29"/>
      <c r="AA22" s="29"/>
      <c r="AB22" s="30"/>
      <c r="AC22" s="7"/>
      <c r="AD22" s="7"/>
      <c r="AE22" s="7"/>
      <c r="AF22" s="7"/>
      <c r="AG22" s="7"/>
      <c r="AH22" s="7"/>
      <c r="AI22" s="7"/>
      <c r="AJ22" s="7"/>
      <c r="AK22" s="7"/>
      <c r="AL22" s="7"/>
      <c r="AM22" s="7"/>
      <c r="AN22" s="7"/>
      <c r="AO22" s="7"/>
      <c r="AP22" s="7"/>
      <c r="AQ22" s="7"/>
    </row>
    <row r="23" spans="1:43" ht="15.5" thickBot="1" x14ac:dyDescent="0.9">
      <c r="A23" s="1"/>
      <c r="B23" s="1"/>
      <c r="C23" s="1"/>
      <c r="D23" s="1"/>
      <c r="E23" s="1"/>
      <c r="F23" s="1"/>
      <c r="G23" s="1"/>
      <c r="H23" s="1"/>
      <c r="I23" s="1"/>
      <c r="J23" s="1"/>
      <c r="K23" s="1"/>
      <c r="L23" s="1"/>
      <c r="M23" s="1"/>
      <c r="N23" s="1"/>
      <c r="O23" s="1"/>
      <c r="P23" s="32"/>
      <c r="Q23" s="33"/>
      <c r="R23" s="33"/>
      <c r="S23" s="33"/>
      <c r="T23" s="33"/>
      <c r="U23" s="33"/>
      <c r="V23" s="33"/>
      <c r="W23" s="33"/>
      <c r="X23" s="33"/>
      <c r="Y23" s="33"/>
      <c r="Z23" s="33"/>
      <c r="AA23" s="33"/>
      <c r="AB23" s="34"/>
      <c r="AC23" s="7"/>
      <c r="AD23" s="7"/>
      <c r="AE23" s="7"/>
      <c r="AF23" s="7"/>
      <c r="AG23" s="7"/>
      <c r="AH23" s="7"/>
      <c r="AI23" s="7"/>
      <c r="AJ23" s="7"/>
      <c r="AK23" s="7"/>
      <c r="AL23" s="7"/>
      <c r="AM23" s="7"/>
      <c r="AN23" s="7"/>
      <c r="AO23" s="7"/>
      <c r="AP23" s="7"/>
      <c r="AQ23" s="7"/>
    </row>
    <row r="24" spans="1:43" ht="31" thickBot="1" x14ac:dyDescent="0.9">
      <c r="A24" s="1"/>
      <c r="B24" s="1"/>
      <c r="C24" s="1"/>
      <c r="D24" s="1"/>
      <c r="E24" s="1"/>
      <c r="F24" s="1"/>
      <c r="G24" s="1"/>
      <c r="H24" s="1"/>
      <c r="I24" s="1"/>
      <c r="J24" s="1"/>
      <c r="K24" s="1"/>
      <c r="L24" s="1"/>
      <c r="M24" s="1"/>
      <c r="N24" s="1"/>
      <c r="O24" s="1"/>
      <c r="P24" s="32"/>
      <c r="Q24" s="33"/>
      <c r="R24" s="263" t="s">
        <v>136</v>
      </c>
      <c r="S24" s="264"/>
      <c r="T24" s="264"/>
      <c r="U24" s="264"/>
      <c r="V24" s="264"/>
      <c r="W24" s="264"/>
      <c r="X24" s="264"/>
      <c r="Y24" s="264"/>
      <c r="Z24" s="265"/>
      <c r="AA24" s="33"/>
      <c r="AB24" s="34"/>
      <c r="AC24" s="7"/>
      <c r="AD24" s="7"/>
      <c r="AE24" s="7"/>
      <c r="AF24" s="7"/>
      <c r="AG24" s="7"/>
      <c r="AH24" s="7"/>
      <c r="AI24" s="7"/>
      <c r="AJ24" s="7"/>
      <c r="AK24" s="7"/>
      <c r="AL24" s="7"/>
      <c r="AM24" s="7"/>
      <c r="AN24" s="7"/>
      <c r="AO24" s="7"/>
      <c r="AP24" s="7"/>
      <c r="AQ24" s="7"/>
    </row>
    <row r="25" spans="1:43" ht="15.5" customHeight="1" x14ac:dyDescent="0.75">
      <c r="A25" s="1"/>
      <c r="B25" s="1"/>
      <c r="C25" s="1"/>
      <c r="D25" s="1"/>
      <c r="E25" s="1"/>
      <c r="F25" s="1"/>
      <c r="G25" s="1"/>
      <c r="H25" s="1"/>
      <c r="I25" s="1"/>
      <c r="J25" s="1"/>
      <c r="K25" s="1"/>
      <c r="L25" s="1"/>
      <c r="M25" s="1"/>
      <c r="N25" s="1"/>
      <c r="O25" s="1"/>
      <c r="P25" s="32"/>
      <c r="Q25" s="33"/>
      <c r="R25" s="79"/>
      <c r="S25" s="79"/>
      <c r="T25" s="79"/>
      <c r="U25" s="79"/>
      <c r="V25" s="79"/>
      <c r="W25" s="79"/>
      <c r="X25" s="79"/>
      <c r="Y25" s="79"/>
      <c r="Z25" s="79"/>
      <c r="AA25" s="33"/>
      <c r="AB25" s="34"/>
      <c r="AC25" s="7"/>
      <c r="AD25" s="7"/>
      <c r="AE25" s="7"/>
      <c r="AF25" s="7"/>
      <c r="AG25" s="7"/>
      <c r="AH25" s="7"/>
      <c r="AI25" s="7"/>
      <c r="AJ25" s="7"/>
      <c r="AK25" s="7"/>
      <c r="AL25" s="7"/>
      <c r="AM25" s="7"/>
      <c r="AN25" s="7"/>
      <c r="AO25" s="7"/>
      <c r="AP25" s="7"/>
      <c r="AQ25" s="7"/>
    </row>
    <row r="26" spans="1:43" ht="15.5" customHeight="1" x14ac:dyDescent="0.75">
      <c r="A26" s="1"/>
      <c r="B26" s="1"/>
      <c r="C26" s="1"/>
      <c r="D26" s="1"/>
      <c r="E26" s="1"/>
      <c r="F26" s="1"/>
      <c r="G26" s="1"/>
      <c r="H26" s="1"/>
      <c r="I26" s="1"/>
      <c r="J26" s="1"/>
      <c r="K26" s="1"/>
      <c r="L26" s="1"/>
      <c r="M26" s="1"/>
      <c r="N26" s="1"/>
      <c r="O26" s="1"/>
      <c r="P26" s="32"/>
      <c r="Q26" s="33"/>
      <c r="R26" s="79"/>
      <c r="S26" s="79"/>
      <c r="T26" s="79"/>
      <c r="U26" s="79"/>
      <c r="V26" s="79"/>
      <c r="W26" s="79"/>
      <c r="X26" s="79"/>
      <c r="Y26" s="79"/>
      <c r="Z26" s="79"/>
      <c r="AA26" s="33"/>
      <c r="AB26" s="34"/>
      <c r="AC26" s="7"/>
      <c r="AD26" s="7"/>
      <c r="AE26" s="7"/>
      <c r="AF26" s="7"/>
      <c r="AG26" s="7"/>
      <c r="AH26" s="7"/>
      <c r="AI26" s="7"/>
      <c r="AJ26" s="7"/>
      <c r="AK26" s="7"/>
      <c r="AL26" s="7"/>
      <c r="AM26" s="7"/>
      <c r="AN26" s="7"/>
      <c r="AO26" s="7"/>
      <c r="AP26" s="7"/>
      <c r="AQ26" s="7"/>
    </row>
    <row r="27" spans="1:43" ht="15.5" customHeight="1" x14ac:dyDescent="0.75">
      <c r="A27" s="1"/>
      <c r="B27" s="1"/>
      <c r="C27" s="1"/>
      <c r="D27" s="1"/>
      <c r="E27" s="1"/>
      <c r="F27" s="1"/>
      <c r="G27" s="1"/>
      <c r="H27" s="1"/>
      <c r="I27" s="1"/>
      <c r="J27" s="1"/>
      <c r="K27" s="1"/>
      <c r="L27" s="1"/>
      <c r="M27" s="1"/>
      <c r="N27" s="1"/>
      <c r="O27" s="1"/>
      <c r="P27" s="32"/>
      <c r="Q27" s="33"/>
      <c r="R27" s="79"/>
      <c r="S27" s="154"/>
      <c r="T27" s="80"/>
      <c r="U27" s="80"/>
      <c r="V27" s="79"/>
      <c r="W27" s="79"/>
      <c r="X27" s="79"/>
      <c r="Y27" s="79"/>
      <c r="Z27" s="79"/>
      <c r="AA27" s="33"/>
      <c r="AB27" s="34"/>
      <c r="AC27" s="7"/>
      <c r="AD27" s="7"/>
      <c r="AE27" s="7"/>
      <c r="AF27" s="7"/>
      <c r="AG27" s="7"/>
      <c r="AH27" s="7"/>
      <c r="AI27" s="7"/>
      <c r="AJ27" s="7"/>
      <c r="AK27" s="7"/>
      <c r="AL27" s="7"/>
      <c r="AM27" s="7"/>
      <c r="AN27" s="7"/>
      <c r="AO27" s="7"/>
      <c r="AP27" s="7"/>
      <c r="AQ27" s="7"/>
    </row>
    <row r="28" spans="1:43" ht="15.5" customHeight="1" x14ac:dyDescent="0.75">
      <c r="A28" s="1"/>
      <c r="B28" s="1"/>
      <c r="C28" s="1"/>
      <c r="D28" s="1"/>
      <c r="E28" s="1"/>
      <c r="F28" s="1"/>
      <c r="G28" s="1"/>
      <c r="H28" s="1"/>
      <c r="I28" s="1"/>
      <c r="J28" s="1"/>
      <c r="K28" s="1"/>
      <c r="L28" s="1"/>
      <c r="M28" s="1"/>
      <c r="N28" s="1"/>
      <c r="O28" s="1"/>
      <c r="P28" s="32"/>
      <c r="Q28" s="33"/>
      <c r="R28" s="79"/>
      <c r="S28" s="80"/>
      <c r="T28" s="80"/>
      <c r="U28" s="80"/>
      <c r="V28" s="80"/>
      <c r="W28" s="80"/>
      <c r="X28" s="80"/>
      <c r="Y28" s="80"/>
      <c r="Z28" s="80"/>
      <c r="AA28" s="33"/>
      <c r="AB28" s="34"/>
      <c r="AC28" s="7"/>
      <c r="AD28" s="7"/>
      <c r="AE28" s="7"/>
      <c r="AF28" s="7"/>
      <c r="AG28" s="7"/>
      <c r="AH28" s="7"/>
      <c r="AI28" s="7"/>
      <c r="AJ28" s="7"/>
      <c r="AK28" s="7"/>
      <c r="AL28" s="7"/>
      <c r="AM28" s="7"/>
      <c r="AN28" s="7"/>
      <c r="AO28" s="7"/>
      <c r="AP28" s="7"/>
      <c r="AQ28" s="7"/>
    </row>
    <row r="29" spans="1:43" ht="15.5" customHeight="1" x14ac:dyDescent="0.75">
      <c r="A29" s="1"/>
      <c r="B29" s="1"/>
      <c r="C29" s="1"/>
      <c r="D29" s="1"/>
      <c r="E29" s="1"/>
      <c r="F29" s="1"/>
      <c r="G29" s="1"/>
      <c r="H29" s="1"/>
      <c r="I29" s="1"/>
      <c r="J29" s="1"/>
      <c r="K29" s="1"/>
      <c r="L29" s="1"/>
      <c r="M29" s="1"/>
      <c r="N29" s="1"/>
      <c r="O29" s="1"/>
      <c r="P29" s="32"/>
      <c r="Q29" s="33"/>
      <c r="R29" s="79"/>
      <c r="S29" s="80"/>
      <c r="T29" s="80"/>
      <c r="U29" s="80"/>
      <c r="V29" s="80"/>
      <c r="W29" s="80"/>
      <c r="X29" s="80"/>
      <c r="Y29" s="80"/>
      <c r="Z29" s="80"/>
      <c r="AA29" s="33"/>
      <c r="AB29" s="34"/>
      <c r="AC29" s="7"/>
      <c r="AD29" s="7"/>
      <c r="AE29" s="7"/>
      <c r="AF29" s="7"/>
      <c r="AG29" s="7"/>
      <c r="AH29" s="7"/>
      <c r="AI29" s="7"/>
      <c r="AJ29" s="7"/>
      <c r="AK29" s="7"/>
      <c r="AL29" s="7"/>
      <c r="AM29" s="7"/>
      <c r="AN29" s="7"/>
      <c r="AO29" s="7"/>
      <c r="AP29" s="7"/>
      <c r="AQ29" s="7"/>
    </row>
    <row r="30" spans="1:43" ht="15.5" customHeight="1" x14ac:dyDescent="0.75">
      <c r="A30" s="1"/>
      <c r="B30" s="1"/>
      <c r="C30" s="1"/>
      <c r="D30" s="1"/>
      <c r="E30" s="1"/>
      <c r="F30" s="1"/>
      <c r="G30" s="1"/>
      <c r="H30" s="1"/>
      <c r="I30" s="1"/>
      <c r="J30" s="1"/>
      <c r="K30" s="1"/>
      <c r="L30" s="1"/>
      <c r="M30" s="1"/>
      <c r="N30" s="1"/>
      <c r="O30" s="1"/>
      <c r="P30" s="32"/>
      <c r="Q30" s="33"/>
      <c r="R30" s="79"/>
      <c r="S30" s="80"/>
      <c r="T30" s="81" t="s">
        <v>137</v>
      </c>
      <c r="U30" s="80"/>
      <c r="V30" s="80"/>
      <c r="W30" s="80"/>
      <c r="X30" s="80"/>
      <c r="Y30" s="80"/>
      <c r="Z30" s="80"/>
      <c r="AA30" s="33"/>
      <c r="AB30" s="34"/>
      <c r="AC30" s="7"/>
      <c r="AD30" s="7"/>
      <c r="AE30" s="7"/>
      <c r="AF30" s="7"/>
      <c r="AG30" s="7"/>
      <c r="AH30" s="7"/>
      <c r="AI30" s="7"/>
      <c r="AJ30" s="7"/>
      <c r="AK30" s="7"/>
      <c r="AL30" s="7"/>
      <c r="AM30" s="7"/>
      <c r="AN30" s="7"/>
      <c r="AO30" s="7"/>
      <c r="AP30" s="7"/>
      <c r="AQ30" s="7"/>
    </row>
    <row r="31" spans="1:43" ht="15.5" customHeight="1" x14ac:dyDescent="0.75">
      <c r="A31" s="1"/>
      <c r="B31" s="1"/>
      <c r="C31" s="1"/>
      <c r="D31" s="1"/>
      <c r="E31" s="1"/>
      <c r="F31" s="1"/>
      <c r="G31" s="1"/>
      <c r="H31" s="1"/>
      <c r="I31" s="1"/>
      <c r="J31" s="1"/>
      <c r="K31" s="1"/>
      <c r="L31" s="1"/>
      <c r="M31" s="1"/>
      <c r="N31" s="1"/>
      <c r="O31" s="1"/>
      <c r="P31" s="32"/>
      <c r="Q31" s="33"/>
      <c r="R31" s="79"/>
      <c r="S31" s="80"/>
      <c r="T31" s="81" t="s">
        <v>138</v>
      </c>
      <c r="U31" s="154"/>
      <c r="V31" s="80"/>
      <c r="W31" s="80"/>
      <c r="X31" s="80"/>
      <c r="Y31" s="80"/>
      <c r="Z31" s="80"/>
      <c r="AA31" s="33"/>
      <c r="AB31" s="34"/>
      <c r="AC31" s="7"/>
      <c r="AD31" s="7"/>
      <c r="AE31" s="7"/>
      <c r="AF31" s="7"/>
      <c r="AG31" s="7"/>
      <c r="AH31" s="7"/>
      <c r="AI31" s="7"/>
      <c r="AJ31" s="7"/>
      <c r="AK31" s="7"/>
      <c r="AL31" s="7"/>
      <c r="AM31" s="7"/>
      <c r="AN31" s="7"/>
      <c r="AO31" s="7"/>
      <c r="AP31" s="7"/>
      <c r="AQ31" s="7"/>
    </row>
    <row r="32" spans="1:43" ht="15.5" customHeight="1" x14ac:dyDescent="0.75">
      <c r="A32" s="1"/>
      <c r="B32" s="1"/>
      <c r="C32" s="1"/>
      <c r="D32" s="1"/>
      <c r="E32" s="1"/>
      <c r="F32" s="1"/>
      <c r="G32" s="1"/>
      <c r="H32" s="1"/>
      <c r="I32" s="1"/>
      <c r="J32" s="1"/>
      <c r="K32" s="1"/>
      <c r="L32" s="1"/>
      <c r="M32" s="1"/>
      <c r="N32" s="1"/>
      <c r="O32" s="1"/>
      <c r="P32" s="32"/>
      <c r="Q32" s="33"/>
      <c r="R32" s="79"/>
      <c r="S32" s="80"/>
      <c r="T32" s="80"/>
      <c r="U32" s="154"/>
      <c r="V32" s="80"/>
      <c r="W32" s="80"/>
      <c r="X32" s="80"/>
      <c r="Y32" s="80"/>
      <c r="Z32" s="80"/>
      <c r="AA32" s="33"/>
      <c r="AB32" s="34"/>
      <c r="AC32" s="7"/>
      <c r="AD32" s="7"/>
      <c r="AE32" s="7"/>
      <c r="AF32" s="7"/>
      <c r="AG32" s="7"/>
      <c r="AH32" s="7"/>
      <c r="AI32" s="7"/>
      <c r="AJ32" s="7"/>
      <c r="AK32" s="7"/>
      <c r="AL32" s="7"/>
      <c r="AM32" s="7"/>
      <c r="AN32" s="7"/>
      <c r="AO32" s="7"/>
      <c r="AP32" s="7"/>
      <c r="AQ32" s="7"/>
    </row>
    <row r="33" spans="1:43" ht="15.5" customHeight="1" x14ac:dyDescent="0.75">
      <c r="A33" s="1"/>
      <c r="B33" s="1"/>
      <c r="C33" s="1"/>
      <c r="D33" s="1"/>
      <c r="E33" s="1"/>
      <c r="F33" s="1"/>
      <c r="G33" s="1"/>
      <c r="H33" s="1"/>
      <c r="I33" s="1"/>
      <c r="J33" s="1"/>
      <c r="K33" s="1"/>
      <c r="L33" s="1"/>
      <c r="M33" s="1"/>
      <c r="N33" s="1"/>
      <c r="O33" s="1"/>
      <c r="P33" s="32"/>
      <c r="Q33" s="33"/>
      <c r="R33" s="79"/>
      <c r="S33" s="80"/>
      <c r="T33" s="80"/>
      <c r="U33" s="80"/>
      <c r="V33" s="82"/>
      <c r="W33" s="82"/>
      <c r="X33" s="82"/>
      <c r="Y33" s="82"/>
      <c r="Z33" s="82"/>
      <c r="AA33" s="33"/>
      <c r="AB33" s="34"/>
      <c r="AC33" s="7"/>
      <c r="AD33" s="7"/>
      <c r="AE33" s="7"/>
      <c r="AF33" s="7"/>
      <c r="AG33" s="7"/>
      <c r="AH33" s="7"/>
      <c r="AI33" s="7"/>
      <c r="AJ33" s="7"/>
      <c r="AK33" s="7"/>
      <c r="AL33" s="7"/>
      <c r="AM33" s="7"/>
      <c r="AN33" s="7"/>
      <c r="AO33" s="7"/>
      <c r="AP33" s="7"/>
      <c r="AQ33" s="7"/>
    </row>
    <row r="34" spans="1:43" ht="15.5" customHeight="1" x14ac:dyDescent="0.75">
      <c r="A34" s="1"/>
      <c r="B34" s="1"/>
      <c r="C34" s="1"/>
      <c r="D34" s="1"/>
      <c r="E34" s="1"/>
      <c r="F34" s="1"/>
      <c r="G34" s="1"/>
      <c r="H34" s="1"/>
      <c r="I34" s="1"/>
      <c r="J34" s="1"/>
      <c r="K34" s="1"/>
      <c r="L34" s="1"/>
      <c r="M34" s="1"/>
      <c r="N34" s="1"/>
      <c r="O34" s="1"/>
      <c r="P34" s="32"/>
      <c r="Q34" s="33"/>
      <c r="R34" s="79"/>
      <c r="S34" s="80"/>
      <c r="T34" s="80"/>
      <c r="U34" s="80"/>
      <c r="V34" s="80"/>
      <c r="W34" s="80"/>
      <c r="X34" s="80"/>
      <c r="Y34" s="80"/>
      <c r="Z34" s="80"/>
      <c r="AA34" s="33"/>
      <c r="AB34" s="34"/>
      <c r="AC34" s="7"/>
      <c r="AD34" s="7"/>
      <c r="AE34" s="7"/>
      <c r="AF34" s="7"/>
      <c r="AG34" s="7"/>
      <c r="AH34" s="7"/>
      <c r="AI34" s="7"/>
      <c r="AJ34" s="7"/>
      <c r="AK34" s="7"/>
      <c r="AL34" s="7"/>
      <c r="AM34" s="7"/>
      <c r="AN34" s="7"/>
      <c r="AO34" s="7"/>
      <c r="AP34" s="7"/>
      <c r="AQ34" s="7"/>
    </row>
    <row r="35" spans="1:43" ht="15.5" customHeight="1" x14ac:dyDescent="0.75">
      <c r="A35" s="1"/>
      <c r="B35" s="1"/>
      <c r="C35" s="1"/>
      <c r="D35" s="1"/>
      <c r="E35" s="1"/>
      <c r="F35" s="1"/>
      <c r="G35" s="1"/>
      <c r="H35" s="1"/>
      <c r="I35" s="1"/>
      <c r="J35" s="1"/>
      <c r="K35" s="1"/>
      <c r="L35" s="1"/>
      <c r="M35" s="1"/>
      <c r="N35" s="1"/>
      <c r="O35" s="1"/>
      <c r="P35" s="32"/>
      <c r="Q35" s="33"/>
      <c r="R35" s="79"/>
      <c r="S35" s="80"/>
      <c r="T35" s="80"/>
      <c r="U35" s="80"/>
      <c r="V35" s="277" t="s">
        <v>139</v>
      </c>
      <c r="W35" s="277"/>
      <c r="X35" s="277"/>
      <c r="Y35" s="206">
        <v>5</v>
      </c>
      <c r="Z35" s="33" t="s">
        <v>24</v>
      </c>
      <c r="AA35" s="33"/>
      <c r="AB35" s="34"/>
      <c r="AC35" s="7"/>
      <c r="AD35" s="7"/>
      <c r="AE35" s="7"/>
      <c r="AF35" s="7"/>
      <c r="AG35" s="7"/>
      <c r="AH35" s="7"/>
      <c r="AI35" s="7"/>
      <c r="AJ35" s="7"/>
      <c r="AK35" s="7"/>
      <c r="AL35" s="7"/>
      <c r="AM35" s="7"/>
      <c r="AN35" s="7"/>
      <c r="AO35" s="7"/>
      <c r="AP35" s="7"/>
      <c r="AQ35" s="7"/>
    </row>
    <row r="36" spans="1:43" ht="15.5" customHeight="1" x14ac:dyDescent="0.75">
      <c r="A36" s="1"/>
      <c r="B36" s="1"/>
      <c r="C36" s="1"/>
      <c r="D36" s="1"/>
      <c r="E36" s="1"/>
      <c r="F36" s="1"/>
      <c r="G36" s="1"/>
      <c r="H36" s="1"/>
      <c r="I36" s="1"/>
      <c r="J36" s="1"/>
      <c r="K36" s="1"/>
      <c r="L36" s="1"/>
      <c r="M36" s="1"/>
      <c r="N36" s="1"/>
      <c r="O36" s="1"/>
      <c r="P36" s="32"/>
      <c r="Q36" s="33"/>
      <c r="R36" s="79"/>
      <c r="S36" s="80"/>
      <c r="T36" s="80"/>
      <c r="U36" s="80"/>
      <c r="V36" s="277" t="s">
        <v>140</v>
      </c>
      <c r="W36" s="277"/>
      <c r="X36" s="277"/>
      <c r="Y36" s="218">
        <f>-10*LOG10(3282.81*((SIN(RADIANS('Backend Data'!D30))^2/('Backend Data'!D30^2))))</f>
        <v>0.39714257970062428</v>
      </c>
      <c r="Z36" s="83" t="s">
        <v>33</v>
      </c>
      <c r="AA36" s="33"/>
      <c r="AB36" s="34"/>
      <c r="AC36" s="7"/>
      <c r="AD36" s="7"/>
      <c r="AE36" s="7"/>
      <c r="AF36" s="7"/>
      <c r="AG36" s="7"/>
      <c r="AH36" s="7"/>
      <c r="AI36" s="7"/>
      <c r="AJ36" s="7"/>
      <c r="AK36" s="7"/>
      <c r="AL36" s="7"/>
      <c r="AM36" s="7"/>
      <c r="AN36" s="7"/>
      <c r="AO36" s="7"/>
      <c r="AP36" s="7"/>
      <c r="AQ36" s="7"/>
    </row>
    <row r="37" spans="1:43" ht="15.5" customHeight="1" x14ac:dyDescent="0.75">
      <c r="A37" s="1"/>
      <c r="B37" s="1"/>
      <c r="C37" s="1"/>
      <c r="D37" s="1"/>
      <c r="E37" s="1"/>
      <c r="F37" s="1"/>
      <c r="G37" s="1"/>
      <c r="H37" s="1"/>
      <c r="I37" s="1"/>
      <c r="J37" s="1"/>
      <c r="K37" s="1"/>
      <c r="L37" s="1"/>
      <c r="M37" s="1"/>
      <c r="N37" s="1"/>
      <c r="O37" s="1"/>
      <c r="P37" s="32"/>
      <c r="Q37" s="33"/>
      <c r="R37" s="79"/>
      <c r="S37" s="80"/>
      <c r="T37" s="80"/>
      <c r="U37" s="80"/>
      <c r="V37" s="277" t="s">
        <v>141</v>
      </c>
      <c r="W37" s="277"/>
      <c r="X37" s="277"/>
      <c r="Y37" s="206">
        <v>20</v>
      </c>
      <c r="Z37" s="33" t="s">
        <v>24</v>
      </c>
      <c r="AA37" s="33"/>
      <c r="AB37" s="34"/>
      <c r="AC37" s="7"/>
      <c r="AD37" s="7"/>
      <c r="AE37" s="7"/>
      <c r="AF37" s="7"/>
      <c r="AG37" s="7"/>
      <c r="AH37" s="7"/>
      <c r="AI37" s="7"/>
      <c r="AJ37" s="7"/>
      <c r="AK37" s="7"/>
      <c r="AL37" s="7"/>
      <c r="AM37" s="7"/>
      <c r="AN37" s="7"/>
      <c r="AO37" s="7"/>
      <c r="AP37" s="7"/>
      <c r="AQ37" s="7"/>
    </row>
    <row r="38" spans="1:43" ht="15.5" customHeight="1" x14ac:dyDescent="0.75">
      <c r="A38" s="1"/>
      <c r="B38" s="1"/>
      <c r="C38" s="1"/>
      <c r="D38" s="1"/>
      <c r="E38" s="1"/>
      <c r="F38" s="1"/>
      <c r="G38" s="1"/>
      <c r="H38" s="1"/>
      <c r="I38" s="1"/>
      <c r="J38" s="1"/>
      <c r="K38" s="1"/>
      <c r="L38" s="1"/>
      <c r="M38" s="1"/>
      <c r="N38" s="1"/>
      <c r="O38" s="1"/>
      <c r="P38" s="32"/>
      <c r="Q38" s="33"/>
      <c r="R38" s="79"/>
      <c r="S38" s="80"/>
      <c r="T38" s="80"/>
      <c r="U38" s="80"/>
      <c r="V38" s="277" t="s">
        <v>142</v>
      </c>
      <c r="W38" s="277"/>
      <c r="X38" s="277"/>
      <c r="Y38" s="207">
        <f>INDEX('Backend Data'!S14:S17,Antennas!AA21, 1)</f>
        <v>0.3</v>
      </c>
      <c r="Z38" s="83" t="s">
        <v>33</v>
      </c>
      <c r="AA38" s="33"/>
      <c r="AB38" s="34"/>
      <c r="AC38" s="7"/>
      <c r="AD38" s="7"/>
      <c r="AE38" s="7"/>
      <c r="AF38" s="7"/>
      <c r="AG38" s="7"/>
      <c r="AH38" s="7"/>
      <c r="AI38" s="7"/>
      <c r="AJ38" s="7"/>
      <c r="AK38" s="7"/>
      <c r="AL38" s="7"/>
      <c r="AM38" s="7"/>
      <c r="AN38" s="7"/>
      <c r="AO38" s="7"/>
      <c r="AP38" s="7"/>
      <c r="AQ38" s="7"/>
    </row>
    <row r="39" spans="1:43" ht="15.5" customHeight="1" x14ac:dyDescent="0.75">
      <c r="A39" s="1"/>
      <c r="B39" s="1"/>
      <c r="C39" s="1"/>
      <c r="D39" s="1"/>
      <c r="E39" s="1"/>
      <c r="F39" s="1"/>
      <c r="G39" s="1"/>
      <c r="H39" s="1"/>
      <c r="I39" s="1"/>
      <c r="J39" s="1"/>
      <c r="K39" s="1"/>
      <c r="L39" s="1"/>
      <c r="M39" s="1"/>
      <c r="N39" s="1"/>
      <c r="O39" s="1"/>
      <c r="P39" s="32"/>
      <c r="Q39" s="33"/>
      <c r="R39" s="79"/>
      <c r="S39" s="80"/>
      <c r="T39" s="80"/>
      <c r="U39" s="80"/>
      <c r="V39" s="277"/>
      <c r="W39" s="277"/>
      <c r="X39" s="277"/>
      <c r="Y39" s="85"/>
      <c r="Z39" s="83"/>
      <c r="AA39" s="33"/>
      <c r="AB39" s="34"/>
      <c r="AC39" s="7"/>
      <c r="AD39" s="7"/>
      <c r="AE39" s="7"/>
      <c r="AF39" s="7"/>
      <c r="AG39" s="7"/>
      <c r="AH39" s="7"/>
      <c r="AI39" s="7"/>
      <c r="AJ39" s="7"/>
      <c r="AK39" s="7"/>
      <c r="AL39" s="7"/>
      <c r="AM39" s="7"/>
      <c r="AN39" s="7"/>
      <c r="AO39" s="7"/>
      <c r="AP39" s="7"/>
      <c r="AQ39" s="7"/>
    </row>
    <row r="40" spans="1:43" ht="15.5" customHeight="1" x14ac:dyDescent="0.75">
      <c r="A40" s="1"/>
      <c r="B40" s="1"/>
      <c r="C40" s="1"/>
      <c r="D40" s="1"/>
      <c r="E40" s="1"/>
      <c r="F40" s="1"/>
      <c r="G40" s="1"/>
      <c r="H40" s="1"/>
      <c r="I40" s="1"/>
      <c r="J40" s="1"/>
      <c r="K40" s="1"/>
      <c r="L40" s="1"/>
      <c r="M40" s="1"/>
      <c r="N40" s="1"/>
      <c r="O40" s="1"/>
      <c r="P40" s="32"/>
      <c r="Q40" s="33"/>
      <c r="R40" s="79"/>
      <c r="S40" s="80"/>
      <c r="T40" s="80"/>
      <c r="U40" s="80"/>
      <c r="V40" s="80"/>
      <c r="W40" s="80"/>
      <c r="X40" s="80"/>
      <c r="Y40" s="80"/>
      <c r="Z40" s="80"/>
      <c r="AA40" s="33"/>
      <c r="AB40" s="34"/>
      <c r="AC40" s="7"/>
      <c r="AD40" s="7"/>
      <c r="AE40" s="7"/>
      <c r="AF40" s="7"/>
      <c r="AG40" s="7"/>
      <c r="AH40" s="7"/>
      <c r="AI40" s="7"/>
      <c r="AJ40" s="7"/>
      <c r="AK40" s="7"/>
      <c r="AL40" s="7"/>
      <c r="AM40" s="7"/>
      <c r="AN40" s="7"/>
      <c r="AO40" s="7"/>
      <c r="AP40" s="7"/>
      <c r="AQ40" s="7"/>
    </row>
    <row r="41" spans="1:43" ht="15.5" customHeight="1" x14ac:dyDescent="0.75">
      <c r="A41" s="1"/>
      <c r="B41" s="1"/>
      <c r="C41" s="1"/>
      <c r="D41" s="1"/>
      <c r="E41" s="1"/>
      <c r="F41" s="1"/>
      <c r="G41" s="1"/>
      <c r="H41" s="1"/>
      <c r="I41" s="1"/>
      <c r="J41" s="1"/>
      <c r="K41" s="1"/>
      <c r="L41" s="1"/>
      <c r="M41" s="1"/>
      <c r="N41" s="1"/>
      <c r="O41" s="1"/>
      <c r="P41" s="32"/>
      <c r="Q41" s="33"/>
      <c r="R41" s="79"/>
      <c r="S41" s="80"/>
      <c r="T41" s="80"/>
      <c r="U41" s="80"/>
      <c r="V41" s="80"/>
      <c r="W41" s="80"/>
      <c r="X41" s="80"/>
      <c r="Y41" s="80"/>
      <c r="Z41" s="80"/>
      <c r="AA41" s="33"/>
      <c r="AB41" s="34"/>
      <c r="AC41" s="7"/>
      <c r="AD41" s="7"/>
      <c r="AE41" s="7"/>
      <c r="AF41" s="7"/>
      <c r="AG41" s="7"/>
      <c r="AH41" s="7"/>
      <c r="AI41" s="7"/>
      <c r="AJ41" s="7"/>
      <c r="AK41" s="7"/>
      <c r="AL41" s="7"/>
      <c r="AM41" s="7"/>
      <c r="AN41" s="7"/>
      <c r="AO41" s="7"/>
      <c r="AP41" s="7"/>
      <c r="AQ41" s="7"/>
    </row>
    <row r="42" spans="1:43" ht="15.5" customHeight="1" x14ac:dyDescent="0.75">
      <c r="A42" s="1"/>
      <c r="B42" s="1"/>
      <c r="C42" s="1"/>
      <c r="D42" s="1"/>
      <c r="E42" s="1"/>
      <c r="F42" s="1"/>
      <c r="G42" s="1"/>
      <c r="H42" s="1"/>
      <c r="I42" s="1"/>
      <c r="J42" s="1"/>
      <c r="K42" s="1"/>
      <c r="L42" s="1"/>
      <c r="M42" s="1"/>
      <c r="N42" s="1"/>
      <c r="O42" s="1"/>
      <c r="P42" s="32"/>
      <c r="Q42" s="33"/>
      <c r="R42" s="79"/>
      <c r="S42" s="80"/>
      <c r="T42" s="80"/>
      <c r="U42" s="80"/>
      <c r="V42" s="80"/>
      <c r="W42" s="80"/>
      <c r="X42" s="80"/>
      <c r="Y42" s="80"/>
      <c r="Z42" s="80"/>
      <c r="AA42" s="33"/>
      <c r="AB42" s="34"/>
      <c r="AC42" s="7"/>
      <c r="AD42" s="7"/>
      <c r="AE42" s="7"/>
      <c r="AF42" s="7"/>
      <c r="AG42" s="7"/>
      <c r="AH42" s="7"/>
      <c r="AI42" s="7"/>
      <c r="AJ42" s="7"/>
      <c r="AK42" s="7"/>
      <c r="AL42" s="7"/>
      <c r="AM42" s="7"/>
      <c r="AN42" s="7"/>
      <c r="AO42" s="7"/>
      <c r="AP42" s="7"/>
      <c r="AQ42" s="7"/>
    </row>
    <row r="43" spans="1:43" ht="15.5" customHeight="1" x14ac:dyDescent="0.75">
      <c r="A43" s="1"/>
      <c r="B43" s="1"/>
      <c r="C43" s="1"/>
      <c r="D43" s="1"/>
      <c r="E43" s="1"/>
      <c r="F43" s="1"/>
      <c r="G43" s="1"/>
      <c r="H43" s="1"/>
      <c r="I43" s="1"/>
      <c r="J43" s="1"/>
      <c r="K43" s="1"/>
      <c r="L43" s="1"/>
      <c r="M43" s="1"/>
      <c r="N43" s="1"/>
      <c r="O43" s="1"/>
      <c r="P43" s="32"/>
      <c r="Q43" s="33"/>
      <c r="R43" s="79"/>
      <c r="S43" s="80"/>
      <c r="T43" s="80"/>
      <c r="U43" s="80"/>
      <c r="V43" s="80"/>
      <c r="W43" s="80"/>
      <c r="X43" s="80"/>
      <c r="Y43" s="80"/>
      <c r="Z43" s="80"/>
      <c r="AA43" s="33"/>
      <c r="AB43" s="34"/>
      <c r="AC43" s="7"/>
      <c r="AD43" s="7"/>
      <c r="AE43" s="7"/>
      <c r="AF43" s="7"/>
      <c r="AG43" s="7"/>
      <c r="AH43" s="7"/>
      <c r="AI43" s="7"/>
      <c r="AJ43" s="7"/>
      <c r="AK43" s="7"/>
      <c r="AL43" s="7"/>
      <c r="AM43" s="7"/>
      <c r="AN43" s="7"/>
      <c r="AO43" s="7"/>
      <c r="AP43" s="7"/>
      <c r="AQ43" s="7"/>
    </row>
    <row r="44" spans="1:43" ht="15.5" customHeight="1" x14ac:dyDescent="0.75">
      <c r="A44" s="1"/>
      <c r="B44" s="1"/>
      <c r="C44" s="1"/>
      <c r="D44" s="1"/>
      <c r="E44" s="1"/>
      <c r="F44" s="1"/>
      <c r="G44" s="1"/>
      <c r="H44" s="1"/>
      <c r="I44" s="1"/>
      <c r="J44" s="1"/>
      <c r="K44" s="1"/>
      <c r="L44" s="1"/>
      <c r="M44" s="1"/>
      <c r="N44" s="1"/>
      <c r="O44" s="1"/>
      <c r="P44" s="32"/>
      <c r="Q44" s="33"/>
      <c r="R44" s="79"/>
      <c r="S44" s="80"/>
      <c r="T44" s="80"/>
      <c r="U44" s="80"/>
      <c r="V44" s="80"/>
      <c r="W44" s="80"/>
      <c r="X44" s="80"/>
      <c r="Y44" s="80"/>
      <c r="Z44" s="80"/>
      <c r="AA44" s="33"/>
      <c r="AB44" s="34"/>
      <c r="AC44" s="7"/>
      <c r="AD44" s="7"/>
      <c r="AE44" s="7"/>
      <c r="AF44" s="7"/>
      <c r="AG44" s="7"/>
      <c r="AH44" s="7"/>
      <c r="AI44" s="7"/>
      <c r="AJ44" s="7"/>
      <c r="AK44" s="7"/>
      <c r="AL44" s="7"/>
      <c r="AM44" s="7"/>
      <c r="AN44" s="7"/>
      <c r="AO44" s="7"/>
      <c r="AP44" s="7"/>
      <c r="AQ44" s="7"/>
    </row>
    <row r="45" spans="1:43" ht="15.5" customHeight="1" x14ac:dyDescent="0.75">
      <c r="A45" s="1"/>
      <c r="B45" s="1"/>
      <c r="C45" s="1"/>
      <c r="D45" s="1"/>
      <c r="E45" s="1"/>
      <c r="F45" s="1"/>
      <c r="G45" s="1"/>
      <c r="H45" s="1"/>
      <c r="I45" s="1"/>
      <c r="J45" s="1"/>
      <c r="K45" s="1"/>
      <c r="L45" s="1"/>
      <c r="M45" s="1"/>
      <c r="N45" s="1"/>
      <c r="O45" s="1"/>
      <c r="P45" s="32"/>
      <c r="Q45" s="33"/>
      <c r="R45" s="79"/>
      <c r="S45" s="80"/>
      <c r="T45" s="84" t="s">
        <v>143</v>
      </c>
      <c r="U45" s="154"/>
      <c r="V45" s="80"/>
      <c r="W45" s="80"/>
      <c r="X45" s="80"/>
      <c r="Y45" s="80"/>
      <c r="Z45" s="80"/>
      <c r="AA45" s="33"/>
      <c r="AB45" s="34"/>
      <c r="AC45" s="7"/>
      <c r="AD45" s="7"/>
      <c r="AE45" s="7"/>
      <c r="AF45" s="7"/>
      <c r="AG45" s="7"/>
      <c r="AH45" s="7"/>
      <c r="AI45" s="7"/>
      <c r="AJ45" s="7"/>
      <c r="AK45" s="7"/>
      <c r="AL45" s="7"/>
      <c r="AM45" s="7"/>
      <c r="AN45" s="7"/>
      <c r="AO45" s="7"/>
      <c r="AP45" s="7"/>
      <c r="AQ45" s="7"/>
    </row>
    <row r="46" spans="1:43" ht="15.5" customHeight="1" x14ac:dyDescent="0.75">
      <c r="A46" s="1"/>
      <c r="B46" s="1"/>
      <c r="C46" s="1"/>
      <c r="D46" s="1"/>
      <c r="E46" s="1"/>
      <c r="F46" s="1"/>
      <c r="G46" s="1"/>
      <c r="H46" s="1"/>
      <c r="I46" s="1"/>
      <c r="J46" s="1"/>
      <c r="K46" s="1"/>
      <c r="L46" s="1"/>
      <c r="M46" s="1"/>
      <c r="N46" s="1"/>
      <c r="O46" s="1"/>
      <c r="P46" s="32"/>
      <c r="Q46" s="33"/>
      <c r="R46" s="79"/>
      <c r="S46" s="80"/>
      <c r="T46" s="154" t="s">
        <v>138</v>
      </c>
      <c r="U46" s="80"/>
      <c r="V46" s="80"/>
      <c r="W46" s="80"/>
      <c r="X46" s="80"/>
      <c r="Y46" s="80"/>
      <c r="Z46" s="80"/>
      <c r="AA46" s="33"/>
      <c r="AB46" s="34"/>
      <c r="AC46" s="7"/>
      <c r="AD46" s="7"/>
      <c r="AE46" s="7"/>
      <c r="AF46" s="7"/>
      <c r="AG46" s="7"/>
      <c r="AH46" s="7"/>
      <c r="AI46" s="7"/>
      <c r="AJ46" s="7"/>
      <c r="AK46" s="7"/>
      <c r="AL46" s="7"/>
      <c r="AM46" s="7"/>
      <c r="AN46" s="7"/>
      <c r="AO46" s="7"/>
      <c r="AP46" s="7"/>
      <c r="AQ46" s="7"/>
    </row>
    <row r="47" spans="1:43" ht="15.5" customHeight="1" x14ac:dyDescent="0.75">
      <c r="A47" s="1"/>
      <c r="B47" s="1"/>
      <c r="C47" s="1"/>
      <c r="D47" s="1"/>
      <c r="E47" s="1"/>
      <c r="F47" s="1"/>
      <c r="G47" s="1"/>
      <c r="H47" s="1"/>
      <c r="I47" s="1"/>
      <c r="J47" s="1"/>
      <c r="K47" s="1"/>
      <c r="L47" s="1"/>
      <c r="M47" s="1"/>
      <c r="N47" s="1"/>
      <c r="O47" s="1"/>
      <c r="P47" s="32"/>
      <c r="Q47" s="33"/>
      <c r="R47" s="79"/>
      <c r="S47" s="80"/>
      <c r="T47" s="80"/>
      <c r="U47" s="154"/>
      <c r="V47" s="80"/>
      <c r="W47" s="80"/>
      <c r="X47" s="80"/>
      <c r="Y47" s="80"/>
      <c r="Z47" s="80"/>
      <c r="AA47" s="33"/>
      <c r="AB47" s="34"/>
      <c r="AC47" s="7"/>
      <c r="AD47" s="7"/>
      <c r="AE47" s="7"/>
      <c r="AF47" s="7"/>
      <c r="AG47" s="7"/>
      <c r="AH47" s="7"/>
      <c r="AI47" s="7"/>
      <c r="AJ47" s="7"/>
      <c r="AK47" s="7"/>
      <c r="AL47" s="7"/>
      <c r="AM47" s="7"/>
      <c r="AN47" s="7"/>
      <c r="AO47" s="7"/>
      <c r="AP47" s="7"/>
      <c r="AQ47" s="7"/>
    </row>
    <row r="48" spans="1:43" ht="15.5" customHeight="1" x14ac:dyDescent="0.75">
      <c r="A48" s="1"/>
      <c r="B48" s="1"/>
      <c r="C48" s="1"/>
      <c r="D48" s="1"/>
      <c r="E48" s="1"/>
      <c r="F48" s="1"/>
      <c r="G48" s="1"/>
      <c r="H48" s="1"/>
      <c r="I48" s="1"/>
      <c r="J48" s="1"/>
      <c r="K48" s="1"/>
      <c r="L48" s="1"/>
      <c r="M48" s="1"/>
      <c r="N48" s="1"/>
      <c r="O48" s="1"/>
      <c r="P48" s="32"/>
      <c r="Q48" s="33"/>
      <c r="R48" s="79"/>
      <c r="S48" s="79"/>
      <c r="T48" s="79"/>
      <c r="U48" s="79"/>
      <c r="V48" s="82"/>
      <c r="W48" s="82"/>
      <c r="X48" s="82"/>
      <c r="Y48" s="82"/>
      <c r="Z48" s="82"/>
      <c r="AA48" s="33"/>
      <c r="AB48" s="34"/>
      <c r="AC48" s="7"/>
      <c r="AD48" s="7"/>
      <c r="AE48" s="7"/>
      <c r="AF48" s="7"/>
      <c r="AG48" s="7"/>
      <c r="AH48" s="7"/>
      <c r="AI48" s="7"/>
      <c r="AJ48" s="7"/>
      <c r="AK48" s="7"/>
      <c r="AL48" s="7"/>
      <c r="AM48" s="7"/>
      <c r="AN48" s="7"/>
      <c r="AO48" s="7"/>
      <c r="AP48" s="7"/>
      <c r="AQ48" s="7"/>
    </row>
    <row r="49" spans="1:43" ht="15.5" customHeight="1" thickBot="1" x14ac:dyDescent="0.9">
      <c r="A49" s="1"/>
      <c r="B49" s="1"/>
      <c r="C49" s="1"/>
      <c r="D49" s="1"/>
      <c r="E49" s="1"/>
      <c r="F49" s="1"/>
      <c r="G49" s="1"/>
      <c r="H49" s="1"/>
      <c r="I49" s="1"/>
      <c r="J49" s="1"/>
      <c r="K49" s="1"/>
      <c r="L49" s="1"/>
      <c r="M49" s="1"/>
      <c r="N49" s="1"/>
      <c r="O49" s="1"/>
      <c r="P49" s="32"/>
      <c r="Q49" s="33"/>
      <c r="R49" s="79"/>
      <c r="S49" s="79"/>
      <c r="T49" s="79"/>
      <c r="U49" s="79"/>
      <c r="V49" s="79"/>
      <c r="W49" s="79"/>
      <c r="X49" s="79"/>
      <c r="Y49" s="79"/>
      <c r="Z49" s="79"/>
      <c r="AA49" s="33"/>
      <c r="AB49" s="34"/>
      <c r="AC49" s="7"/>
      <c r="AD49" s="7"/>
      <c r="AE49" s="7"/>
      <c r="AF49" s="7"/>
      <c r="AG49" s="7"/>
      <c r="AH49" s="7"/>
      <c r="AI49" s="7"/>
      <c r="AJ49" s="7"/>
      <c r="AK49" s="7"/>
      <c r="AL49" s="7"/>
      <c r="AM49" s="7"/>
      <c r="AN49" s="7"/>
      <c r="AO49" s="7"/>
      <c r="AP49" s="7"/>
      <c r="AQ49" s="7"/>
    </row>
    <row r="50" spans="1:43" ht="31" thickBot="1" x14ac:dyDescent="0.9">
      <c r="A50" s="1"/>
      <c r="B50" s="1"/>
      <c r="C50" s="1"/>
      <c r="D50" s="1"/>
      <c r="E50" s="1"/>
      <c r="F50" s="1"/>
      <c r="G50" s="1"/>
      <c r="H50" s="1"/>
      <c r="I50" s="1"/>
      <c r="J50" s="1"/>
      <c r="K50" s="1"/>
      <c r="L50" s="1"/>
      <c r="M50" s="1"/>
      <c r="N50" s="1"/>
      <c r="O50" s="1"/>
      <c r="P50" s="32"/>
      <c r="Q50" s="33"/>
      <c r="R50" s="263" t="s">
        <v>144</v>
      </c>
      <c r="S50" s="264"/>
      <c r="T50" s="264"/>
      <c r="U50" s="264"/>
      <c r="V50" s="264"/>
      <c r="W50" s="264"/>
      <c r="X50" s="264"/>
      <c r="Y50" s="264"/>
      <c r="Z50" s="265"/>
      <c r="AA50" s="33"/>
      <c r="AB50" s="34"/>
      <c r="AC50" s="7"/>
      <c r="AD50" s="7"/>
      <c r="AE50" s="7"/>
      <c r="AF50" s="7"/>
      <c r="AG50" s="7"/>
      <c r="AH50" s="7"/>
      <c r="AI50" s="7"/>
      <c r="AJ50" s="7"/>
      <c r="AK50" s="7"/>
      <c r="AL50" s="7"/>
      <c r="AM50" s="7"/>
      <c r="AN50" s="7"/>
      <c r="AO50" s="7"/>
      <c r="AP50" s="7"/>
      <c r="AQ50" s="7"/>
    </row>
    <row r="51" spans="1:43" ht="15.5" customHeight="1" x14ac:dyDescent="0.75">
      <c r="A51" s="1"/>
      <c r="B51" s="1"/>
      <c r="C51" s="1"/>
      <c r="D51" s="1"/>
      <c r="E51" s="1"/>
      <c r="F51" s="1"/>
      <c r="G51" s="1"/>
      <c r="H51" s="1"/>
      <c r="I51" s="1"/>
      <c r="J51" s="1"/>
      <c r="K51" s="1"/>
      <c r="L51" s="1"/>
      <c r="M51" s="1"/>
      <c r="N51" s="1"/>
      <c r="O51" s="1"/>
      <c r="P51" s="32"/>
      <c r="Q51" s="33"/>
      <c r="R51" s="79"/>
      <c r="S51" s="79"/>
      <c r="T51" s="79"/>
      <c r="U51" s="79"/>
      <c r="V51" s="79"/>
      <c r="W51" s="79"/>
      <c r="X51" s="79"/>
      <c r="Y51" s="79"/>
      <c r="Z51" s="79"/>
      <c r="AA51" s="33"/>
      <c r="AB51" s="34"/>
      <c r="AC51" s="7"/>
      <c r="AD51" s="7"/>
      <c r="AE51" s="7"/>
      <c r="AF51" s="7"/>
      <c r="AG51" s="7"/>
      <c r="AH51" s="7"/>
      <c r="AI51" s="7"/>
      <c r="AJ51" s="7"/>
      <c r="AK51" s="7"/>
      <c r="AL51" s="7"/>
      <c r="AM51" s="7"/>
      <c r="AN51" s="7"/>
      <c r="AO51" s="7"/>
      <c r="AP51" s="7"/>
      <c r="AQ51" s="7"/>
    </row>
    <row r="52" spans="1:43" ht="15.5" customHeight="1" x14ac:dyDescent="0.75">
      <c r="A52" s="1"/>
      <c r="B52" s="1"/>
      <c r="C52" s="1"/>
      <c r="D52" s="1"/>
      <c r="E52" s="1"/>
      <c r="F52" s="1"/>
      <c r="G52" s="1"/>
      <c r="H52" s="1"/>
      <c r="I52" s="1"/>
      <c r="J52" s="1"/>
      <c r="K52" s="1"/>
      <c r="L52" s="1"/>
      <c r="M52" s="1"/>
      <c r="N52" s="1"/>
      <c r="O52" s="1"/>
      <c r="P52" s="32"/>
      <c r="Q52" s="33"/>
      <c r="R52" s="80"/>
      <c r="S52" s="80"/>
      <c r="T52" s="80"/>
      <c r="U52" s="80"/>
      <c r="V52" s="80"/>
      <c r="W52" s="80"/>
      <c r="X52" s="79"/>
      <c r="Y52" s="79"/>
      <c r="Z52" s="79"/>
      <c r="AA52" s="33"/>
      <c r="AB52" s="34"/>
      <c r="AC52" s="7"/>
      <c r="AD52" s="7"/>
      <c r="AE52" s="7"/>
      <c r="AF52" s="7"/>
      <c r="AG52" s="7"/>
      <c r="AH52" s="7"/>
      <c r="AI52" s="7"/>
      <c r="AJ52" s="7"/>
      <c r="AK52" s="7"/>
      <c r="AL52" s="7"/>
      <c r="AM52" s="7"/>
      <c r="AN52" s="7"/>
      <c r="AO52" s="7"/>
      <c r="AP52" s="7"/>
      <c r="AQ52" s="7"/>
    </row>
    <row r="53" spans="1:43" x14ac:dyDescent="0.75">
      <c r="A53" s="1"/>
      <c r="B53" s="1"/>
      <c r="C53" s="1"/>
      <c r="D53" s="1"/>
      <c r="E53" s="1"/>
      <c r="F53" s="1"/>
      <c r="G53" s="1"/>
      <c r="H53" s="1"/>
      <c r="I53" s="1"/>
      <c r="J53" s="1"/>
      <c r="K53" s="1"/>
      <c r="L53" s="1"/>
      <c r="M53" s="1"/>
      <c r="N53" s="1"/>
      <c r="O53" s="1"/>
      <c r="P53" s="32"/>
      <c r="Q53" s="33"/>
      <c r="R53" s="325" t="s">
        <v>145</v>
      </c>
      <c r="S53" s="325"/>
      <c r="T53" s="325"/>
      <c r="U53" s="325"/>
      <c r="V53" s="325"/>
      <c r="W53" s="153"/>
      <c r="X53" s="83"/>
      <c r="Y53" s="83"/>
      <c r="Z53" s="83"/>
      <c r="AA53" s="33"/>
      <c r="AB53" s="34"/>
      <c r="AC53" s="7"/>
      <c r="AD53" s="7"/>
      <c r="AE53" s="7"/>
      <c r="AF53" s="7"/>
      <c r="AG53" s="7"/>
      <c r="AH53" s="7"/>
      <c r="AI53" s="7"/>
      <c r="AJ53" s="7"/>
      <c r="AK53" s="7"/>
      <c r="AL53" s="7"/>
      <c r="AM53" s="7"/>
      <c r="AN53" s="7"/>
      <c r="AO53" s="7"/>
      <c r="AP53" s="7"/>
      <c r="AQ53" s="7"/>
    </row>
    <row r="54" spans="1:43" x14ac:dyDescent="0.75">
      <c r="A54" s="1"/>
      <c r="B54" s="1"/>
      <c r="C54" s="1"/>
      <c r="D54" s="1"/>
      <c r="E54" s="1"/>
      <c r="F54" s="1"/>
      <c r="G54" s="1"/>
      <c r="H54" s="1"/>
      <c r="I54" s="1"/>
      <c r="J54" s="1"/>
      <c r="K54" s="1"/>
      <c r="L54" s="1"/>
      <c r="M54" s="1"/>
      <c r="N54" s="1"/>
      <c r="O54" s="1"/>
      <c r="P54" s="32"/>
      <c r="Q54" s="33"/>
      <c r="R54" s="321" t="s">
        <v>146</v>
      </c>
      <c r="S54" s="321"/>
      <c r="T54" s="321"/>
      <c r="U54" s="206">
        <v>1</v>
      </c>
      <c r="V54" s="83" t="s">
        <v>33</v>
      </c>
      <c r="W54" s="85"/>
      <c r="X54" s="83"/>
      <c r="Y54" s="83"/>
      <c r="Z54" s="83"/>
      <c r="AA54" s="33"/>
      <c r="AB54" s="34"/>
      <c r="AC54" s="7"/>
      <c r="AD54" s="7"/>
      <c r="AE54" s="7"/>
      <c r="AF54" s="7"/>
      <c r="AG54" s="7"/>
      <c r="AH54" s="7"/>
      <c r="AI54" s="7"/>
      <c r="AJ54" s="7"/>
      <c r="AK54" s="7"/>
      <c r="AL54" s="7"/>
      <c r="AM54" s="7"/>
      <c r="AN54" s="7"/>
      <c r="AO54" s="7"/>
      <c r="AP54" s="7"/>
      <c r="AQ54" s="7"/>
    </row>
    <row r="55" spans="1:43" x14ac:dyDescent="0.75">
      <c r="A55" s="1"/>
      <c r="B55" s="1"/>
      <c r="C55" s="1"/>
      <c r="D55" s="1"/>
      <c r="E55" s="1"/>
      <c r="F55" s="1"/>
      <c r="G55" s="1"/>
      <c r="H55" s="1"/>
      <c r="I55" s="1"/>
      <c r="J55" s="1"/>
      <c r="K55" s="1"/>
      <c r="L55" s="1"/>
      <c r="M55" s="1"/>
      <c r="N55" s="1"/>
      <c r="O55" s="1"/>
      <c r="P55" s="32"/>
      <c r="Q55" s="33"/>
      <c r="R55" s="321" t="s">
        <v>147</v>
      </c>
      <c r="S55" s="321"/>
      <c r="T55" s="321"/>
      <c r="U55" s="206">
        <v>1</v>
      </c>
      <c r="V55" s="83" t="s">
        <v>33</v>
      </c>
      <c r="W55" s="85"/>
      <c r="X55" s="83"/>
      <c r="Y55" s="83"/>
      <c r="Z55" s="83"/>
      <c r="AA55" s="33"/>
      <c r="AB55" s="34"/>
      <c r="AC55" s="7"/>
      <c r="AD55" s="7"/>
      <c r="AE55" s="7"/>
      <c r="AF55" s="7"/>
      <c r="AG55" s="7"/>
      <c r="AH55" s="7"/>
      <c r="AI55" s="7"/>
      <c r="AJ55" s="7"/>
      <c r="AK55" s="7"/>
      <c r="AL55" s="7"/>
      <c r="AM55" s="7"/>
      <c r="AN55" s="7"/>
      <c r="AO55" s="7"/>
      <c r="AP55" s="7"/>
      <c r="AQ55" s="7"/>
    </row>
    <row r="56" spans="1:43" x14ac:dyDescent="0.75">
      <c r="A56" s="1"/>
      <c r="B56" s="1"/>
      <c r="C56" s="1"/>
      <c r="D56" s="1"/>
      <c r="E56" s="1"/>
      <c r="F56" s="1"/>
      <c r="G56" s="1"/>
      <c r="H56" s="1"/>
      <c r="I56" s="1"/>
      <c r="J56" s="1"/>
      <c r="K56" s="1"/>
      <c r="L56" s="1"/>
      <c r="M56" s="1"/>
      <c r="N56" s="1"/>
      <c r="O56" s="1"/>
      <c r="P56" s="32"/>
      <c r="Q56" s="33"/>
      <c r="R56" s="321" t="s">
        <v>148</v>
      </c>
      <c r="S56" s="321"/>
      <c r="T56" s="321"/>
      <c r="U56" s="206">
        <v>90</v>
      </c>
      <c r="V56" s="83" t="s">
        <v>24</v>
      </c>
      <c r="W56" s="85"/>
      <c r="X56" s="83"/>
      <c r="Y56" s="83"/>
      <c r="Z56" s="83"/>
      <c r="AA56" s="33"/>
      <c r="AB56" s="34"/>
      <c r="AC56" s="7"/>
      <c r="AD56" s="7"/>
      <c r="AE56" s="7"/>
      <c r="AF56" s="7"/>
      <c r="AG56" s="7"/>
      <c r="AH56" s="7"/>
      <c r="AI56" s="7"/>
      <c r="AJ56" s="7"/>
      <c r="AK56" s="7"/>
      <c r="AL56" s="7"/>
      <c r="AM56" s="7"/>
      <c r="AN56" s="7"/>
      <c r="AO56" s="7"/>
      <c r="AP56" s="7"/>
      <c r="AQ56" s="7"/>
    </row>
    <row r="57" spans="1:43" x14ac:dyDescent="0.75">
      <c r="A57" s="1"/>
      <c r="B57" s="1"/>
      <c r="C57" s="1"/>
      <c r="D57" s="1"/>
      <c r="E57" s="1"/>
      <c r="F57" s="1"/>
      <c r="G57" s="1"/>
      <c r="H57" s="1"/>
      <c r="I57" s="1"/>
      <c r="J57" s="1"/>
      <c r="K57" s="1"/>
      <c r="L57" s="1"/>
      <c r="M57" s="1"/>
      <c r="N57" s="1"/>
      <c r="O57" s="1"/>
      <c r="P57" s="32"/>
      <c r="Q57" s="33"/>
      <c r="R57" s="321" t="s">
        <v>234</v>
      </c>
      <c r="S57" s="321"/>
      <c r="T57" s="321"/>
      <c r="U57" s="218">
        <f>-10*LOG('Backend Data'!D34)</f>
        <v>0.22825214260717014</v>
      </c>
      <c r="V57" s="86" t="s">
        <v>33</v>
      </c>
      <c r="W57" s="86"/>
      <c r="X57" s="83"/>
      <c r="Y57" s="83"/>
      <c r="Z57" s="83"/>
      <c r="AA57" s="33"/>
      <c r="AB57" s="34"/>
      <c r="AC57" s="7"/>
      <c r="AD57" s="7"/>
      <c r="AE57" s="7"/>
      <c r="AF57" s="7"/>
      <c r="AG57" s="7"/>
      <c r="AH57" s="7"/>
      <c r="AI57" s="7"/>
      <c r="AJ57" s="7"/>
      <c r="AK57" s="7"/>
      <c r="AL57" s="7"/>
      <c r="AM57" s="7"/>
      <c r="AN57" s="7"/>
      <c r="AO57" s="7"/>
      <c r="AP57" s="7"/>
      <c r="AQ57" s="7"/>
    </row>
    <row r="58" spans="1:43" x14ac:dyDescent="0.75">
      <c r="A58" s="1"/>
      <c r="B58" s="1"/>
      <c r="C58" s="1"/>
      <c r="D58" s="1"/>
      <c r="E58" s="1"/>
      <c r="F58" s="1"/>
      <c r="G58" s="1"/>
      <c r="H58" s="1"/>
      <c r="I58" s="1"/>
      <c r="J58" s="1"/>
      <c r="K58" s="1"/>
      <c r="L58" s="1"/>
      <c r="M58" s="1"/>
      <c r="N58" s="1"/>
      <c r="O58" s="1"/>
      <c r="P58" s="32"/>
      <c r="Q58" s="33"/>
      <c r="R58" s="80"/>
      <c r="S58" s="80"/>
      <c r="T58" s="80"/>
      <c r="U58" s="80"/>
      <c r="V58" s="80"/>
      <c r="W58" s="80"/>
      <c r="X58" s="83"/>
      <c r="Y58" s="83"/>
      <c r="Z58" s="83"/>
      <c r="AA58" s="33"/>
      <c r="AB58" s="34"/>
      <c r="AC58" s="7"/>
      <c r="AD58" s="7"/>
      <c r="AE58" s="7"/>
      <c r="AF58" s="7"/>
      <c r="AG58" s="7"/>
      <c r="AH58" s="7"/>
      <c r="AI58" s="7"/>
      <c r="AJ58" s="7"/>
      <c r="AK58" s="7"/>
      <c r="AL58" s="7"/>
      <c r="AM58" s="7"/>
      <c r="AN58" s="7"/>
      <c r="AO58" s="7"/>
      <c r="AP58" s="7"/>
      <c r="AQ58" s="7"/>
    </row>
    <row r="59" spans="1:43" x14ac:dyDescent="0.75">
      <c r="A59" s="1"/>
      <c r="B59" s="1"/>
      <c r="C59" s="1"/>
      <c r="D59" s="1"/>
      <c r="E59" s="1"/>
      <c r="F59" s="1"/>
      <c r="G59" s="1"/>
      <c r="H59" s="1"/>
      <c r="I59" s="1"/>
      <c r="J59" s="1"/>
      <c r="K59" s="1"/>
      <c r="L59" s="1"/>
      <c r="M59" s="1"/>
      <c r="N59" s="1"/>
      <c r="O59" s="1"/>
      <c r="P59" s="32"/>
      <c r="Q59" s="33"/>
      <c r="R59" s="322" t="s">
        <v>150</v>
      </c>
      <c r="S59" s="322"/>
      <c r="T59" s="322"/>
      <c r="U59" s="322"/>
      <c r="V59" s="80"/>
      <c r="W59" s="80"/>
      <c r="X59" s="83"/>
      <c r="Y59" s="83"/>
      <c r="Z59" s="83"/>
      <c r="AA59" s="33"/>
      <c r="AB59" s="34"/>
      <c r="AC59" s="7"/>
      <c r="AD59" s="7"/>
      <c r="AE59" s="7"/>
      <c r="AF59" s="7"/>
      <c r="AG59" s="7"/>
      <c r="AH59" s="7"/>
      <c r="AI59" s="7"/>
      <c r="AJ59" s="7"/>
      <c r="AK59" s="7"/>
      <c r="AL59" s="7"/>
      <c r="AM59" s="7"/>
      <c r="AN59" s="7"/>
      <c r="AO59" s="7"/>
      <c r="AP59" s="7"/>
      <c r="AQ59" s="7"/>
    </row>
    <row r="60" spans="1:43" x14ac:dyDescent="0.75">
      <c r="A60" s="1"/>
      <c r="B60" s="1"/>
      <c r="C60" s="1"/>
      <c r="D60" s="1"/>
      <c r="E60" s="1"/>
      <c r="F60" s="1"/>
      <c r="G60" s="1"/>
      <c r="H60" s="1"/>
      <c r="I60" s="1"/>
      <c r="J60" s="1"/>
      <c r="K60" s="1"/>
      <c r="L60" s="1"/>
      <c r="M60" s="1"/>
      <c r="N60" s="1"/>
      <c r="O60" s="1"/>
      <c r="P60" s="32"/>
      <c r="Q60" s="33"/>
      <c r="R60" s="323" t="s">
        <v>151</v>
      </c>
      <c r="S60" s="323"/>
      <c r="T60" s="323"/>
      <c r="U60" s="207">
        <f>10*LOG10(1-'Backend Data'!D34)</f>
        <v>-12.907320722611759</v>
      </c>
      <c r="V60" s="80" t="s">
        <v>33</v>
      </c>
      <c r="W60" s="80"/>
      <c r="X60" s="83"/>
      <c r="Y60" s="83"/>
      <c r="Z60" s="83"/>
      <c r="AA60" s="33"/>
      <c r="AB60" s="34"/>
      <c r="AC60" s="7"/>
      <c r="AD60" s="7"/>
      <c r="AE60" s="7"/>
      <c r="AF60" s="7"/>
      <c r="AG60" s="7"/>
      <c r="AH60" s="7"/>
      <c r="AI60" s="7"/>
      <c r="AJ60" s="7"/>
      <c r="AK60" s="7"/>
      <c r="AL60" s="7"/>
      <c r="AM60" s="7"/>
      <c r="AN60" s="7"/>
      <c r="AO60" s="7"/>
      <c r="AP60" s="7"/>
      <c r="AQ60" s="7"/>
    </row>
    <row r="61" spans="1:43" x14ac:dyDescent="0.75">
      <c r="A61" s="1"/>
      <c r="B61" s="1"/>
      <c r="C61" s="1"/>
      <c r="D61" s="1"/>
      <c r="E61" s="1"/>
      <c r="F61" s="1"/>
      <c r="G61" s="1"/>
      <c r="H61" s="1"/>
      <c r="I61" s="1"/>
      <c r="J61" s="1"/>
      <c r="K61" s="1"/>
      <c r="L61" s="1"/>
      <c r="M61" s="1"/>
      <c r="N61" s="1"/>
      <c r="O61" s="1"/>
      <c r="P61" s="32"/>
      <c r="Q61" s="33"/>
      <c r="R61" s="323" t="s">
        <v>152</v>
      </c>
      <c r="S61" s="323"/>
      <c r="T61" s="323"/>
      <c r="U61" s="218">
        <f>U57-U60</f>
        <v>13.135572865218929</v>
      </c>
      <c r="V61" s="80" t="s">
        <v>33</v>
      </c>
      <c r="W61" s="80"/>
      <c r="X61" s="83"/>
      <c r="Y61" s="83"/>
      <c r="Z61" s="83"/>
      <c r="AA61" s="33"/>
      <c r="AB61" s="34"/>
      <c r="AC61" s="7"/>
      <c r="AD61" s="7"/>
      <c r="AE61" s="7"/>
      <c r="AF61" s="7"/>
      <c r="AG61" s="7"/>
      <c r="AH61" s="7"/>
      <c r="AI61" s="7"/>
      <c r="AJ61" s="7"/>
      <c r="AK61" s="7"/>
      <c r="AL61" s="7"/>
      <c r="AM61" s="7"/>
      <c r="AN61" s="7"/>
      <c r="AO61" s="7"/>
      <c r="AP61" s="7"/>
      <c r="AQ61" s="7"/>
    </row>
    <row r="62" spans="1:43" x14ac:dyDescent="0.75">
      <c r="A62" s="1"/>
      <c r="B62" s="1"/>
      <c r="C62" s="1"/>
      <c r="D62" s="1"/>
      <c r="E62" s="1"/>
      <c r="F62" s="1"/>
      <c r="G62" s="1"/>
      <c r="H62" s="1"/>
      <c r="I62" s="1"/>
      <c r="J62" s="1"/>
      <c r="K62" s="1"/>
      <c r="L62" s="1"/>
      <c r="M62" s="1"/>
      <c r="N62" s="1"/>
      <c r="O62" s="1"/>
      <c r="P62" s="32"/>
      <c r="Q62" s="33"/>
      <c r="R62" s="80"/>
      <c r="S62" s="80"/>
      <c r="T62" s="80"/>
      <c r="U62" s="80"/>
      <c r="V62" s="80"/>
      <c r="W62" s="80"/>
      <c r="X62" s="87"/>
      <c r="Y62" s="87"/>
      <c r="Z62" s="87"/>
      <c r="AA62" s="33"/>
      <c r="AB62" s="34"/>
      <c r="AC62" s="7"/>
      <c r="AD62" s="7"/>
      <c r="AE62" s="7"/>
      <c r="AF62" s="7"/>
      <c r="AG62" s="7"/>
      <c r="AH62" s="7"/>
      <c r="AI62" s="7"/>
      <c r="AJ62" s="7"/>
      <c r="AK62" s="7"/>
      <c r="AL62" s="7"/>
      <c r="AM62" s="7"/>
      <c r="AN62" s="7"/>
      <c r="AO62" s="7"/>
      <c r="AP62" s="7"/>
      <c r="AQ62" s="7"/>
    </row>
    <row r="63" spans="1:43" ht="15.5" thickBot="1" x14ac:dyDescent="0.9">
      <c r="A63" s="1"/>
      <c r="B63" s="1"/>
      <c r="C63" s="1"/>
      <c r="D63" s="1"/>
      <c r="E63" s="1"/>
      <c r="F63" s="1"/>
      <c r="G63" s="1"/>
      <c r="H63" s="1"/>
      <c r="I63" s="1"/>
      <c r="J63" s="1"/>
      <c r="K63" s="1"/>
      <c r="L63" s="1"/>
      <c r="M63" s="1"/>
      <c r="N63" s="1"/>
      <c r="O63" s="1"/>
      <c r="P63" s="35"/>
      <c r="Q63" s="36"/>
      <c r="R63" s="88"/>
      <c r="S63" s="88"/>
      <c r="T63" s="88"/>
      <c r="U63" s="88"/>
      <c r="V63" s="36"/>
      <c r="W63" s="89"/>
      <c r="X63" s="89"/>
      <c r="Y63" s="89"/>
      <c r="Z63" s="89"/>
      <c r="AA63" s="36"/>
      <c r="AB63" s="37"/>
      <c r="AC63" s="31"/>
      <c r="AD63" s="7"/>
      <c r="AE63" s="7"/>
      <c r="AF63" s="7"/>
      <c r="AG63" s="7"/>
      <c r="AH63" s="7"/>
      <c r="AI63" s="7"/>
      <c r="AJ63" s="7"/>
      <c r="AK63" s="7"/>
      <c r="AL63" s="7"/>
      <c r="AM63" s="7"/>
      <c r="AN63" s="7"/>
      <c r="AO63" s="7"/>
      <c r="AP63" s="7"/>
      <c r="AQ63" s="7"/>
    </row>
    <row r="64" spans="1:43" ht="31" thickBot="1" x14ac:dyDescent="0.9">
      <c r="A64" s="1"/>
      <c r="B64" s="1"/>
      <c r="C64" s="1"/>
      <c r="D64" s="1"/>
      <c r="E64" s="1"/>
      <c r="F64" s="1"/>
      <c r="G64" s="1"/>
      <c r="H64" s="1"/>
      <c r="I64" s="1"/>
      <c r="J64" s="1"/>
      <c r="K64" s="1"/>
      <c r="L64" s="1"/>
      <c r="M64" s="1"/>
      <c r="N64" s="1"/>
      <c r="O64" s="1"/>
      <c r="P64" s="90"/>
      <c r="Q64" s="90"/>
      <c r="R64" s="90"/>
      <c r="S64" s="90"/>
      <c r="T64" s="90"/>
      <c r="U64" s="90"/>
      <c r="V64" s="90"/>
      <c r="W64" s="90"/>
      <c r="X64" s="90"/>
      <c r="Y64" s="90"/>
      <c r="Z64" s="90"/>
      <c r="AA64" s="90"/>
      <c r="AB64" s="90"/>
      <c r="AC64" s="7"/>
      <c r="AD64" s="7"/>
      <c r="AE64" s="7"/>
      <c r="AF64" s="7"/>
      <c r="AG64" s="7"/>
      <c r="AH64" s="7"/>
      <c r="AI64" s="7"/>
      <c r="AJ64" s="7"/>
      <c r="AK64" s="7"/>
      <c r="AL64" s="7"/>
      <c r="AM64" s="7"/>
      <c r="AN64" s="7"/>
      <c r="AO64" s="7"/>
      <c r="AP64" s="7"/>
      <c r="AQ64" s="7"/>
    </row>
    <row r="65" spans="1:43" x14ac:dyDescent="0.75">
      <c r="A65" s="1"/>
      <c r="B65" s="1"/>
      <c r="C65" s="1"/>
      <c r="D65" s="1"/>
      <c r="E65" s="1"/>
      <c r="F65" s="1"/>
      <c r="G65" s="1"/>
      <c r="H65" s="1"/>
      <c r="I65" s="1"/>
      <c r="J65" s="1"/>
      <c r="K65" s="1"/>
      <c r="L65" s="1"/>
      <c r="M65" s="1"/>
      <c r="N65" s="1"/>
      <c r="O65" s="1"/>
      <c r="P65" s="38"/>
      <c r="Q65" s="39"/>
      <c r="R65" s="39"/>
      <c r="S65" s="39"/>
      <c r="T65" s="39"/>
      <c r="U65" s="39"/>
      <c r="V65" s="39"/>
      <c r="W65" s="39"/>
      <c r="X65" s="39"/>
      <c r="Y65" s="39"/>
      <c r="Z65" s="39"/>
      <c r="AA65" s="39"/>
      <c r="AB65" s="40"/>
      <c r="AC65" s="1"/>
      <c r="AD65" s="1"/>
      <c r="AE65" s="1"/>
      <c r="AF65" s="1"/>
      <c r="AG65" s="1"/>
      <c r="AH65" s="1"/>
      <c r="AI65" s="1"/>
      <c r="AJ65" s="1"/>
      <c r="AK65" s="1"/>
      <c r="AL65" s="1"/>
      <c r="AM65" s="1"/>
      <c r="AN65" s="1"/>
      <c r="AO65" s="1"/>
      <c r="AP65" s="1"/>
      <c r="AQ65" s="1"/>
    </row>
    <row r="66" spans="1:43" ht="15.5" thickBot="1" x14ac:dyDescent="0.9">
      <c r="A66" s="1"/>
      <c r="B66" s="1"/>
      <c r="C66" s="1"/>
      <c r="D66" s="1"/>
      <c r="E66" s="1"/>
      <c r="F66" s="1"/>
      <c r="G66" s="1"/>
      <c r="H66" s="1"/>
      <c r="I66" s="1"/>
      <c r="J66" s="1"/>
      <c r="K66" s="1"/>
      <c r="L66" s="1"/>
      <c r="M66" s="1"/>
      <c r="N66" s="1"/>
      <c r="O66" s="1"/>
      <c r="P66" s="41"/>
      <c r="Q66" s="42"/>
      <c r="R66" s="42"/>
      <c r="S66" s="42"/>
      <c r="T66" s="42"/>
      <c r="U66" s="42"/>
      <c r="V66" s="42"/>
      <c r="W66" s="42"/>
      <c r="X66" s="42"/>
      <c r="Y66" s="42"/>
      <c r="Z66" s="42"/>
      <c r="AA66" s="42"/>
      <c r="AB66" s="43"/>
      <c r="AC66" s="1"/>
      <c r="AD66" s="1"/>
      <c r="AE66" s="1"/>
      <c r="AF66" s="1"/>
      <c r="AG66" s="1"/>
      <c r="AH66" s="1"/>
      <c r="AI66" s="1"/>
      <c r="AJ66" s="1"/>
      <c r="AK66" s="1"/>
      <c r="AL66" s="1"/>
      <c r="AM66" s="1"/>
      <c r="AN66" s="1"/>
      <c r="AO66" s="1"/>
      <c r="AP66" s="1"/>
      <c r="AQ66" s="1"/>
    </row>
    <row r="67" spans="1:43" ht="31" thickBot="1" x14ac:dyDescent="0.9">
      <c r="A67" s="1"/>
      <c r="B67" s="1"/>
      <c r="C67" s="1"/>
      <c r="D67" s="1"/>
      <c r="E67" s="1"/>
      <c r="F67" s="1"/>
      <c r="G67" s="1"/>
      <c r="H67" s="1"/>
      <c r="I67" s="1"/>
      <c r="J67" s="1"/>
      <c r="K67" s="1"/>
      <c r="L67" s="1"/>
      <c r="M67" s="1"/>
      <c r="N67" s="1"/>
      <c r="O67" s="1"/>
      <c r="P67" s="41"/>
      <c r="Q67" s="42"/>
      <c r="R67" s="263" t="s">
        <v>153</v>
      </c>
      <c r="S67" s="264"/>
      <c r="T67" s="264"/>
      <c r="U67" s="264"/>
      <c r="V67" s="264"/>
      <c r="W67" s="264"/>
      <c r="X67" s="264"/>
      <c r="Y67" s="264"/>
      <c r="Z67" s="265"/>
      <c r="AA67" s="42"/>
      <c r="AB67" s="43"/>
      <c r="AC67" s="1"/>
      <c r="AD67" s="1"/>
      <c r="AE67" s="1"/>
      <c r="AF67" s="1"/>
      <c r="AG67" s="1"/>
      <c r="AH67" s="1"/>
      <c r="AI67" s="1"/>
      <c r="AJ67" s="1"/>
      <c r="AK67" s="1"/>
      <c r="AL67" s="1"/>
      <c r="AM67" s="1"/>
      <c r="AN67" s="1"/>
      <c r="AO67" s="1"/>
      <c r="AP67" s="1"/>
      <c r="AQ67" s="1"/>
    </row>
    <row r="68" spans="1:43" ht="15.5" customHeight="1" x14ac:dyDescent="0.75">
      <c r="A68" s="1"/>
      <c r="B68" s="1"/>
      <c r="C68" s="1"/>
      <c r="D68" s="1"/>
      <c r="E68" s="1"/>
      <c r="F68" s="1"/>
      <c r="G68" s="1"/>
      <c r="H68" s="1"/>
      <c r="I68" s="1"/>
      <c r="J68" s="1"/>
      <c r="K68" s="1"/>
      <c r="L68" s="1"/>
      <c r="M68" s="1"/>
      <c r="N68" s="1"/>
      <c r="O68" s="1"/>
      <c r="P68" s="41"/>
      <c r="Q68" s="42"/>
      <c r="R68" s="91"/>
      <c r="S68" s="91"/>
      <c r="T68" s="91"/>
      <c r="U68" s="91"/>
      <c r="V68" s="91"/>
      <c r="W68" s="91"/>
      <c r="X68" s="91"/>
      <c r="Y68" s="91"/>
      <c r="Z68" s="91"/>
      <c r="AA68" s="42"/>
      <c r="AB68" s="43"/>
      <c r="AC68" s="1"/>
      <c r="AD68" s="1"/>
      <c r="AE68" s="1"/>
      <c r="AF68" s="1"/>
      <c r="AG68" s="1"/>
      <c r="AH68" s="1"/>
      <c r="AI68" s="1"/>
      <c r="AJ68" s="1"/>
      <c r="AK68" s="1"/>
      <c r="AL68" s="1"/>
      <c r="AM68" s="1"/>
      <c r="AN68" s="1"/>
      <c r="AO68" s="1"/>
      <c r="AP68" s="1"/>
      <c r="AQ68" s="1"/>
    </row>
    <row r="69" spans="1:43" ht="15.5" customHeight="1" x14ac:dyDescent="0.75">
      <c r="A69" s="1"/>
      <c r="B69" s="1"/>
      <c r="C69" s="1"/>
      <c r="D69" s="1"/>
      <c r="E69" s="1"/>
      <c r="F69" s="1"/>
      <c r="G69" s="1"/>
      <c r="H69" s="1"/>
      <c r="I69" s="1"/>
      <c r="J69" s="1"/>
      <c r="K69" s="1"/>
      <c r="L69" s="1"/>
      <c r="M69" s="1"/>
      <c r="N69" s="1"/>
      <c r="O69" s="1"/>
      <c r="P69" s="41"/>
      <c r="Q69" s="42"/>
      <c r="R69" s="42"/>
      <c r="S69" s="42"/>
      <c r="T69" s="42"/>
      <c r="U69" s="42"/>
      <c r="V69" s="91"/>
      <c r="W69" s="91"/>
      <c r="X69" s="91"/>
      <c r="Y69" s="91"/>
      <c r="Z69" s="91"/>
      <c r="AA69" s="42"/>
      <c r="AB69" s="43"/>
      <c r="AC69" s="1"/>
      <c r="AD69" s="1"/>
      <c r="AE69" s="1"/>
      <c r="AF69" s="1"/>
      <c r="AG69" s="1"/>
      <c r="AH69" s="1"/>
      <c r="AI69" s="1"/>
      <c r="AJ69" s="1"/>
      <c r="AK69" s="1"/>
      <c r="AL69" s="1"/>
      <c r="AM69" s="1"/>
      <c r="AN69" s="1"/>
      <c r="AO69" s="1"/>
      <c r="AP69" s="1"/>
      <c r="AQ69" s="1"/>
    </row>
    <row r="70" spans="1:43" ht="15.5" customHeight="1" x14ac:dyDescent="0.75">
      <c r="A70" s="1"/>
      <c r="B70" s="1"/>
      <c r="C70" s="1"/>
      <c r="D70" s="1"/>
      <c r="E70" s="1"/>
      <c r="F70" s="1"/>
      <c r="G70" s="1"/>
      <c r="H70" s="1"/>
      <c r="I70" s="1"/>
      <c r="J70" s="1"/>
      <c r="K70" s="1"/>
      <c r="L70" s="1"/>
      <c r="M70" s="1"/>
      <c r="N70" s="1"/>
      <c r="O70" s="1"/>
      <c r="P70" s="41"/>
      <c r="Q70" s="42"/>
      <c r="R70" s="42"/>
      <c r="S70" s="42"/>
      <c r="T70" s="151"/>
      <c r="U70" s="42"/>
      <c r="V70" s="91"/>
      <c r="W70" s="91"/>
      <c r="X70" s="91"/>
      <c r="Y70" s="91"/>
      <c r="Z70" s="91"/>
      <c r="AA70" s="42"/>
      <c r="AB70" s="43"/>
      <c r="AC70" s="1"/>
      <c r="AD70" s="1"/>
      <c r="AE70" s="1"/>
      <c r="AF70" s="1"/>
      <c r="AG70" s="1"/>
      <c r="AH70" s="1"/>
      <c r="AI70" s="1"/>
      <c r="AJ70" s="1"/>
      <c r="AK70" s="1"/>
      <c r="AL70" s="1"/>
      <c r="AM70" s="1"/>
      <c r="AN70" s="1"/>
      <c r="AO70" s="1"/>
      <c r="AP70" s="1"/>
      <c r="AQ70" s="1"/>
    </row>
    <row r="71" spans="1:43" x14ac:dyDescent="0.75">
      <c r="A71" s="1"/>
      <c r="B71" s="1"/>
      <c r="C71" s="1"/>
      <c r="D71" s="1"/>
      <c r="E71" s="1"/>
      <c r="F71" s="1"/>
      <c r="G71" s="1"/>
      <c r="H71" s="1"/>
      <c r="I71" s="1"/>
      <c r="J71" s="1"/>
      <c r="K71" s="1"/>
      <c r="L71" s="1"/>
      <c r="M71" s="1"/>
      <c r="N71" s="1"/>
      <c r="O71" s="1"/>
      <c r="P71" s="41"/>
      <c r="Q71" s="42"/>
      <c r="R71" s="42"/>
      <c r="S71" s="42"/>
      <c r="T71" s="42"/>
      <c r="U71" s="42"/>
      <c r="V71" s="42"/>
      <c r="W71" s="42"/>
      <c r="X71" s="42"/>
      <c r="Y71" s="42"/>
      <c r="Z71" s="42"/>
      <c r="AA71" s="42"/>
      <c r="AB71" s="43"/>
      <c r="AC71" s="1"/>
      <c r="AD71" s="1"/>
      <c r="AE71" s="1"/>
      <c r="AF71" s="1"/>
      <c r="AG71" s="1"/>
      <c r="AH71" s="1"/>
      <c r="AI71" s="1"/>
      <c r="AJ71" s="1"/>
      <c r="AK71" s="1"/>
      <c r="AL71" s="1"/>
      <c r="AM71" s="1"/>
      <c r="AN71" s="1"/>
      <c r="AO71" s="1"/>
      <c r="AP71" s="1"/>
      <c r="AQ71" s="1"/>
    </row>
    <row r="72" spans="1:43" x14ac:dyDescent="0.75">
      <c r="A72" s="1"/>
      <c r="B72" s="1"/>
      <c r="C72" s="1"/>
      <c r="D72" s="1"/>
      <c r="E72" s="1"/>
      <c r="F72" s="1"/>
      <c r="G72" s="1"/>
      <c r="H72" s="1"/>
      <c r="I72" s="1"/>
      <c r="J72" s="1"/>
      <c r="K72" s="1"/>
      <c r="L72" s="1"/>
      <c r="M72" s="1"/>
      <c r="N72" s="1"/>
      <c r="O72" s="1"/>
      <c r="P72" s="41"/>
      <c r="Q72" s="42"/>
      <c r="R72" s="42"/>
      <c r="S72" s="42"/>
      <c r="T72" s="42"/>
      <c r="U72" s="42"/>
      <c r="V72" s="42"/>
      <c r="W72" s="42"/>
      <c r="X72" s="42"/>
      <c r="Y72" s="42"/>
      <c r="Z72" s="42"/>
      <c r="AA72" s="42"/>
      <c r="AB72" s="43"/>
      <c r="AC72" s="1"/>
      <c r="AD72" s="1"/>
      <c r="AE72" s="1"/>
      <c r="AF72" s="1"/>
      <c r="AG72" s="1"/>
      <c r="AH72" s="1"/>
      <c r="AI72" s="1"/>
      <c r="AJ72" s="1"/>
      <c r="AK72" s="1"/>
      <c r="AL72" s="1"/>
      <c r="AM72" s="1"/>
      <c r="AN72" s="1"/>
      <c r="AO72" s="1"/>
      <c r="AP72" s="1"/>
      <c r="AQ72" s="1"/>
    </row>
    <row r="73" spans="1:43" x14ac:dyDescent="0.75">
      <c r="A73" s="1"/>
      <c r="B73" s="1"/>
      <c r="C73" s="1"/>
      <c r="D73" s="1"/>
      <c r="E73" s="1"/>
      <c r="F73" s="1"/>
      <c r="G73" s="1"/>
      <c r="H73" s="1"/>
      <c r="I73" s="1"/>
      <c r="J73" s="1"/>
      <c r="K73" s="1"/>
      <c r="L73" s="1"/>
      <c r="M73" s="1"/>
      <c r="N73" s="1"/>
      <c r="O73" s="1"/>
      <c r="P73" s="41"/>
      <c r="Q73" s="42"/>
      <c r="R73" s="42" t="s">
        <v>137</v>
      </c>
      <c r="S73" s="42"/>
      <c r="T73" s="42"/>
      <c r="U73" s="42"/>
      <c r="V73" s="42"/>
      <c r="W73" s="42"/>
      <c r="X73" s="42"/>
      <c r="Y73" s="42"/>
      <c r="Z73" s="42"/>
      <c r="AA73" s="42"/>
      <c r="AB73" s="43"/>
      <c r="AC73" s="1"/>
      <c r="AD73" s="1"/>
      <c r="AE73" s="1"/>
      <c r="AF73" s="1"/>
      <c r="AG73" s="1"/>
      <c r="AH73" s="1"/>
      <c r="AI73" s="1"/>
      <c r="AJ73" s="1"/>
      <c r="AK73" s="1"/>
      <c r="AL73" s="1"/>
      <c r="AM73" s="1"/>
      <c r="AN73" s="1"/>
      <c r="AO73" s="1"/>
      <c r="AP73" s="1"/>
      <c r="AQ73" s="1"/>
    </row>
    <row r="74" spans="1:43" x14ac:dyDescent="0.75">
      <c r="A74" s="1"/>
      <c r="B74" s="1"/>
      <c r="C74" s="1"/>
      <c r="D74" s="1"/>
      <c r="E74" s="1"/>
      <c r="F74" s="1"/>
      <c r="G74" s="1"/>
      <c r="H74" s="1"/>
      <c r="I74" s="1"/>
      <c r="J74" s="1"/>
      <c r="K74" s="1"/>
      <c r="L74" s="1"/>
      <c r="M74" s="1"/>
      <c r="N74" s="1"/>
      <c r="O74" s="1"/>
      <c r="P74" s="41"/>
      <c r="Q74" s="42"/>
      <c r="R74" s="151" t="s">
        <v>138</v>
      </c>
      <c r="S74" s="42"/>
      <c r="T74" s="42"/>
      <c r="U74" s="42"/>
      <c r="V74" s="42"/>
      <c r="W74" s="42"/>
      <c r="X74" s="42"/>
      <c r="Y74" s="42"/>
      <c r="Z74" s="42"/>
      <c r="AA74" s="42"/>
      <c r="AB74" s="43"/>
      <c r="AC74" s="1"/>
      <c r="AD74" s="1"/>
      <c r="AE74" s="1"/>
      <c r="AF74" s="1"/>
      <c r="AG74" s="1"/>
      <c r="AH74" s="1"/>
      <c r="AI74" s="1"/>
      <c r="AJ74" s="1"/>
      <c r="AK74" s="1"/>
      <c r="AL74" s="1"/>
      <c r="AM74" s="1"/>
      <c r="AN74" s="1"/>
      <c r="AO74" s="1"/>
      <c r="AP74" s="1"/>
      <c r="AQ74" s="1"/>
    </row>
    <row r="75" spans="1:43" x14ac:dyDescent="0.75">
      <c r="A75" s="1"/>
      <c r="B75" s="1"/>
      <c r="C75" s="1"/>
      <c r="D75" s="1"/>
      <c r="E75" s="1"/>
      <c r="F75" s="1"/>
      <c r="G75" s="1"/>
      <c r="H75" s="1"/>
      <c r="I75" s="1"/>
      <c r="J75" s="1"/>
      <c r="K75" s="1"/>
      <c r="L75" s="1"/>
      <c r="M75" s="1"/>
      <c r="N75" s="1"/>
      <c r="O75" s="1"/>
      <c r="P75" s="41"/>
      <c r="Q75" s="42"/>
      <c r="R75" s="151"/>
      <c r="S75" s="42"/>
      <c r="T75" s="42"/>
      <c r="U75" s="42"/>
      <c r="V75" s="42"/>
      <c r="W75" s="42"/>
      <c r="X75" s="42"/>
      <c r="Y75" s="42"/>
      <c r="Z75" s="42"/>
      <c r="AA75" s="42"/>
      <c r="AB75" s="43"/>
      <c r="AC75" s="1"/>
      <c r="AD75" s="1"/>
      <c r="AE75" s="1"/>
      <c r="AF75" s="1"/>
      <c r="AG75" s="1"/>
      <c r="AH75" s="1"/>
      <c r="AI75" s="1"/>
      <c r="AJ75" s="1"/>
      <c r="AK75" s="1"/>
      <c r="AL75" s="1"/>
      <c r="AM75" s="1"/>
      <c r="AN75" s="1"/>
      <c r="AO75" s="1"/>
      <c r="AP75" s="1"/>
      <c r="AQ75" s="1"/>
    </row>
    <row r="76" spans="1:43" x14ac:dyDescent="0.75">
      <c r="A76" s="1"/>
      <c r="B76" s="1"/>
      <c r="C76" s="1"/>
      <c r="D76" s="1"/>
      <c r="E76" s="1"/>
      <c r="F76" s="1"/>
      <c r="G76" s="1"/>
      <c r="H76" s="1"/>
      <c r="I76" s="1"/>
      <c r="J76" s="1"/>
      <c r="K76" s="1"/>
      <c r="L76" s="1"/>
      <c r="M76" s="1"/>
      <c r="N76" s="1"/>
      <c r="O76" s="1"/>
      <c r="P76" s="41"/>
      <c r="Q76" s="42"/>
      <c r="R76" s="42"/>
      <c r="S76" s="42"/>
      <c r="T76" s="42"/>
      <c r="U76" s="42"/>
      <c r="V76" s="92"/>
      <c r="W76" s="92"/>
      <c r="X76" s="92"/>
      <c r="Y76" s="92"/>
      <c r="Z76" s="92"/>
      <c r="AA76" s="42"/>
      <c r="AB76" s="43"/>
      <c r="AC76" s="1"/>
      <c r="AD76" s="1"/>
      <c r="AE76" s="1"/>
      <c r="AF76" s="1"/>
      <c r="AG76" s="1"/>
      <c r="AH76" s="1"/>
      <c r="AI76" s="1"/>
      <c r="AJ76" s="1"/>
      <c r="AK76" s="1"/>
      <c r="AL76" s="1"/>
      <c r="AM76" s="1"/>
      <c r="AN76" s="1"/>
      <c r="AO76" s="1"/>
      <c r="AP76" s="1"/>
      <c r="AQ76" s="1"/>
    </row>
    <row r="77" spans="1:43" x14ac:dyDescent="0.75">
      <c r="A77" s="1" t="s">
        <v>90</v>
      </c>
      <c r="B77" s="1"/>
      <c r="C77" s="1"/>
      <c r="D77" s="1"/>
      <c r="E77" s="1"/>
      <c r="F77" s="1"/>
      <c r="G77" s="1"/>
      <c r="H77" s="1"/>
      <c r="I77" s="1"/>
      <c r="J77" s="1"/>
      <c r="K77" s="1"/>
      <c r="L77" s="1"/>
      <c r="M77" s="1"/>
      <c r="N77" s="1"/>
      <c r="O77" s="1"/>
      <c r="P77" s="41"/>
      <c r="Q77" s="42"/>
      <c r="R77" s="42"/>
      <c r="S77" s="42"/>
      <c r="T77" s="42"/>
      <c r="U77" s="42"/>
      <c r="V77" s="42"/>
      <c r="W77" s="42"/>
      <c r="X77" s="42"/>
      <c r="Y77" s="42"/>
      <c r="Z77" s="42"/>
      <c r="AA77" s="42"/>
      <c r="AB77" s="43"/>
      <c r="AC77" s="1"/>
      <c r="AD77" s="1"/>
      <c r="AE77" s="1"/>
      <c r="AF77" s="1"/>
      <c r="AG77" s="1"/>
      <c r="AH77" s="1"/>
      <c r="AI77" s="1"/>
      <c r="AJ77" s="1"/>
      <c r="AK77" s="1"/>
      <c r="AL77" s="1"/>
      <c r="AM77" s="1"/>
      <c r="AN77" s="1"/>
      <c r="AO77" s="1"/>
      <c r="AP77" s="1"/>
      <c r="AQ77" s="1"/>
    </row>
    <row r="78" spans="1:43" x14ac:dyDescent="0.75">
      <c r="A78" s="1"/>
      <c r="B78" s="1"/>
      <c r="C78" s="1"/>
      <c r="D78" s="1"/>
      <c r="E78" s="1"/>
      <c r="F78" s="1"/>
      <c r="G78" s="1"/>
      <c r="H78" s="1"/>
      <c r="I78" s="1"/>
      <c r="J78" s="1"/>
      <c r="K78" s="1"/>
      <c r="L78" s="1"/>
      <c r="M78" s="1"/>
      <c r="N78" s="1"/>
      <c r="O78" s="1"/>
      <c r="P78" s="41"/>
      <c r="Q78" s="42"/>
      <c r="R78" s="42"/>
      <c r="S78" s="42"/>
      <c r="T78" s="42"/>
      <c r="U78" s="42"/>
      <c r="V78" s="283" t="s">
        <v>154</v>
      </c>
      <c r="W78" s="283"/>
      <c r="X78" s="283"/>
      <c r="Y78" s="220">
        <v>20</v>
      </c>
      <c r="Z78" s="42" t="s">
        <v>24</v>
      </c>
      <c r="AA78" s="42"/>
      <c r="AB78" s="43"/>
      <c r="AC78" s="1"/>
      <c r="AD78" s="1"/>
      <c r="AE78" s="1"/>
      <c r="AF78" s="1"/>
      <c r="AG78" s="1"/>
      <c r="AH78" s="1"/>
      <c r="AI78" s="1"/>
      <c r="AJ78" s="1"/>
      <c r="AK78" s="1"/>
      <c r="AL78" s="1"/>
      <c r="AM78" s="1"/>
      <c r="AN78" s="1"/>
      <c r="AO78" s="1"/>
      <c r="AP78" s="1"/>
      <c r="AQ78" s="1"/>
    </row>
    <row r="79" spans="1:43" x14ac:dyDescent="0.75">
      <c r="A79" s="1"/>
      <c r="B79" s="1"/>
      <c r="C79" s="1"/>
      <c r="D79" s="1"/>
      <c r="E79" s="1"/>
      <c r="F79" s="1"/>
      <c r="G79" s="1"/>
      <c r="H79" s="1"/>
      <c r="I79" s="1"/>
      <c r="J79" s="1"/>
      <c r="K79" s="1"/>
      <c r="L79" s="1"/>
      <c r="M79" s="1"/>
      <c r="N79" s="1"/>
      <c r="O79" s="1"/>
      <c r="P79" s="41"/>
      <c r="Q79" s="42"/>
      <c r="R79" s="42"/>
      <c r="S79" s="42"/>
      <c r="T79" s="42"/>
      <c r="U79" s="42"/>
      <c r="V79" s="283" t="s">
        <v>142</v>
      </c>
      <c r="W79" s="283"/>
      <c r="X79" s="283"/>
      <c r="Y79" s="222">
        <f>INDEX('Backend Data'!S14:S17,Antennas!AA21, 1)</f>
        <v>0.3</v>
      </c>
      <c r="Z79" s="93" t="s">
        <v>33</v>
      </c>
      <c r="AA79" s="42"/>
      <c r="AB79" s="43"/>
      <c r="AC79" s="1"/>
      <c r="AD79" s="1"/>
      <c r="AE79" s="1"/>
      <c r="AF79" s="1"/>
      <c r="AG79" s="1"/>
      <c r="AH79" s="1"/>
      <c r="AI79" s="1"/>
      <c r="AJ79" s="1"/>
      <c r="AK79" s="1"/>
      <c r="AL79" s="1"/>
      <c r="AM79" s="1"/>
      <c r="AN79" s="1"/>
      <c r="AO79" s="1"/>
      <c r="AP79" s="1"/>
      <c r="AQ79" s="1"/>
    </row>
    <row r="80" spans="1:43" x14ac:dyDescent="0.75">
      <c r="A80" s="1"/>
      <c r="B80" s="1"/>
      <c r="C80" s="1"/>
      <c r="D80" s="1"/>
      <c r="E80" s="1"/>
      <c r="F80" s="1"/>
      <c r="G80" s="1"/>
      <c r="H80" s="1"/>
      <c r="I80" s="1"/>
      <c r="J80" s="1"/>
      <c r="K80" s="1"/>
      <c r="L80" s="1"/>
      <c r="M80" s="1"/>
      <c r="N80" s="1"/>
      <c r="O80" s="1"/>
      <c r="P80" s="41"/>
      <c r="Q80" s="42"/>
      <c r="R80" s="42"/>
      <c r="S80" s="42"/>
      <c r="T80" s="42"/>
      <c r="U80" s="42"/>
      <c r="V80" s="283" t="s">
        <v>155</v>
      </c>
      <c r="W80" s="283"/>
      <c r="X80" s="283"/>
      <c r="Y80" s="221">
        <v>5</v>
      </c>
      <c r="Z80" s="42" t="s">
        <v>24</v>
      </c>
      <c r="AA80" s="42"/>
      <c r="AB80" s="43"/>
      <c r="AC80" s="1"/>
      <c r="AD80" s="1"/>
      <c r="AE80" s="1"/>
      <c r="AF80" s="1"/>
      <c r="AG80" s="1"/>
      <c r="AH80" s="1"/>
      <c r="AI80" s="1"/>
      <c r="AJ80" s="1"/>
      <c r="AK80" s="1"/>
      <c r="AL80" s="1"/>
      <c r="AM80" s="1"/>
      <c r="AN80" s="1"/>
      <c r="AO80" s="1"/>
      <c r="AP80" s="1"/>
      <c r="AQ80" s="1"/>
    </row>
    <row r="81" spans="1:43" x14ac:dyDescent="0.75">
      <c r="A81" s="1"/>
      <c r="B81" s="1"/>
      <c r="C81" s="1"/>
      <c r="D81" s="1"/>
      <c r="E81" s="1"/>
      <c r="F81" s="1"/>
      <c r="G81" s="1"/>
      <c r="H81" s="1"/>
      <c r="I81" s="1"/>
      <c r="J81" s="1"/>
      <c r="K81" s="1"/>
      <c r="L81" s="1"/>
      <c r="M81" s="1"/>
      <c r="N81" s="1"/>
      <c r="O81" s="1"/>
      <c r="P81" s="41"/>
      <c r="Q81" s="42"/>
      <c r="R81" s="42"/>
      <c r="S81" s="42"/>
      <c r="T81" s="42"/>
      <c r="U81" s="42"/>
      <c r="V81" s="283" t="s">
        <v>140</v>
      </c>
      <c r="W81" s="283"/>
      <c r="X81" s="283"/>
      <c r="Y81" s="222">
        <f>-10*LOG10(3282.81*((SIN(RADIANS('Backend Data'!D37))^2/('Backend Data'!D37^2))))</f>
        <v>0.39714257970062428</v>
      </c>
      <c r="Z81" s="93" t="s">
        <v>33</v>
      </c>
      <c r="AA81" s="42"/>
      <c r="AB81" s="43"/>
      <c r="AC81" s="1"/>
      <c r="AD81" s="1"/>
      <c r="AE81" s="1"/>
      <c r="AF81" s="1"/>
      <c r="AG81" s="1"/>
      <c r="AH81" s="1"/>
      <c r="AI81" s="1"/>
      <c r="AJ81" s="1"/>
      <c r="AK81" s="1"/>
      <c r="AL81" s="1"/>
      <c r="AM81" s="1"/>
      <c r="AN81" s="1"/>
      <c r="AO81" s="1"/>
      <c r="AP81" s="1"/>
      <c r="AQ81" s="1"/>
    </row>
    <row r="82" spans="1:43" x14ac:dyDescent="0.75">
      <c r="A82" s="1"/>
      <c r="B82" s="1"/>
      <c r="C82" s="1"/>
      <c r="D82" s="1"/>
      <c r="E82" s="1"/>
      <c r="F82" s="1"/>
      <c r="G82" s="1"/>
      <c r="H82" s="1"/>
      <c r="I82" s="1"/>
      <c r="J82" s="1"/>
      <c r="K82" s="1"/>
      <c r="L82" s="1"/>
      <c r="M82" s="1"/>
      <c r="N82" s="1"/>
      <c r="O82" s="1"/>
      <c r="P82" s="41"/>
      <c r="Q82" s="42"/>
      <c r="R82" s="42"/>
      <c r="S82" s="42"/>
      <c r="T82" s="42"/>
      <c r="U82" s="42"/>
      <c r="V82" s="283"/>
      <c r="W82" s="283"/>
      <c r="X82" s="283"/>
      <c r="Y82" s="42"/>
      <c r="Z82" s="93"/>
      <c r="AA82" s="42"/>
      <c r="AB82" s="43"/>
      <c r="AC82" s="1"/>
      <c r="AD82" s="1"/>
      <c r="AE82" s="1"/>
      <c r="AF82" s="1"/>
      <c r="AG82" s="1"/>
      <c r="AH82" s="1"/>
      <c r="AI82" s="1"/>
      <c r="AJ82" s="1"/>
      <c r="AK82" s="1"/>
      <c r="AL82" s="1"/>
      <c r="AM82" s="1"/>
      <c r="AN82" s="1"/>
      <c r="AO82" s="1"/>
      <c r="AP82" s="1"/>
      <c r="AQ82" s="1"/>
    </row>
    <row r="83" spans="1:43" x14ac:dyDescent="0.75">
      <c r="A83" s="1"/>
      <c r="B83" s="1"/>
      <c r="C83" s="1"/>
      <c r="D83" s="1"/>
      <c r="E83" s="1"/>
      <c r="F83" s="1"/>
      <c r="G83" s="1"/>
      <c r="H83" s="1"/>
      <c r="I83" s="1"/>
      <c r="J83" s="1"/>
      <c r="K83" s="1"/>
      <c r="L83" s="1"/>
      <c r="M83" s="1"/>
      <c r="N83" s="1"/>
      <c r="O83" s="1"/>
      <c r="P83" s="41"/>
      <c r="Q83" s="42"/>
      <c r="R83" s="42"/>
      <c r="S83" s="42"/>
      <c r="T83" s="42"/>
      <c r="U83" s="42"/>
      <c r="V83" s="42"/>
      <c r="W83" s="42"/>
      <c r="X83" s="42"/>
      <c r="Y83" s="42"/>
      <c r="Z83" s="42"/>
      <c r="AA83" s="42"/>
      <c r="AB83" s="43"/>
      <c r="AC83" s="1"/>
      <c r="AD83" s="1"/>
      <c r="AE83" s="1"/>
      <c r="AF83" s="1"/>
      <c r="AG83" s="1"/>
      <c r="AH83" s="1"/>
      <c r="AI83" s="1"/>
      <c r="AJ83" s="1"/>
      <c r="AK83" s="1"/>
      <c r="AL83" s="1"/>
      <c r="AM83" s="1"/>
      <c r="AN83" s="1"/>
      <c r="AO83" s="1"/>
      <c r="AP83" s="1"/>
      <c r="AQ83" s="1"/>
    </row>
    <row r="84" spans="1:43" x14ac:dyDescent="0.75">
      <c r="A84" s="1"/>
      <c r="B84" s="1"/>
      <c r="C84" s="1"/>
      <c r="D84" s="1"/>
      <c r="E84" s="1"/>
      <c r="F84" s="1"/>
      <c r="G84" s="1"/>
      <c r="H84" s="1"/>
      <c r="I84" s="1"/>
      <c r="J84" s="1"/>
      <c r="K84" s="1"/>
      <c r="L84" s="1"/>
      <c r="M84" s="1"/>
      <c r="N84" s="1"/>
      <c r="O84" s="1"/>
      <c r="P84" s="41"/>
      <c r="Q84" s="42"/>
      <c r="R84" s="42"/>
      <c r="S84" s="42"/>
      <c r="T84" s="42"/>
      <c r="U84" s="42"/>
      <c r="V84" s="42"/>
      <c r="W84" s="42"/>
      <c r="X84" s="42"/>
      <c r="Y84" s="42"/>
      <c r="Z84" s="42"/>
      <c r="AA84" s="42"/>
      <c r="AB84" s="43"/>
      <c r="AC84" s="1"/>
      <c r="AD84" s="1"/>
      <c r="AE84" s="1"/>
      <c r="AF84" s="1"/>
      <c r="AG84" s="1"/>
      <c r="AH84" s="1"/>
      <c r="AI84" s="1"/>
      <c r="AJ84" s="1"/>
      <c r="AK84" s="1"/>
      <c r="AL84" s="1"/>
      <c r="AM84" s="1"/>
      <c r="AN84" s="1"/>
      <c r="AO84" s="1"/>
      <c r="AP84" s="1"/>
      <c r="AQ84" s="1"/>
    </row>
    <row r="85" spans="1:43" x14ac:dyDescent="0.75">
      <c r="A85" s="1"/>
      <c r="B85" s="1"/>
      <c r="C85" s="1"/>
      <c r="D85" s="1"/>
      <c r="E85" s="1"/>
      <c r="F85" s="1"/>
      <c r="G85" s="1"/>
      <c r="H85" s="1"/>
      <c r="I85" s="1"/>
      <c r="J85" s="1"/>
      <c r="K85" s="1"/>
      <c r="L85" s="1"/>
      <c r="M85" s="1"/>
      <c r="N85" s="1"/>
      <c r="O85" s="1"/>
      <c r="P85" s="41"/>
      <c r="Q85" s="42"/>
      <c r="R85" s="42"/>
      <c r="S85" s="42"/>
      <c r="T85" s="42"/>
      <c r="U85" s="42"/>
      <c r="V85" s="42"/>
      <c r="W85" s="42"/>
      <c r="X85" s="42"/>
      <c r="Y85" s="42"/>
      <c r="Z85" s="42"/>
      <c r="AA85" s="42"/>
      <c r="AB85" s="43"/>
      <c r="AC85" s="1"/>
      <c r="AD85" s="1"/>
      <c r="AE85" s="1"/>
      <c r="AF85" s="1"/>
      <c r="AG85" s="1"/>
      <c r="AH85" s="1"/>
      <c r="AI85" s="1"/>
      <c r="AJ85" s="1"/>
      <c r="AK85" s="1"/>
      <c r="AL85" s="1"/>
      <c r="AM85" s="1"/>
      <c r="AN85" s="1"/>
      <c r="AO85" s="1"/>
      <c r="AP85" s="1"/>
      <c r="AQ85" s="1"/>
    </row>
    <row r="86" spans="1:43" x14ac:dyDescent="0.75">
      <c r="A86" s="1"/>
      <c r="B86" s="1"/>
      <c r="C86" s="1"/>
      <c r="D86" s="1"/>
      <c r="E86" s="1"/>
      <c r="F86" s="1"/>
      <c r="G86" s="1"/>
      <c r="H86" s="1"/>
      <c r="I86" s="1"/>
      <c r="J86" s="1"/>
      <c r="K86" s="1"/>
      <c r="L86" s="1"/>
      <c r="M86" s="1"/>
      <c r="N86" s="1"/>
      <c r="O86" s="1"/>
      <c r="P86" s="41"/>
      <c r="Q86" s="42"/>
      <c r="R86" s="42"/>
      <c r="S86" s="42"/>
      <c r="T86" s="42"/>
      <c r="U86" s="42"/>
      <c r="V86" s="42"/>
      <c r="W86" s="42"/>
      <c r="X86" s="42"/>
      <c r="Y86" s="42"/>
      <c r="Z86" s="42"/>
      <c r="AA86" s="42"/>
      <c r="AB86" s="43"/>
      <c r="AC86" s="1"/>
      <c r="AD86" s="1"/>
      <c r="AE86" s="1"/>
      <c r="AF86" s="1"/>
      <c r="AG86" s="1"/>
      <c r="AH86" s="1"/>
      <c r="AI86" s="1"/>
      <c r="AJ86" s="1"/>
      <c r="AK86" s="1"/>
      <c r="AL86" s="1"/>
      <c r="AM86" s="1"/>
      <c r="AN86" s="1"/>
      <c r="AO86" s="1"/>
      <c r="AP86" s="1"/>
      <c r="AQ86" s="1"/>
    </row>
    <row r="87" spans="1:43" x14ac:dyDescent="0.75">
      <c r="A87" s="1"/>
      <c r="B87" s="1"/>
      <c r="C87" s="1"/>
      <c r="D87" s="1"/>
      <c r="E87" s="1"/>
      <c r="F87" s="1"/>
      <c r="G87" s="1"/>
      <c r="H87" s="1"/>
      <c r="I87" s="1"/>
      <c r="J87" s="1"/>
      <c r="K87" s="1"/>
      <c r="L87" s="1"/>
      <c r="M87" s="1"/>
      <c r="N87" s="1"/>
      <c r="O87" s="1"/>
      <c r="P87" s="41"/>
      <c r="Q87" s="42"/>
      <c r="R87" s="42"/>
      <c r="S87" s="42"/>
      <c r="T87" s="42"/>
      <c r="U87" s="42"/>
      <c r="V87" s="42"/>
      <c r="W87" s="42"/>
      <c r="X87" s="42"/>
      <c r="Y87" s="42"/>
      <c r="Z87" s="42"/>
      <c r="AA87" s="42"/>
      <c r="AB87" s="43"/>
      <c r="AC87" s="1"/>
      <c r="AD87" s="1"/>
      <c r="AE87" s="1"/>
      <c r="AF87" s="1"/>
      <c r="AG87" s="1"/>
      <c r="AH87" s="1"/>
      <c r="AI87" s="1"/>
      <c r="AJ87" s="1"/>
      <c r="AK87" s="1"/>
      <c r="AL87" s="1"/>
      <c r="AM87" s="1"/>
      <c r="AN87" s="1"/>
      <c r="AO87" s="1"/>
      <c r="AP87" s="1"/>
      <c r="AQ87" s="1"/>
    </row>
    <row r="88" spans="1:43" x14ac:dyDescent="0.75">
      <c r="A88" s="1"/>
      <c r="B88" s="1"/>
      <c r="C88" s="1"/>
      <c r="D88" s="1"/>
      <c r="E88" s="1"/>
      <c r="F88" s="1"/>
      <c r="G88" s="1"/>
      <c r="H88" s="1"/>
      <c r="I88" s="1"/>
      <c r="J88" s="1"/>
      <c r="K88" s="1"/>
      <c r="L88" s="1"/>
      <c r="M88" s="1"/>
      <c r="N88" s="1"/>
      <c r="O88" s="1"/>
      <c r="P88" s="41"/>
      <c r="Q88" s="42"/>
      <c r="R88" s="151" t="s">
        <v>143</v>
      </c>
      <c r="S88" s="42"/>
      <c r="T88" s="42"/>
      <c r="U88" s="42"/>
      <c r="V88" s="42"/>
      <c r="W88" s="42"/>
      <c r="X88" s="42"/>
      <c r="Y88" s="42"/>
      <c r="Z88" s="42"/>
      <c r="AA88" s="42"/>
      <c r="AB88" s="43"/>
      <c r="AC88" s="1"/>
      <c r="AD88" s="1"/>
      <c r="AE88" s="1"/>
      <c r="AF88" s="1"/>
      <c r="AG88" s="1"/>
      <c r="AH88" s="1"/>
      <c r="AI88" s="1"/>
      <c r="AJ88" s="1"/>
      <c r="AK88" s="1"/>
      <c r="AL88" s="1"/>
      <c r="AM88" s="1"/>
      <c r="AN88" s="1"/>
      <c r="AO88" s="1"/>
      <c r="AP88" s="1"/>
      <c r="AQ88" s="1"/>
    </row>
    <row r="89" spans="1:43" x14ac:dyDescent="0.75">
      <c r="A89" s="1"/>
      <c r="B89" s="1"/>
      <c r="C89" s="1"/>
      <c r="D89" s="1"/>
      <c r="E89" s="1"/>
      <c r="F89" s="1"/>
      <c r="G89" s="1"/>
      <c r="H89" s="1"/>
      <c r="I89" s="1"/>
      <c r="J89" s="1"/>
      <c r="K89" s="1"/>
      <c r="L89" s="1"/>
      <c r="M89" s="1"/>
      <c r="N89" s="1"/>
      <c r="O89" s="1"/>
      <c r="P89" s="41"/>
      <c r="Q89" s="42"/>
      <c r="R89" s="42" t="s">
        <v>138</v>
      </c>
      <c r="S89" s="42"/>
      <c r="T89" s="42"/>
      <c r="U89" s="42"/>
      <c r="V89" s="42"/>
      <c r="W89" s="42"/>
      <c r="X89" s="42"/>
      <c r="Y89" s="42"/>
      <c r="Z89" s="42"/>
      <c r="AA89" s="42"/>
      <c r="AB89" s="43"/>
      <c r="AC89" s="1"/>
      <c r="AD89" s="1"/>
      <c r="AE89" s="1"/>
      <c r="AF89" s="1"/>
      <c r="AG89" s="1"/>
      <c r="AH89" s="1"/>
      <c r="AI89" s="1"/>
      <c r="AJ89" s="1"/>
      <c r="AK89" s="1"/>
      <c r="AL89" s="1"/>
      <c r="AM89" s="1"/>
      <c r="AN89" s="1"/>
      <c r="AO89" s="1"/>
      <c r="AP89" s="1"/>
      <c r="AQ89" s="1"/>
    </row>
    <row r="90" spans="1:43" x14ac:dyDescent="0.75">
      <c r="A90" s="1"/>
      <c r="B90" s="1"/>
      <c r="C90" s="1"/>
      <c r="D90" s="1"/>
      <c r="E90" s="1"/>
      <c r="F90" s="1"/>
      <c r="G90" s="1"/>
      <c r="H90" s="1"/>
      <c r="I90" s="1"/>
      <c r="J90" s="1"/>
      <c r="K90" s="1"/>
      <c r="L90" s="1"/>
      <c r="M90" s="1"/>
      <c r="N90" s="1"/>
      <c r="O90" s="1"/>
      <c r="P90" s="41"/>
      <c r="Q90" s="42"/>
      <c r="R90" s="151"/>
      <c r="S90" s="42"/>
      <c r="T90" s="42"/>
      <c r="U90" s="42"/>
      <c r="V90" s="92"/>
      <c r="W90" s="92"/>
      <c r="X90" s="92"/>
      <c r="Y90" s="92"/>
      <c r="Z90" s="92"/>
      <c r="AA90" s="42"/>
      <c r="AB90" s="43"/>
      <c r="AC90" s="1"/>
      <c r="AD90" s="1"/>
      <c r="AE90" s="1"/>
      <c r="AF90" s="1"/>
      <c r="AG90" s="1"/>
      <c r="AH90" s="1"/>
      <c r="AI90" s="1"/>
      <c r="AJ90" s="1"/>
      <c r="AK90" s="1"/>
      <c r="AL90" s="1"/>
      <c r="AM90" s="1"/>
      <c r="AN90" s="1"/>
      <c r="AO90" s="1"/>
      <c r="AP90" s="1"/>
      <c r="AQ90" s="1"/>
    </row>
    <row r="91" spans="1:43" ht="15.5" customHeight="1" x14ac:dyDescent="0.75">
      <c r="A91" s="1"/>
      <c r="B91" s="1"/>
      <c r="C91" s="1"/>
      <c r="D91" s="1"/>
      <c r="E91" s="1"/>
      <c r="F91" s="1"/>
      <c r="G91" s="1"/>
      <c r="H91" s="1"/>
      <c r="I91" s="1"/>
      <c r="J91" s="1"/>
      <c r="K91" s="1"/>
      <c r="L91" s="1"/>
      <c r="M91" s="1"/>
      <c r="N91" s="1"/>
      <c r="O91" s="1"/>
      <c r="P91" s="41"/>
      <c r="Q91" s="42"/>
      <c r="R91" s="91"/>
      <c r="S91" s="91"/>
      <c r="T91" s="91"/>
      <c r="U91" s="91"/>
      <c r="V91" s="91"/>
      <c r="W91" s="91"/>
      <c r="X91" s="91"/>
      <c r="Y91" s="91"/>
      <c r="Z91" s="91"/>
      <c r="AA91" s="42"/>
      <c r="AB91" s="43"/>
      <c r="AC91" s="1"/>
      <c r="AD91" s="1"/>
      <c r="AE91" s="1"/>
      <c r="AF91" s="1"/>
      <c r="AG91" s="1"/>
      <c r="AH91" s="1"/>
      <c r="AI91" s="1"/>
      <c r="AJ91" s="1"/>
      <c r="AK91" s="1"/>
      <c r="AL91" s="1"/>
      <c r="AM91" s="1"/>
      <c r="AN91" s="1"/>
      <c r="AO91" s="1"/>
      <c r="AP91" s="1"/>
      <c r="AQ91" s="1"/>
    </row>
    <row r="92" spans="1:43" ht="15.5" customHeight="1" thickBot="1" x14ac:dyDescent="0.9">
      <c r="A92" s="1"/>
      <c r="B92" s="1"/>
      <c r="C92" s="1"/>
      <c r="D92" s="1"/>
      <c r="E92" s="1"/>
      <c r="F92" s="1"/>
      <c r="G92" s="1"/>
      <c r="H92" s="1"/>
      <c r="I92" s="1"/>
      <c r="J92" s="1"/>
      <c r="K92" s="1"/>
      <c r="L92" s="1"/>
      <c r="M92" s="1"/>
      <c r="N92" s="1"/>
      <c r="O92" s="1"/>
      <c r="P92" s="41"/>
      <c r="Q92" s="42"/>
      <c r="R92" s="91"/>
      <c r="S92" s="91"/>
      <c r="T92" s="91"/>
      <c r="U92" s="91"/>
      <c r="V92" s="91"/>
      <c r="W92" s="91"/>
      <c r="X92" s="91"/>
      <c r="Y92" s="91"/>
      <c r="Z92" s="91"/>
      <c r="AA92" s="42"/>
      <c r="AB92" s="43"/>
      <c r="AC92" s="1"/>
      <c r="AD92" s="1"/>
      <c r="AE92" s="1"/>
      <c r="AF92" s="1"/>
      <c r="AG92" s="1"/>
      <c r="AH92" s="1"/>
      <c r="AI92" s="1"/>
      <c r="AJ92" s="1"/>
      <c r="AK92" s="1"/>
      <c r="AL92" s="1"/>
      <c r="AM92" s="1"/>
      <c r="AN92" s="1"/>
      <c r="AO92" s="1"/>
      <c r="AP92" s="1"/>
      <c r="AQ92" s="1"/>
    </row>
    <row r="93" spans="1:43" ht="31" thickBot="1" x14ac:dyDescent="0.9">
      <c r="A93" s="1"/>
      <c r="B93" s="1"/>
      <c r="C93" s="1"/>
      <c r="D93" s="1"/>
      <c r="E93" s="1"/>
      <c r="F93" s="1"/>
      <c r="G93" s="1"/>
      <c r="H93" s="1"/>
      <c r="I93" s="1"/>
      <c r="J93" s="1"/>
      <c r="K93" s="1"/>
      <c r="L93" s="1"/>
      <c r="M93" s="1"/>
      <c r="N93" s="1"/>
      <c r="O93" s="1"/>
      <c r="P93" s="41"/>
      <c r="Q93" s="42"/>
      <c r="R93" s="263" t="s">
        <v>156</v>
      </c>
      <c r="S93" s="264"/>
      <c r="T93" s="264"/>
      <c r="U93" s="264"/>
      <c r="V93" s="264"/>
      <c r="W93" s="264"/>
      <c r="X93" s="264"/>
      <c r="Y93" s="264"/>
      <c r="Z93" s="265"/>
      <c r="AA93" s="42"/>
      <c r="AB93" s="43"/>
      <c r="AC93" s="1"/>
      <c r="AD93" s="1"/>
      <c r="AE93" s="1"/>
      <c r="AF93" s="1"/>
      <c r="AG93" s="1"/>
      <c r="AH93" s="1"/>
      <c r="AI93" s="1"/>
      <c r="AJ93" s="1"/>
      <c r="AK93" s="1"/>
      <c r="AL93" s="1"/>
      <c r="AM93" s="1"/>
      <c r="AN93" s="1"/>
      <c r="AO93" s="1"/>
      <c r="AP93" s="1"/>
      <c r="AQ93" s="1"/>
    </row>
    <row r="94" spans="1:43" ht="15.5" customHeight="1" x14ac:dyDescent="0.75">
      <c r="A94" s="1"/>
      <c r="B94" s="1"/>
      <c r="C94" s="1"/>
      <c r="D94" s="1"/>
      <c r="E94" s="1"/>
      <c r="F94" s="1"/>
      <c r="G94" s="1"/>
      <c r="H94" s="1"/>
      <c r="I94" s="1"/>
      <c r="J94" s="1"/>
      <c r="K94" s="1"/>
      <c r="L94" s="1"/>
      <c r="M94" s="1"/>
      <c r="N94" s="1"/>
      <c r="O94" s="1"/>
      <c r="P94" s="41"/>
      <c r="Q94" s="42"/>
      <c r="R94" s="91"/>
      <c r="S94" s="91"/>
      <c r="T94" s="91"/>
      <c r="U94" s="91"/>
      <c r="V94" s="91"/>
      <c r="W94" s="91"/>
      <c r="X94" s="91"/>
      <c r="Y94" s="91"/>
      <c r="Z94" s="91"/>
      <c r="AA94" s="42"/>
      <c r="AB94" s="43"/>
      <c r="AC94" s="1"/>
      <c r="AD94" s="1"/>
      <c r="AE94" s="1"/>
      <c r="AF94" s="1"/>
      <c r="AG94" s="1"/>
      <c r="AH94" s="1"/>
      <c r="AI94" s="1"/>
      <c r="AJ94" s="1"/>
      <c r="AK94" s="1"/>
      <c r="AL94" s="1"/>
      <c r="AM94" s="1"/>
      <c r="AN94" s="1"/>
      <c r="AO94" s="1"/>
      <c r="AP94" s="1"/>
      <c r="AQ94" s="1"/>
    </row>
    <row r="95" spans="1:43" ht="15.5" customHeight="1" x14ac:dyDescent="0.75">
      <c r="A95" s="1"/>
      <c r="B95" s="1"/>
      <c r="C95" s="1"/>
      <c r="D95" s="1"/>
      <c r="E95" s="1"/>
      <c r="F95" s="1"/>
      <c r="G95" s="1"/>
      <c r="H95" s="1"/>
      <c r="I95" s="1"/>
      <c r="J95" s="1"/>
      <c r="K95" s="1"/>
      <c r="L95" s="1"/>
      <c r="M95" s="1"/>
      <c r="N95" s="1"/>
      <c r="O95" s="1"/>
      <c r="P95" s="41"/>
      <c r="Q95" s="42"/>
      <c r="R95" s="94"/>
      <c r="S95" s="94"/>
      <c r="T95" s="94"/>
      <c r="U95" s="94"/>
      <c r="V95" s="94"/>
      <c r="W95" s="94"/>
      <c r="X95" s="91"/>
      <c r="Y95" s="91"/>
      <c r="Z95" s="91"/>
      <c r="AA95" s="42"/>
      <c r="AB95" s="43"/>
      <c r="AC95" s="1"/>
      <c r="AD95" s="1"/>
      <c r="AE95" s="1"/>
      <c r="AF95" s="1"/>
      <c r="AG95" s="1"/>
      <c r="AH95" s="1"/>
      <c r="AI95" s="1"/>
      <c r="AJ95" s="1"/>
      <c r="AK95" s="1"/>
      <c r="AL95" s="1"/>
      <c r="AM95" s="1"/>
      <c r="AN95" s="1"/>
      <c r="AO95" s="1"/>
      <c r="AP95" s="1"/>
      <c r="AQ95" s="1"/>
    </row>
    <row r="96" spans="1:43" x14ac:dyDescent="0.75">
      <c r="A96" s="1"/>
      <c r="B96" s="1"/>
      <c r="C96" s="1"/>
      <c r="D96" s="1"/>
      <c r="E96" s="1"/>
      <c r="F96" s="1"/>
      <c r="G96" s="1"/>
      <c r="H96" s="1"/>
      <c r="I96" s="1"/>
      <c r="J96" s="1"/>
      <c r="K96" s="1"/>
      <c r="L96" s="1"/>
      <c r="M96" s="1"/>
      <c r="N96" s="1"/>
      <c r="O96" s="1"/>
      <c r="P96" s="41"/>
      <c r="Q96" s="42"/>
      <c r="R96" s="319" t="s">
        <v>145</v>
      </c>
      <c r="S96" s="319"/>
      <c r="T96" s="319"/>
      <c r="U96" s="319"/>
      <c r="V96" s="319"/>
      <c r="W96" s="152"/>
      <c r="X96" s="93"/>
      <c r="Y96" s="93"/>
      <c r="Z96" s="93"/>
      <c r="AA96" s="42"/>
      <c r="AB96" s="43"/>
      <c r="AC96" s="1"/>
      <c r="AD96" s="1"/>
      <c r="AE96" s="1"/>
      <c r="AF96" s="1"/>
      <c r="AG96" s="1"/>
      <c r="AH96" s="1"/>
      <c r="AI96" s="1"/>
      <c r="AJ96" s="1"/>
      <c r="AK96" s="1"/>
      <c r="AL96" s="1"/>
      <c r="AM96" s="1"/>
      <c r="AN96" s="1"/>
      <c r="AO96" s="1"/>
      <c r="AP96" s="1"/>
      <c r="AQ96" s="1"/>
    </row>
    <row r="97" spans="1:43" x14ac:dyDescent="0.75">
      <c r="A97" s="1"/>
      <c r="B97" s="1"/>
      <c r="C97" s="1"/>
      <c r="D97" s="1"/>
      <c r="E97" s="1"/>
      <c r="F97" s="1"/>
      <c r="G97" s="1"/>
      <c r="H97" s="1"/>
      <c r="I97" s="1"/>
      <c r="J97" s="1"/>
      <c r="K97" s="1"/>
      <c r="L97" s="1"/>
      <c r="M97" s="1"/>
      <c r="N97" s="1"/>
      <c r="O97" s="1"/>
      <c r="P97" s="41"/>
      <c r="Q97" s="42"/>
      <c r="R97" s="320" t="s">
        <v>157</v>
      </c>
      <c r="S97" s="320"/>
      <c r="T97" s="320"/>
      <c r="U97" s="221">
        <v>1</v>
      </c>
      <c r="V97" s="93" t="s">
        <v>33</v>
      </c>
      <c r="W97" s="95"/>
      <c r="X97" s="93"/>
      <c r="Y97" s="93"/>
      <c r="Z97" s="93"/>
      <c r="AA97" s="42"/>
      <c r="AB97" s="43"/>
      <c r="AC97" s="1"/>
      <c r="AD97" s="1"/>
      <c r="AE97" s="1"/>
      <c r="AF97" s="1"/>
      <c r="AG97" s="1"/>
      <c r="AH97" s="1"/>
      <c r="AI97" s="1"/>
      <c r="AJ97" s="1"/>
      <c r="AK97" s="1"/>
      <c r="AL97" s="1"/>
      <c r="AM97" s="1"/>
      <c r="AN97" s="1"/>
      <c r="AO97" s="1"/>
      <c r="AP97" s="1"/>
      <c r="AQ97" s="1"/>
    </row>
    <row r="98" spans="1:43" x14ac:dyDescent="0.75">
      <c r="A98" s="1"/>
      <c r="B98" s="1"/>
      <c r="C98" s="1"/>
      <c r="D98" s="1"/>
      <c r="E98" s="1"/>
      <c r="F98" s="1"/>
      <c r="G98" s="1"/>
      <c r="H98" s="1"/>
      <c r="I98" s="1"/>
      <c r="J98" s="1"/>
      <c r="K98" s="1"/>
      <c r="L98" s="1"/>
      <c r="M98" s="1"/>
      <c r="N98" s="1"/>
      <c r="O98" s="1"/>
      <c r="P98" s="41"/>
      <c r="Q98" s="42"/>
      <c r="R98" s="320" t="s">
        <v>158</v>
      </c>
      <c r="S98" s="320"/>
      <c r="T98" s="320"/>
      <c r="U98" s="221">
        <v>1</v>
      </c>
      <c r="V98" s="93" t="s">
        <v>33</v>
      </c>
      <c r="W98" s="95"/>
      <c r="X98" s="93"/>
      <c r="Y98" s="93"/>
      <c r="Z98" s="93"/>
      <c r="AA98" s="42"/>
      <c r="AB98" s="43"/>
      <c r="AC98" s="1"/>
      <c r="AD98" s="1"/>
      <c r="AE98" s="1"/>
      <c r="AF98" s="1"/>
      <c r="AG98" s="1"/>
      <c r="AH98" s="1"/>
      <c r="AI98" s="1"/>
      <c r="AJ98" s="1"/>
      <c r="AK98" s="1"/>
      <c r="AL98" s="1"/>
      <c r="AM98" s="1"/>
      <c r="AN98" s="1"/>
      <c r="AO98" s="1"/>
      <c r="AP98" s="1"/>
      <c r="AQ98" s="1"/>
    </row>
    <row r="99" spans="1:43" x14ac:dyDescent="0.75">
      <c r="A99" s="1"/>
      <c r="B99" s="1"/>
      <c r="C99" s="1"/>
      <c r="D99" s="1"/>
      <c r="E99" s="1"/>
      <c r="F99" s="1"/>
      <c r="G99" s="1"/>
      <c r="H99" s="1"/>
      <c r="I99" s="1"/>
      <c r="J99" s="1"/>
      <c r="K99" s="1"/>
      <c r="L99" s="1"/>
      <c r="M99" s="1"/>
      <c r="N99" s="1"/>
      <c r="O99" s="1"/>
      <c r="P99" s="41"/>
      <c r="Q99" s="42"/>
      <c r="R99" s="320" t="s">
        <v>148</v>
      </c>
      <c r="S99" s="320"/>
      <c r="T99" s="320"/>
      <c r="U99" s="221">
        <v>90</v>
      </c>
      <c r="V99" s="93" t="s">
        <v>24</v>
      </c>
      <c r="W99" s="95"/>
      <c r="X99" s="93"/>
      <c r="Y99" s="93"/>
      <c r="Z99" s="93"/>
      <c r="AA99" s="42"/>
      <c r="AB99" s="43"/>
      <c r="AC99" s="1"/>
      <c r="AD99" s="1"/>
      <c r="AE99" s="1"/>
      <c r="AF99" s="1"/>
      <c r="AG99" s="1"/>
      <c r="AH99" s="1"/>
      <c r="AI99" s="1"/>
      <c r="AJ99" s="1"/>
      <c r="AK99" s="1"/>
      <c r="AL99" s="1"/>
      <c r="AM99" s="1"/>
      <c r="AN99" s="1"/>
      <c r="AO99" s="1"/>
      <c r="AP99" s="1"/>
      <c r="AQ99" s="1"/>
    </row>
    <row r="100" spans="1:43" x14ac:dyDescent="0.75">
      <c r="A100" s="1"/>
      <c r="B100" s="1"/>
      <c r="C100" s="1"/>
      <c r="D100" s="1"/>
      <c r="E100" s="1"/>
      <c r="F100" s="1"/>
      <c r="G100" s="1"/>
      <c r="H100" s="1"/>
      <c r="I100" s="1"/>
      <c r="J100" s="1"/>
      <c r="K100" s="1"/>
      <c r="L100" s="1"/>
      <c r="M100" s="1"/>
      <c r="N100" s="1"/>
      <c r="O100" s="1"/>
      <c r="P100" s="41"/>
      <c r="Q100" s="42"/>
      <c r="R100" s="320" t="s">
        <v>234</v>
      </c>
      <c r="S100" s="320"/>
      <c r="T100" s="320"/>
      <c r="U100" s="222">
        <f>-10*LOG('Backend Data'!D41)</f>
        <v>0.22825214260717014</v>
      </c>
      <c r="V100" s="96" t="s">
        <v>33</v>
      </c>
      <c r="W100" s="96"/>
      <c r="X100" s="93"/>
      <c r="Y100" s="93"/>
      <c r="Z100" s="93"/>
      <c r="AA100" s="42"/>
      <c r="AB100" s="43"/>
      <c r="AC100" s="1"/>
      <c r="AD100" s="1"/>
      <c r="AE100" s="1"/>
      <c r="AF100" s="1"/>
      <c r="AG100" s="1"/>
      <c r="AH100" s="1"/>
      <c r="AI100" s="1"/>
      <c r="AJ100" s="1"/>
      <c r="AK100" s="1"/>
      <c r="AL100" s="1"/>
      <c r="AM100" s="1"/>
      <c r="AN100" s="1"/>
      <c r="AO100" s="1"/>
      <c r="AP100" s="1"/>
      <c r="AQ100" s="1"/>
    </row>
    <row r="101" spans="1:43" x14ac:dyDescent="0.75">
      <c r="A101" s="1"/>
      <c r="B101" s="1"/>
      <c r="C101" s="1"/>
      <c r="D101" s="1"/>
      <c r="E101" s="1"/>
      <c r="F101" s="1"/>
      <c r="G101" s="1"/>
      <c r="H101" s="1"/>
      <c r="I101" s="1"/>
      <c r="J101" s="1"/>
      <c r="K101" s="1"/>
      <c r="L101" s="1"/>
      <c r="M101" s="1"/>
      <c r="N101" s="1"/>
      <c r="O101" s="1"/>
      <c r="P101" s="41"/>
      <c r="Q101" s="42"/>
      <c r="R101" s="94"/>
      <c r="S101" s="94"/>
      <c r="T101" s="94"/>
      <c r="U101" s="94"/>
      <c r="V101" s="94"/>
      <c r="W101" s="94"/>
      <c r="X101" s="93"/>
      <c r="Y101" s="93"/>
      <c r="Z101" s="93"/>
      <c r="AA101" s="42"/>
      <c r="AB101" s="43"/>
      <c r="AC101" s="1"/>
      <c r="AD101" s="1"/>
      <c r="AE101" s="1"/>
      <c r="AF101" s="1"/>
      <c r="AG101" s="1"/>
      <c r="AH101" s="1"/>
      <c r="AI101" s="1"/>
      <c r="AJ101" s="1"/>
      <c r="AK101" s="1"/>
      <c r="AL101" s="1"/>
      <c r="AM101" s="1"/>
      <c r="AN101" s="1"/>
      <c r="AO101" s="1"/>
      <c r="AP101" s="1"/>
      <c r="AQ101" s="1"/>
    </row>
    <row r="102" spans="1:43" x14ac:dyDescent="0.75">
      <c r="A102" s="1"/>
      <c r="B102" s="1"/>
      <c r="C102" s="1"/>
      <c r="D102" s="1"/>
      <c r="E102" s="1"/>
      <c r="F102" s="1"/>
      <c r="G102" s="1"/>
      <c r="H102" s="1"/>
      <c r="I102" s="1"/>
      <c r="J102" s="1"/>
      <c r="K102" s="1"/>
      <c r="L102" s="1"/>
      <c r="M102" s="1"/>
      <c r="N102" s="1"/>
      <c r="O102" s="1"/>
      <c r="P102" s="41"/>
      <c r="Q102" s="42"/>
      <c r="R102" s="317" t="s">
        <v>150</v>
      </c>
      <c r="S102" s="317"/>
      <c r="T102" s="317"/>
      <c r="U102" s="317"/>
      <c r="V102" s="94"/>
      <c r="W102" s="94"/>
      <c r="X102" s="93"/>
      <c r="Y102" s="93"/>
      <c r="Z102" s="93"/>
      <c r="AA102" s="42"/>
      <c r="AB102" s="43"/>
      <c r="AC102" s="1"/>
      <c r="AD102" s="1"/>
      <c r="AE102" s="1"/>
      <c r="AF102" s="1"/>
      <c r="AG102" s="1"/>
      <c r="AH102" s="1"/>
      <c r="AI102" s="1"/>
      <c r="AJ102" s="1"/>
      <c r="AK102" s="1"/>
      <c r="AL102" s="1"/>
      <c r="AM102" s="1"/>
      <c r="AN102" s="1"/>
      <c r="AO102" s="1"/>
      <c r="AP102" s="1"/>
      <c r="AQ102" s="1"/>
    </row>
    <row r="103" spans="1:43" x14ac:dyDescent="0.75">
      <c r="A103" s="1"/>
      <c r="B103" s="1"/>
      <c r="C103" s="1"/>
      <c r="D103" s="1"/>
      <c r="E103" s="1"/>
      <c r="F103" s="1"/>
      <c r="G103" s="1"/>
      <c r="H103" s="1"/>
      <c r="I103" s="1"/>
      <c r="J103" s="1"/>
      <c r="K103" s="1"/>
      <c r="L103" s="1"/>
      <c r="M103" s="1"/>
      <c r="N103" s="1"/>
      <c r="O103" s="1"/>
      <c r="P103" s="41"/>
      <c r="Q103" s="42"/>
      <c r="R103" s="318" t="s">
        <v>151</v>
      </c>
      <c r="S103" s="318"/>
      <c r="T103" s="318"/>
      <c r="U103" s="222">
        <f>10*LOG10(1-'Backend Data'!D41)</f>
        <v>-12.907320722611759</v>
      </c>
      <c r="V103" s="94" t="s">
        <v>33</v>
      </c>
      <c r="W103" s="94"/>
      <c r="X103" s="93"/>
      <c r="Y103" s="93"/>
      <c r="Z103" s="93"/>
      <c r="AA103" s="42"/>
      <c r="AB103" s="43"/>
      <c r="AC103" s="1"/>
      <c r="AD103" s="1"/>
      <c r="AE103" s="1"/>
      <c r="AF103" s="1"/>
      <c r="AG103" s="1"/>
      <c r="AH103" s="1"/>
      <c r="AI103" s="1"/>
      <c r="AJ103" s="1"/>
      <c r="AK103" s="1"/>
      <c r="AL103" s="1"/>
      <c r="AM103" s="1"/>
      <c r="AN103" s="1"/>
      <c r="AO103" s="1"/>
      <c r="AP103" s="1"/>
      <c r="AQ103" s="1"/>
    </row>
    <row r="104" spans="1:43" x14ac:dyDescent="0.75">
      <c r="A104" s="1"/>
      <c r="B104" s="1"/>
      <c r="C104" s="1"/>
      <c r="D104" s="1"/>
      <c r="E104" s="1"/>
      <c r="F104" s="1"/>
      <c r="G104" s="1"/>
      <c r="H104" s="1"/>
      <c r="I104" s="1"/>
      <c r="J104" s="1"/>
      <c r="K104" s="1"/>
      <c r="L104" s="1"/>
      <c r="M104" s="1"/>
      <c r="N104" s="1"/>
      <c r="O104" s="1"/>
      <c r="P104" s="41"/>
      <c r="Q104" s="42"/>
      <c r="R104" s="318" t="s">
        <v>152</v>
      </c>
      <c r="S104" s="318"/>
      <c r="T104" s="318"/>
      <c r="U104" s="222">
        <f>U100-U103</f>
        <v>13.135572865218929</v>
      </c>
      <c r="V104" s="94" t="s">
        <v>33</v>
      </c>
      <c r="W104" s="94"/>
      <c r="X104" s="93"/>
      <c r="Y104" s="93"/>
      <c r="Z104" s="93"/>
      <c r="AA104" s="42"/>
      <c r="AB104" s="43"/>
      <c r="AC104" s="1"/>
      <c r="AD104" s="1"/>
      <c r="AE104" s="1"/>
      <c r="AF104" s="1"/>
      <c r="AG104" s="1"/>
      <c r="AH104" s="1"/>
      <c r="AI104" s="1"/>
      <c r="AJ104" s="1"/>
      <c r="AK104" s="1"/>
      <c r="AL104" s="1"/>
      <c r="AM104" s="1"/>
      <c r="AN104" s="1"/>
      <c r="AO104" s="1"/>
      <c r="AP104" s="1"/>
      <c r="AQ104" s="1"/>
    </row>
    <row r="105" spans="1:43" x14ac:dyDescent="0.75">
      <c r="A105" s="1"/>
      <c r="B105" s="1"/>
      <c r="C105" s="1"/>
      <c r="D105" s="1"/>
      <c r="E105" s="1"/>
      <c r="F105" s="1"/>
      <c r="G105" s="1"/>
      <c r="H105" s="1"/>
      <c r="I105" s="1"/>
      <c r="J105" s="1"/>
      <c r="K105" s="1"/>
      <c r="L105" s="1"/>
      <c r="M105" s="1"/>
      <c r="N105" s="1"/>
      <c r="O105" s="1"/>
      <c r="P105" s="41"/>
      <c r="Q105" s="42"/>
      <c r="R105" s="42"/>
      <c r="S105" s="42"/>
      <c r="T105" s="42"/>
      <c r="U105" s="42"/>
      <c r="V105" s="42"/>
      <c r="W105" s="66"/>
      <c r="X105" s="66"/>
      <c r="Y105" s="66"/>
      <c r="Z105" s="66"/>
      <c r="AA105" s="42"/>
      <c r="AB105" s="43"/>
      <c r="AC105" s="1"/>
      <c r="AD105" s="1"/>
      <c r="AE105" s="1"/>
      <c r="AF105" s="1"/>
      <c r="AG105" s="1"/>
      <c r="AH105" s="1"/>
      <c r="AI105" s="1"/>
      <c r="AJ105" s="1"/>
      <c r="AK105" s="1"/>
      <c r="AL105" s="1"/>
      <c r="AM105" s="1"/>
      <c r="AN105" s="1"/>
      <c r="AO105" s="1"/>
      <c r="AP105" s="1"/>
      <c r="AQ105" s="1"/>
    </row>
    <row r="106" spans="1:43" ht="15.5" thickBot="1" x14ac:dyDescent="0.9">
      <c r="A106" s="1"/>
      <c r="B106" s="1"/>
      <c r="C106" s="1"/>
      <c r="D106" s="1"/>
      <c r="E106" s="1"/>
      <c r="F106" s="1"/>
      <c r="G106" s="1"/>
      <c r="H106" s="1"/>
      <c r="I106" s="1"/>
      <c r="J106" s="1"/>
      <c r="K106" s="1"/>
      <c r="L106" s="1"/>
      <c r="M106" s="1"/>
      <c r="N106" s="1"/>
      <c r="O106" s="1"/>
      <c r="P106" s="44"/>
      <c r="Q106" s="45"/>
      <c r="R106" s="97"/>
      <c r="S106" s="97"/>
      <c r="T106" s="97"/>
      <c r="U106" s="97"/>
      <c r="V106" s="45"/>
      <c r="W106" s="45"/>
      <c r="X106" s="45"/>
      <c r="Y106" s="45"/>
      <c r="Z106" s="45"/>
      <c r="AA106" s="45"/>
      <c r="AB106" s="46"/>
      <c r="AC106" s="1"/>
      <c r="AD106" s="1"/>
      <c r="AE106" s="1"/>
      <c r="AF106" s="1"/>
      <c r="AG106" s="1"/>
      <c r="AH106" s="1"/>
      <c r="AI106" s="1"/>
      <c r="AJ106" s="1"/>
      <c r="AK106" s="1"/>
      <c r="AL106" s="1"/>
      <c r="AM106" s="1"/>
      <c r="AN106" s="1"/>
      <c r="AO106" s="1"/>
      <c r="AP106" s="1"/>
      <c r="AQ106" s="1"/>
    </row>
    <row r="107" spans="1:43" x14ac:dyDescent="0.7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row>
    <row r="108" spans="1:43" x14ac:dyDescent="0.7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row>
  </sheetData>
  <mergeCells count="39">
    <mergeCell ref="T15:W15"/>
    <mergeCell ref="R2:Z2"/>
    <mergeCell ref="R6:Z6"/>
    <mergeCell ref="T9:U9"/>
    <mergeCell ref="T10:U10"/>
    <mergeCell ref="R13:Z13"/>
    <mergeCell ref="T8:W8"/>
    <mergeCell ref="R55:T55"/>
    <mergeCell ref="T16:U16"/>
    <mergeCell ref="T17:U17"/>
    <mergeCell ref="R24:Z24"/>
    <mergeCell ref="V35:X35"/>
    <mergeCell ref="V36:X36"/>
    <mergeCell ref="V37:X37"/>
    <mergeCell ref="V38:X38"/>
    <mergeCell ref="V39:X39"/>
    <mergeCell ref="R53:V53"/>
    <mergeCell ref="R50:Z50"/>
    <mergeCell ref="R54:T54"/>
    <mergeCell ref="V78:X78"/>
    <mergeCell ref="R56:T56"/>
    <mergeCell ref="R57:T57"/>
    <mergeCell ref="R59:U59"/>
    <mergeCell ref="R60:T60"/>
    <mergeCell ref="R61:T61"/>
    <mergeCell ref="R67:Z67"/>
    <mergeCell ref="R93:Z93"/>
    <mergeCell ref="V82:X82"/>
    <mergeCell ref="V79:X79"/>
    <mergeCell ref="V80:X80"/>
    <mergeCell ref="V81:X81"/>
    <mergeCell ref="R102:U102"/>
    <mergeCell ref="R103:T103"/>
    <mergeCell ref="R104:T104"/>
    <mergeCell ref="R96:V96"/>
    <mergeCell ref="R97:T97"/>
    <mergeCell ref="R98:T98"/>
    <mergeCell ref="R99:T99"/>
    <mergeCell ref="R100:T100"/>
  </mergeCells>
  <conditionalFormatting sqref="Y38">
    <cfRule type="expression" dxfId="44" priority="46">
      <formula>$AA$9=4</formula>
    </cfRule>
  </conditionalFormatting>
  <conditionalFormatting sqref="Y35">
    <cfRule type="expression" dxfId="43" priority="51">
      <formula>$AA$9=1</formula>
    </cfRule>
  </conditionalFormatting>
  <conditionalFormatting sqref="Y35">
    <cfRule type="expression" dxfId="42" priority="50">
      <formula>$AA$9=3</formula>
    </cfRule>
  </conditionalFormatting>
  <conditionalFormatting sqref="Y35">
    <cfRule type="expression" dxfId="41" priority="49">
      <formula>$AA$9=4</formula>
    </cfRule>
  </conditionalFormatting>
  <conditionalFormatting sqref="Y38">
    <cfRule type="expression" dxfId="40" priority="48">
      <formula>$AA$9=1</formula>
    </cfRule>
  </conditionalFormatting>
  <conditionalFormatting sqref="Y38">
    <cfRule type="expression" dxfId="39" priority="47">
      <formula>$AA$9=3</formula>
    </cfRule>
  </conditionalFormatting>
  <conditionalFormatting sqref="U54">
    <cfRule type="expression" dxfId="38" priority="45">
      <formula>$AA$9=1</formula>
    </cfRule>
  </conditionalFormatting>
  <conditionalFormatting sqref="U54">
    <cfRule type="expression" dxfId="37" priority="44">
      <formula>$AA$9=3</formula>
    </cfRule>
  </conditionalFormatting>
  <conditionalFormatting sqref="U54">
    <cfRule type="expression" dxfId="36" priority="43">
      <formula>$AA$9=4</formula>
    </cfRule>
  </conditionalFormatting>
  <conditionalFormatting sqref="U55">
    <cfRule type="expression" dxfId="35" priority="42">
      <formula>$AA$9=1</formula>
    </cfRule>
  </conditionalFormatting>
  <conditionalFormatting sqref="U55">
    <cfRule type="expression" dxfId="34" priority="41">
      <formula>$AA$9=3</formula>
    </cfRule>
  </conditionalFormatting>
  <conditionalFormatting sqref="U55">
    <cfRule type="expression" dxfId="33" priority="40">
      <formula>$AA$9=4</formula>
    </cfRule>
  </conditionalFormatting>
  <conditionalFormatting sqref="U56">
    <cfRule type="expression" dxfId="32" priority="39">
      <formula>$AA$9=1</formula>
    </cfRule>
  </conditionalFormatting>
  <conditionalFormatting sqref="U56">
    <cfRule type="expression" dxfId="31" priority="38">
      <formula>$AA$9=3</formula>
    </cfRule>
  </conditionalFormatting>
  <conditionalFormatting sqref="U56">
    <cfRule type="expression" dxfId="30" priority="37">
      <formula>$AA$9=4</formula>
    </cfRule>
  </conditionalFormatting>
  <conditionalFormatting sqref="Y78">
    <cfRule type="expression" dxfId="29" priority="33">
      <formula>$AA$9=1</formula>
    </cfRule>
  </conditionalFormatting>
  <conditionalFormatting sqref="Y78">
    <cfRule type="expression" dxfId="28" priority="32">
      <formula>$AA$9=3</formula>
    </cfRule>
  </conditionalFormatting>
  <conditionalFormatting sqref="Y78">
    <cfRule type="expression" dxfId="27" priority="31">
      <formula>$AA$9=4</formula>
    </cfRule>
  </conditionalFormatting>
  <conditionalFormatting sqref="Y37">
    <cfRule type="expression" dxfId="26" priority="13">
      <formula>$AA$9=4</formula>
    </cfRule>
  </conditionalFormatting>
  <conditionalFormatting sqref="Y37">
    <cfRule type="expression" dxfId="25" priority="15">
      <formula>$AA$9=1</formula>
    </cfRule>
  </conditionalFormatting>
  <conditionalFormatting sqref="Y37">
    <cfRule type="expression" dxfId="24" priority="14">
      <formula>$AA$9=3</formula>
    </cfRule>
  </conditionalFormatting>
  <conditionalFormatting sqref="Y80">
    <cfRule type="expression" dxfId="23" priority="12">
      <formula>$AA$9=1</formula>
    </cfRule>
  </conditionalFormatting>
  <conditionalFormatting sqref="Y80">
    <cfRule type="expression" dxfId="22" priority="11">
      <formula>$AA$9=3</formula>
    </cfRule>
  </conditionalFormatting>
  <conditionalFormatting sqref="Y80">
    <cfRule type="expression" dxfId="21" priority="10">
      <formula>$AA$9=4</formula>
    </cfRule>
  </conditionalFormatting>
  <conditionalFormatting sqref="U97">
    <cfRule type="expression" dxfId="20" priority="9">
      <formula>$AA$9=1</formula>
    </cfRule>
  </conditionalFormatting>
  <conditionalFormatting sqref="U97">
    <cfRule type="expression" dxfId="19" priority="8">
      <formula>$AA$9=3</formula>
    </cfRule>
  </conditionalFormatting>
  <conditionalFormatting sqref="U97">
    <cfRule type="expression" dxfId="18" priority="7">
      <formula>$AA$9=4</formula>
    </cfRule>
  </conditionalFormatting>
  <conditionalFormatting sqref="U98">
    <cfRule type="expression" dxfId="17" priority="6">
      <formula>$AA$9=1</formula>
    </cfRule>
  </conditionalFormatting>
  <conditionalFormatting sqref="U98">
    <cfRule type="expression" dxfId="16" priority="5">
      <formula>$AA$9=3</formula>
    </cfRule>
  </conditionalFormatting>
  <conditionalFormatting sqref="U98">
    <cfRule type="expression" dxfId="15" priority="4">
      <formula>$AA$9=4</formula>
    </cfRule>
  </conditionalFormatting>
  <conditionalFormatting sqref="U99">
    <cfRule type="expression" dxfId="14" priority="3">
      <formula>$AA$9=1</formula>
    </cfRule>
  </conditionalFormatting>
  <conditionalFormatting sqref="U99">
    <cfRule type="expression" dxfId="13" priority="2">
      <formula>$AA$9=3</formula>
    </cfRule>
  </conditionalFormatting>
  <conditionalFormatting sqref="U99">
    <cfRule type="expression" dxfId="12" priority="1">
      <formula>$AA$9=4</formula>
    </cfRule>
  </conditionalFormatting>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EF4BD-D038-4FB4-BF0A-924999930775}">
  <sheetPr>
    <tabColor rgb="FFCCFFCC"/>
  </sheetPr>
  <dimension ref="A1:K67"/>
  <sheetViews>
    <sheetView workbookViewId="0">
      <selection activeCell="E31" sqref="E31"/>
    </sheetView>
  </sheetViews>
  <sheetFormatPr defaultColWidth="0" defaultRowHeight="14.75" zeroHeight="1" x14ac:dyDescent="0.75"/>
  <cols>
    <col min="1" max="3" width="3.58984375" customWidth="1"/>
    <col min="4" max="4" width="36.1796875" customWidth="1"/>
    <col min="5" max="5" width="17.08984375" customWidth="1"/>
    <col min="6" max="6" width="4.90625" bestFit="1" customWidth="1"/>
    <col min="7" max="7" width="30.1328125" bestFit="1" customWidth="1"/>
    <col min="8" max="9" width="3.31640625" customWidth="1"/>
    <col min="10" max="10" width="3.58984375" customWidth="1"/>
    <col min="11" max="11" width="0" hidden="1" customWidth="1"/>
    <col min="12" max="16384" width="8.7265625" hidden="1"/>
  </cols>
  <sheetData>
    <row r="1" spans="1:11" ht="15.5" thickBot="1" x14ac:dyDescent="0.9">
      <c r="A1" s="1"/>
      <c r="B1" s="1"/>
      <c r="C1" s="1"/>
      <c r="D1" s="1"/>
      <c r="E1" s="1"/>
      <c r="F1" s="1"/>
      <c r="G1" s="1"/>
      <c r="H1" s="1"/>
      <c r="I1" s="1"/>
      <c r="J1" s="1"/>
    </row>
    <row r="2" spans="1:11" ht="31" thickBot="1" x14ac:dyDescent="0.9">
      <c r="A2" s="1"/>
      <c r="B2" s="1"/>
      <c r="C2" s="263" t="s">
        <v>224</v>
      </c>
      <c r="D2" s="264"/>
      <c r="E2" s="264"/>
      <c r="F2" s="264"/>
      <c r="G2" s="265"/>
      <c r="H2" s="169"/>
      <c r="I2" s="169"/>
      <c r="J2" s="169"/>
      <c r="K2" s="168"/>
    </row>
    <row r="3" spans="1:11" ht="13.25" customHeight="1" thickBot="1" x14ac:dyDescent="0.9">
      <c r="A3" s="1"/>
      <c r="B3" s="1"/>
      <c r="C3" s="1"/>
      <c r="D3" s="1"/>
      <c r="E3" s="1"/>
      <c r="F3" s="1"/>
      <c r="G3" s="1"/>
      <c r="H3" s="1"/>
      <c r="I3" s="1"/>
      <c r="J3" s="1"/>
    </row>
    <row r="4" spans="1:11" ht="15.5" thickBot="1" x14ac:dyDescent="0.9">
      <c r="A4" s="1"/>
      <c r="B4" s="142"/>
      <c r="C4" s="136"/>
      <c r="D4" s="210" t="s">
        <v>159</v>
      </c>
      <c r="E4" s="136" t="s">
        <v>2</v>
      </c>
      <c r="F4" s="136" t="s">
        <v>160</v>
      </c>
      <c r="G4" s="136" t="s">
        <v>161</v>
      </c>
      <c r="H4" s="136"/>
      <c r="I4" s="143"/>
      <c r="J4" s="1"/>
    </row>
    <row r="5" spans="1:11" ht="15.5" thickBot="1" x14ac:dyDescent="0.9">
      <c r="A5" s="1"/>
      <c r="B5" s="144"/>
      <c r="C5" s="137"/>
      <c r="D5" s="211" t="s">
        <v>143</v>
      </c>
      <c r="E5" s="139"/>
      <c r="F5" s="140"/>
      <c r="G5" s="137"/>
      <c r="H5" s="137"/>
      <c r="I5" s="145"/>
      <c r="J5" s="1"/>
    </row>
    <row r="6" spans="1:11" x14ac:dyDescent="0.75">
      <c r="A6" s="1"/>
      <c r="B6" s="146"/>
      <c r="C6" s="134"/>
      <c r="D6" s="327" t="s">
        <v>162</v>
      </c>
      <c r="E6" s="98">
        <f>Transmitters!T15</f>
        <v>100</v>
      </c>
      <c r="F6" s="135" t="s">
        <v>38</v>
      </c>
      <c r="G6" s="134"/>
      <c r="H6" s="134"/>
      <c r="I6" s="147"/>
      <c r="J6" s="1"/>
    </row>
    <row r="7" spans="1:11" x14ac:dyDescent="0.75">
      <c r="A7" s="1"/>
      <c r="B7" s="146"/>
      <c r="C7" s="134"/>
      <c r="D7" s="327"/>
      <c r="E7" s="98">
        <f>Transmitters!T16</f>
        <v>20</v>
      </c>
      <c r="F7" s="135" t="s">
        <v>39</v>
      </c>
      <c r="G7" s="134"/>
      <c r="H7" s="134"/>
      <c r="I7" s="147"/>
      <c r="J7" s="1"/>
    </row>
    <row r="8" spans="1:11" x14ac:dyDescent="0.75">
      <c r="A8" s="1"/>
      <c r="B8" s="146"/>
      <c r="C8" s="134"/>
      <c r="D8" s="327"/>
      <c r="E8" s="98">
        <f>Transmitters!T17</f>
        <v>50</v>
      </c>
      <c r="F8" s="135" t="s">
        <v>41</v>
      </c>
      <c r="G8" s="134"/>
      <c r="H8" s="134"/>
      <c r="I8" s="147"/>
      <c r="J8" s="1"/>
    </row>
    <row r="9" spans="1:11" x14ac:dyDescent="0.75">
      <c r="A9" s="1"/>
      <c r="B9" s="146"/>
      <c r="C9" s="134"/>
      <c r="D9" s="212" t="s">
        <v>163</v>
      </c>
      <c r="E9" s="99">
        <f>Transmitters!V31</f>
        <v>1.2</v>
      </c>
      <c r="F9" s="135" t="s">
        <v>33</v>
      </c>
      <c r="G9" s="134"/>
      <c r="H9" s="134"/>
      <c r="I9" s="147"/>
      <c r="J9" s="1"/>
    </row>
    <row r="10" spans="1:11" x14ac:dyDescent="0.75">
      <c r="A10" s="1"/>
      <c r="B10" s="146"/>
      <c r="C10" s="134"/>
      <c r="D10" s="212" t="s">
        <v>164</v>
      </c>
      <c r="E10" s="99">
        <f>Antennas!W36</f>
        <v>15.7</v>
      </c>
      <c r="F10" s="135" t="s">
        <v>120</v>
      </c>
      <c r="G10" s="134"/>
      <c r="H10" s="134"/>
      <c r="I10" s="147"/>
      <c r="J10" s="1"/>
    </row>
    <row r="11" spans="1:11" ht="15.5" thickBot="1" x14ac:dyDescent="0.9">
      <c r="A11" s="1"/>
      <c r="B11" s="146"/>
      <c r="C11" s="134"/>
      <c r="D11" s="212" t="s">
        <v>165</v>
      </c>
      <c r="E11" s="98">
        <f>E7-E9+E10</f>
        <v>34.5</v>
      </c>
      <c r="F11" s="135" t="s">
        <v>39</v>
      </c>
      <c r="G11" s="134"/>
      <c r="H11" s="134"/>
      <c r="I11" s="147"/>
      <c r="J11" s="1"/>
    </row>
    <row r="12" spans="1:11" ht="15.5" thickBot="1" x14ac:dyDescent="0.9">
      <c r="A12" s="1"/>
      <c r="B12" s="144"/>
      <c r="C12" s="137"/>
      <c r="D12" s="211" t="s">
        <v>166</v>
      </c>
      <c r="E12" s="141"/>
      <c r="F12" s="140"/>
      <c r="G12" s="137"/>
      <c r="H12" s="137"/>
      <c r="I12" s="145"/>
      <c r="J12" s="1"/>
    </row>
    <row r="13" spans="1:11" x14ac:dyDescent="0.75">
      <c r="A13" s="1"/>
      <c r="B13" s="146"/>
      <c r="C13" s="134"/>
      <c r="D13" s="212" t="s">
        <v>167</v>
      </c>
      <c r="E13" s="98">
        <f>Losses!Y37</f>
        <v>20</v>
      </c>
      <c r="F13" s="135" t="s">
        <v>33</v>
      </c>
      <c r="G13" s="134"/>
      <c r="H13" s="134"/>
      <c r="I13" s="147"/>
      <c r="J13" s="1"/>
    </row>
    <row r="14" spans="1:11" x14ac:dyDescent="0.75">
      <c r="A14" s="1"/>
      <c r="B14" s="146"/>
      <c r="C14" s="134"/>
      <c r="D14" s="212" t="s">
        <v>168</v>
      </c>
      <c r="E14" s="98">
        <f>IF(Antennas!AA8=Antennas!AA20,Losses!U57,Losses!U61)</f>
        <v>0.22825214260717014</v>
      </c>
      <c r="F14" s="135" t="s">
        <v>33</v>
      </c>
      <c r="G14" s="148"/>
      <c r="H14" s="134"/>
      <c r="I14" s="147"/>
      <c r="J14" s="1"/>
    </row>
    <row r="15" spans="1:11" x14ac:dyDescent="0.75">
      <c r="A15" s="1"/>
      <c r="B15" s="146"/>
      <c r="C15" s="134"/>
      <c r="D15" s="212" t="s">
        <v>169</v>
      </c>
      <c r="E15" s="98">
        <f>Orbit!T35</f>
        <v>140.95958421846103</v>
      </c>
      <c r="F15" s="135" t="s">
        <v>33</v>
      </c>
      <c r="G15" s="134"/>
      <c r="H15" s="134"/>
      <c r="I15" s="147"/>
      <c r="J15" s="1"/>
    </row>
    <row r="16" spans="1:11" x14ac:dyDescent="0.75">
      <c r="A16" s="1"/>
      <c r="B16" s="146"/>
      <c r="C16" s="134"/>
      <c r="D16" s="212" t="s">
        <v>170</v>
      </c>
      <c r="E16" s="99">
        <f>Losses!W10</f>
        <v>2.1</v>
      </c>
      <c r="F16" s="135" t="s">
        <v>33</v>
      </c>
      <c r="G16" s="134"/>
      <c r="H16" s="134"/>
      <c r="I16" s="147"/>
      <c r="J16" s="1"/>
    </row>
    <row r="17" spans="1:10" x14ac:dyDescent="0.75">
      <c r="A17" s="1"/>
      <c r="B17" s="146"/>
      <c r="C17" s="134"/>
      <c r="D17" s="212" t="s">
        <v>171</v>
      </c>
      <c r="E17" s="99">
        <f>Losses!W16</f>
        <v>0.7</v>
      </c>
      <c r="F17" s="135" t="s">
        <v>33</v>
      </c>
      <c r="G17" s="134"/>
      <c r="H17" s="134"/>
      <c r="I17" s="147"/>
      <c r="J17" s="1"/>
    </row>
    <row r="18" spans="1:10" x14ac:dyDescent="0.75">
      <c r="A18" s="1"/>
      <c r="B18" s="146"/>
      <c r="C18" s="134"/>
      <c r="D18" s="212" t="s">
        <v>172</v>
      </c>
      <c r="E18" s="175">
        <v>0</v>
      </c>
      <c r="F18" s="135" t="s">
        <v>33</v>
      </c>
      <c r="G18" s="134" t="s">
        <v>173</v>
      </c>
      <c r="H18" s="134"/>
      <c r="I18" s="147"/>
      <c r="J18" s="1"/>
    </row>
    <row r="19" spans="1:10" ht="15.5" thickBot="1" x14ac:dyDescent="0.9">
      <c r="A19" s="1"/>
      <c r="B19" s="146"/>
      <c r="C19" s="134"/>
      <c r="D19" s="212" t="s">
        <v>174</v>
      </c>
      <c r="E19" s="98">
        <f>E11-SUM(E13:E18)</f>
        <v>-129.48783636106819</v>
      </c>
      <c r="F19" s="135" t="s">
        <v>39</v>
      </c>
      <c r="G19" s="134"/>
      <c r="H19" s="134"/>
      <c r="I19" s="147"/>
      <c r="J19" s="1"/>
    </row>
    <row r="20" spans="1:10" ht="15.5" thickBot="1" x14ac:dyDescent="0.9">
      <c r="A20" s="1"/>
      <c r="B20" s="144"/>
      <c r="C20" s="137"/>
      <c r="D20" s="211" t="s">
        <v>175</v>
      </c>
      <c r="E20" s="141"/>
      <c r="F20" s="140"/>
      <c r="G20" s="137"/>
      <c r="H20" s="137"/>
      <c r="I20" s="145"/>
      <c r="J20" s="1"/>
    </row>
    <row r="21" spans="1:10" x14ac:dyDescent="0.75">
      <c r="A21" s="1"/>
      <c r="B21" s="146"/>
      <c r="C21" s="134"/>
      <c r="D21" s="212" t="s">
        <v>176</v>
      </c>
      <c r="E21" s="98">
        <f>Losses!Y39</f>
        <v>0</v>
      </c>
      <c r="F21" s="135" t="s">
        <v>33</v>
      </c>
      <c r="G21" s="134"/>
      <c r="H21" s="134"/>
      <c r="I21" s="147"/>
      <c r="J21" s="1"/>
    </row>
    <row r="22" spans="1:10" x14ac:dyDescent="0.75">
      <c r="A22" s="1"/>
      <c r="B22" s="146"/>
      <c r="C22" s="134"/>
      <c r="D22" s="212" t="s">
        <v>177</v>
      </c>
      <c r="E22" s="99">
        <f>INDEX(Antennas!U24:U27,Antennas!AA21,1)</f>
        <v>2.15</v>
      </c>
      <c r="F22" s="135" t="s">
        <v>120</v>
      </c>
      <c r="G22" s="134"/>
      <c r="H22" s="134"/>
      <c r="I22" s="147"/>
      <c r="J22" s="1"/>
    </row>
    <row r="23" spans="1:10" x14ac:dyDescent="0.75">
      <c r="A23" s="1"/>
      <c r="B23" s="146"/>
      <c r="C23" s="134"/>
      <c r="D23" s="212" t="s">
        <v>178</v>
      </c>
      <c r="E23" s="99">
        <f>Receivers!V32</f>
        <v>0.4</v>
      </c>
      <c r="F23" s="135" t="s">
        <v>33</v>
      </c>
      <c r="G23" s="134"/>
      <c r="H23" s="134"/>
      <c r="I23" s="147"/>
      <c r="J23" s="1"/>
    </row>
    <row r="24" spans="1:10" x14ac:dyDescent="0.75">
      <c r="A24" s="1"/>
      <c r="B24" s="146"/>
      <c r="C24" s="134"/>
      <c r="D24" s="212" t="s">
        <v>179</v>
      </c>
      <c r="E24" s="98">
        <f>Receivers!V42</f>
        <v>212.46409347763174</v>
      </c>
      <c r="F24" s="135" t="s">
        <v>71</v>
      </c>
      <c r="G24" s="134"/>
      <c r="H24" s="134"/>
      <c r="I24" s="147"/>
      <c r="J24" s="1"/>
    </row>
    <row r="25" spans="1:10" x14ac:dyDescent="0.75">
      <c r="A25" s="1"/>
      <c r="B25" s="146"/>
      <c r="C25" s="134"/>
      <c r="D25" s="212" t="s">
        <v>180</v>
      </c>
      <c r="E25" s="98">
        <f>E22-E23-10*LOG10(E24)</f>
        <v>-21.522855446350299</v>
      </c>
      <c r="F25" s="135" t="s">
        <v>181</v>
      </c>
      <c r="G25" s="134"/>
      <c r="H25" s="134"/>
      <c r="I25" s="147"/>
      <c r="J25" s="1"/>
    </row>
    <row r="26" spans="1:10" x14ac:dyDescent="0.75">
      <c r="A26" s="1"/>
      <c r="B26" s="146"/>
      <c r="C26" s="134"/>
      <c r="D26" s="212" t="s">
        <v>182</v>
      </c>
      <c r="E26" s="98">
        <f>E19-E21+E22-E23</f>
        <v>-127.73783636106819</v>
      </c>
      <c r="F26" s="135" t="s">
        <v>39</v>
      </c>
      <c r="G26" s="134"/>
      <c r="H26" s="134"/>
      <c r="I26" s="147"/>
      <c r="J26" s="1"/>
    </row>
    <row r="27" spans="1:10" x14ac:dyDescent="0.75">
      <c r="A27" s="1"/>
      <c r="B27" s="146"/>
      <c r="C27" s="134"/>
      <c r="D27" s="212" t="s">
        <v>183</v>
      </c>
      <c r="E27" s="99">
        <f>Inputs!V31*1000</f>
        <v>25000</v>
      </c>
      <c r="F27" s="135" t="s">
        <v>184</v>
      </c>
      <c r="G27" s="134"/>
      <c r="H27" s="134"/>
      <c r="I27" s="147"/>
      <c r="J27" s="1"/>
    </row>
    <row r="28" spans="1:10" x14ac:dyDescent="0.75">
      <c r="A28" s="1"/>
      <c r="B28" s="146"/>
      <c r="C28" s="134"/>
      <c r="D28" s="212" t="s">
        <v>185</v>
      </c>
      <c r="E28" s="98">
        <f>Inputs!V10+10*LOG10(E24)+10*LOG10(E27)</f>
        <v>-161.34774446692933</v>
      </c>
      <c r="F28" s="135" t="s">
        <v>39</v>
      </c>
      <c r="G28" s="134"/>
      <c r="H28" s="134"/>
      <c r="I28" s="147"/>
      <c r="J28" s="1"/>
    </row>
    <row r="29" spans="1:10" x14ac:dyDescent="0.75">
      <c r="A29" s="1"/>
      <c r="B29" s="146"/>
      <c r="C29" s="134"/>
      <c r="D29" s="212" t="s">
        <v>186</v>
      </c>
      <c r="E29" s="98">
        <f>E26-E28</f>
        <v>33.609908105861138</v>
      </c>
      <c r="F29" s="135" t="s">
        <v>33</v>
      </c>
      <c r="G29" s="134"/>
      <c r="H29" s="134"/>
      <c r="I29" s="147"/>
      <c r="J29" s="1"/>
    </row>
    <row r="30" spans="1:10" x14ac:dyDescent="0.75">
      <c r="A30" s="1"/>
      <c r="B30" s="146"/>
      <c r="C30" s="134"/>
      <c r="D30" s="212" t="s">
        <v>187</v>
      </c>
      <c r="E30" s="175">
        <v>15.5</v>
      </c>
      <c r="F30" s="135" t="s">
        <v>33</v>
      </c>
      <c r="G30" s="134" t="s">
        <v>223</v>
      </c>
      <c r="H30" s="134"/>
      <c r="I30" s="147"/>
      <c r="J30" s="1"/>
    </row>
    <row r="31" spans="1:10" ht="15.5" thickBot="1" x14ac:dyDescent="0.9">
      <c r="A31" s="1"/>
      <c r="B31" s="146"/>
      <c r="C31" s="134"/>
      <c r="D31" s="212" t="s">
        <v>188</v>
      </c>
      <c r="E31" s="98">
        <f>IF((E29-E30)&lt;0,"Link not completed!",E29-E30)</f>
        <v>18.109908105861138</v>
      </c>
      <c r="F31" s="135" t="s">
        <v>33</v>
      </c>
      <c r="G31" s="134"/>
      <c r="H31" s="134"/>
      <c r="I31" s="147"/>
      <c r="J31" s="1"/>
    </row>
    <row r="32" spans="1:10" ht="15.5" thickBot="1" x14ac:dyDescent="0.9">
      <c r="A32" s="1"/>
      <c r="B32" s="144"/>
      <c r="C32" s="137"/>
      <c r="D32" s="211" t="s">
        <v>189</v>
      </c>
      <c r="E32" s="141"/>
      <c r="F32" s="140"/>
      <c r="G32" s="137"/>
      <c r="H32" s="137"/>
      <c r="I32" s="145"/>
      <c r="J32" s="1"/>
    </row>
    <row r="33" spans="1:10" x14ac:dyDescent="0.75">
      <c r="A33" s="1"/>
      <c r="B33" s="161"/>
      <c r="C33" s="162"/>
      <c r="D33" s="213" t="s">
        <v>190</v>
      </c>
      <c r="E33" s="163">
        <f>IF((E29-E30)&lt;0,"Link not completed!",((E27)*LOG((1+E31),2))/1000)</f>
        <v>106.40622339268317</v>
      </c>
      <c r="F33" s="164" t="s">
        <v>191</v>
      </c>
      <c r="G33" s="162"/>
      <c r="H33" s="162"/>
      <c r="I33" s="165"/>
      <c r="J33" s="1"/>
    </row>
    <row r="34" spans="1:10" x14ac:dyDescent="0.75">
      <c r="A34" s="1"/>
      <c r="B34" s="146"/>
      <c r="C34" s="134"/>
      <c r="D34" s="212" t="s">
        <v>192</v>
      </c>
      <c r="E34" s="158">
        <f>IF((E29-E30)&lt;0,"Link not completed!",Inputs!V21)</f>
        <v>300</v>
      </c>
      <c r="F34" s="135" t="s">
        <v>16</v>
      </c>
      <c r="G34" s="134"/>
      <c r="H34" s="134"/>
      <c r="I34" s="147"/>
      <c r="J34" s="1"/>
    </row>
    <row r="35" spans="1:10" x14ac:dyDescent="0.75">
      <c r="A35" s="1"/>
      <c r="B35" s="146"/>
      <c r="C35" s="134"/>
      <c r="D35" s="212" t="s">
        <v>17</v>
      </c>
      <c r="E35" s="158">
        <f>IF((E29-E30)&lt;0,"Link not completed!",Inputs!V22)</f>
        <v>15.106999999999999</v>
      </c>
      <c r="F35" s="135"/>
      <c r="G35" s="134"/>
      <c r="H35" s="134"/>
      <c r="I35" s="147"/>
      <c r="J35" s="1"/>
    </row>
    <row r="36" spans="1:10" ht="15.5" thickBot="1" x14ac:dyDescent="0.9">
      <c r="A36" s="1"/>
      <c r="B36" s="23"/>
      <c r="C36" s="149"/>
      <c r="D36" s="214" t="s">
        <v>193</v>
      </c>
      <c r="E36" s="224">
        <f>IF((E29-E30)&lt;0,"Link not completed!",E33*E34)</f>
        <v>31921.867017804951</v>
      </c>
      <c r="F36" s="150" t="s">
        <v>20</v>
      </c>
      <c r="G36" s="149"/>
      <c r="H36" s="149"/>
      <c r="I36" s="24"/>
      <c r="J36" s="1"/>
    </row>
    <row r="37" spans="1:10" x14ac:dyDescent="0.75">
      <c r="A37" s="1"/>
      <c r="B37" s="1"/>
      <c r="C37" s="1"/>
      <c r="D37" s="1"/>
      <c r="E37" s="1"/>
      <c r="F37" s="1"/>
      <c r="G37" s="1"/>
      <c r="H37" s="1"/>
      <c r="I37" s="1"/>
      <c r="J37" s="1"/>
    </row>
    <row r="38" spans="1:10" hidden="1" x14ac:dyDescent="0.75"/>
    <row r="39" spans="1:10" hidden="1" x14ac:dyDescent="0.75"/>
    <row r="40" spans="1:10" hidden="1" x14ac:dyDescent="0.75"/>
    <row r="41" spans="1:10" hidden="1" x14ac:dyDescent="0.75"/>
    <row r="42" spans="1:10" hidden="1" x14ac:dyDescent="0.75"/>
    <row r="43" spans="1:10" hidden="1" x14ac:dyDescent="0.75"/>
    <row r="44" spans="1:10" hidden="1" x14ac:dyDescent="0.75"/>
    <row r="45" spans="1:10" hidden="1" x14ac:dyDescent="0.75"/>
    <row r="46" spans="1:10" hidden="1" x14ac:dyDescent="0.75"/>
    <row r="47" spans="1:10" hidden="1" x14ac:dyDescent="0.75"/>
    <row r="48" spans="1:10" hidden="1" x14ac:dyDescent="0.75"/>
    <row r="49" hidden="1" x14ac:dyDescent="0.75"/>
    <row r="50" hidden="1" x14ac:dyDescent="0.75"/>
    <row r="51" hidden="1" x14ac:dyDescent="0.75"/>
    <row r="52" hidden="1" x14ac:dyDescent="0.75"/>
    <row r="53" hidden="1" x14ac:dyDescent="0.75"/>
    <row r="54" hidden="1" x14ac:dyDescent="0.75"/>
    <row r="55" hidden="1" x14ac:dyDescent="0.75"/>
    <row r="56" hidden="1" x14ac:dyDescent="0.75"/>
    <row r="57" hidden="1" x14ac:dyDescent="0.75"/>
    <row r="58" hidden="1" x14ac:dyDescent="0.75"/>
    <row r="59" hidden="1" x14ac:dyDescent="0.75"/>
    <row r="60" hidden="1" x14ac:dyDescent="0.75"/>
    <row r="61" hidden="1" x14ac:dyDescent="0.75"/>
    <row r="62" hidden="1" x14ac:dyDescent="0.75"/>
    <row r="63" hidden="1" x14ac:dyDescent="0.75"/>
    <row r="64" hidden="1" x14ac:dyDescent="0.75"/>
    <row r="65" hidden="1" x14ac:dyDescent="0.75"/>
    <row r="66" hidden="1" x14ac:dyDescent="0.75"/>
    <row r="67" hidden="1" x14ac:dyDescent="0.75"/>
  </sheetData>
  <mergeCells count="2">
    <mergeCell ref="D6:D8"/>
    <mergeCell ref="C2:G2"/>
  </mergeCells>
  <conditionalFormatting sqref="E18">
    <cfRule type="expression" dxfId="11" priority="9">
      <formula>$AA$9=1</formula>
    </cfRule>
  </conditionalFormatting>
  <conditionalFormatting sqref="E18">
    <cfRule type="expression" dxfId="10" priority="8">
      <formula>$AA$9=3</formula>
    </cfRule>
  </conditionalFormatting>
  <conditionalFormatting sqref="E18">
    <cfRule type="expression" dxfId="9" priority="7">
      <formula>$AA$9=4</formula>
    </cfRule>
  </conditionalFormatting>
  <conditionalFormatting sqref="E30">
    <cfRule type="expression" dxfId="8" priority="3">
      <formula>$AA$9=1</formula>
    </cfRule>
  </conditionalFormatting>
  <conditionalFormatting sqref="E30">
    <cfRule type="expression" dxfId="7" priority="2">
      <formula>$AA$9=3</formula>
    </cfRule>
  </conditionalFormatting>
  <conditionalFormatting sqref="E30">
    <cfRule type="expression" dxfId="6" priority="1">
      <formula>$AA$9=4</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Inputs</vt:lpstr>
      <vt:lpstr>Orbit</vt:lpstr>
      <vt:lpstr>Transmitters</vt:lpstr>
      <vt:lpstr>Receivers</vt:lpstr>
      <vt:lpstr>Modulation</vt:lpstr>
      <vt:lpstr>Doppler - Working</vt:lpstr>
      <vt:lpstr>Antennas</vt:lpstr>
      <vt:lpstr>Losses</vt:lpstr>
      <vt:lpstr>Uplink Budget</vt:lpstr>
      <vt:lpstr>Downlink Budget</vt:lpstr>
      <vt:lpstr>Sheet1</vt:lpstr>
      <vt:lpstr>Backend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Sean Amyot</dc:creator>
  <cp:lastModifiedBy>Sean Amyot</cp:lastModifiedBy>
  <dcterms:created xsi:type="dcterms:W3CDTF">2019-01-29T19:49:59Z</dcterms:created>
  <dcterms:modified xsi:type="dcterms:W3CDTF">2019-03-21T17:51:52Z</dcterms:modified>
</cp:coreProperties>
</file>